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drawings/drawing8.xml" ContentType="application/vnd.openxmlformats-officedocument.drawing+xml"/>
  <Override PartName="/xl/comments7.xml" ContentType="application/vnd.openxmlformats-officedocument.spreadsheetml.comments+xml"/>
  <Override PartName="/xl/drawings/drawing9.xml" ContentType="application/vnd.openxmlformats-officedocument.drawing+xml"/>
  <Override PartName="/xl/comments8.xml" ContentType="application/vnd.openxmlformats-officedocument.spreadsheetml.comments+xml"/>
  <Override PartName="/xl/drawings/drawing10.xml" ContentType="application/vnd.openxmlformats-officedocument.drawing+xml"/>
  <Override PartName="/xl/comments9.xml" ContentType="application/vnd.openxmlformats-officedocument.spreadsheetml.comments+xml"/>
  <Override PartName="/xl/drawings/drawing11.xml" ContentType="application/vnd.openxmlformats-officedocument.drawing+xml"/>
  <Override PartName="/xl/comments10.xml" ContentType="application/vnd.openxmlformats-officedocument.spreadsheetml.comments+xml"/>
  <Override PartName="/xl/drawings/drawing12.xml" ContentType="application/vnd.openxmlformats-officedocument.drawing+xml"/>
  <Override PartName="/xl/comments11.xml" ContentType="application/vnd.openxmlformats-officedocument.spreadsheetml.comments+xml"/>
  <Override PartName="/xl/drawings/drawing13.xml" ContentType="application/vnd.openxmlformats-officedocument.drawing+xml"/>
  <Override PartName="/xl/comments12.xml" ContentType="application/vnd.openxmlformats-officedocument.spreadsheetml.comments+xml"/>
  <Override PartName="/xl/drawings/drawing14.xml" ContentType="application/vnd.openxmlformats-officedocument.drawing+xml"/>
  <Override PartName="/xl/comments13.xml" ContentType="application/vnd.openxmlformats-officedocument.spreadsheetml.comments+xml"/>
  <Override PartName="/xl/drawings/drawing15.xml" ContentType="application/vnd.openxmlformats-officedocument.drawing+xml"/>
  <Override PartName="/xl/comments14.xml" ContentType="application/vnd.openxmlformats-officedocument.spreadsheetml.comments+xml"/>
  <Override PartName="/xl/drawings/drawing16.xml" ContentType="application/vnd.openxmlformats-officedocument.drawing+xml"/>
  <Override PartName="/xl/comments15.xml" ContentType="application/vnd.openxmlformats-officedocument.spreadsheetml.comments+xml"/>
  <Override PartName="/xl/drawings/drawing17.xml" ContentType="application/vnd.openxmlformats-officedocument.drawing+xml"/>
  <Override PartName="/xl/comments16.xml" ContentType="application/vnd.openxmlformats-officedocument.spreadsheetml.comments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Veda\Veda\Veda_models\DemoModels_SelfLearning\DemoS_007_SL\"/>
    </mc:Choice>
  </mc:AlternateContent>
  <xr:revisionPtr revIDLastSave="0" documentId="13_ncr:1_{5BE4F779-DE96-4949-B9C3-540D3180597D}" xr6:coauthVersionLast="47" xr6:coauthVersionMax="47" xr10:uidLastSave="{00000000-0000-0000-0000-000000000000}"/>
  <bookViews>
    <workbookView xWindow="-98" yWindow="-98" windowWidth="28996" windowHeight="17475" tabRatio="901" activeTab="18" xr2:uid="{00000000-000D-0000-FFFF-FFFF00000000}"/>
  </bookViews>
  <sheets>
    <sheet name="EnergyBalance" sheetId="133" r:id="rId1"/>
    <sheet name="EB1" sheetId="145" r:id="rId2"/>
    <sheet name="EB2" sheetId="146" r:id="rId3"/>
    <sheet name="RES&amp;OBJ" sheetId="135" r:id="rId4"/>
    <sheet name="Pri_COA" sheetId="132" r:id="rId5"/>
    <sheet name="Pri_GAS" sheetId="136" r:id="rId6"/>
    <sheet name="Pri_OIL" sheetId="137" r:id="rId7"/>
    <sheet name="Pri_RNW" sheetId="142" r:id="rId8"/>
    <sheet name="Pri_NUC" sheetId="144" r:id="rId9"/>
    <sheet name="Pri_PP" sheetId="148" r:id="rId10"/>
    <sheet name="Sector_Fuels" sheetId="140" r:id="rId11"/>
    <sheet name="Con_REF" sheetId="147" r:id="rId12"/>
    <sheet name="Con_ELC" sheetId="143" r:id="rId13"/>
    <sheet name="DemTechs_TPS" sheetId="150" r:id="rId14"/>
    <sheet name="DemTechs_ELC" sheetId="151" r:id="rId15"/>
    <sheet name="DemTechs_RSD" sheetId="138" r:id="rId16"/>
    <sheet name="DemTechs_TRA" sheetId="141" r:id="rId17"/>
    <sheet name="Demands" sheetId="134" r:id="rId18"/>
    <sheet name="Emi" sheetId="149" r:id="rId19"/>
  </sheets>
  <externalReferences>
    <externalReference r:id="rId20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6" i="138" l="1"/>
  <c r="L19" i="147" l="1"/>
  <c r="L18" i="147"/>
  <c r="L17" i="147"/>
  <c r="L16" i="147"/>
  <c r="L15" i="147"/>
  <c r="L14" i="147"/>
  <c r="L13" i="147"/>
  <c r="L12" i="147"/>
  <c r="L11" i="147"/>
  <c r="P25" i="143"/>
  <c r="P18" i="143"/>
  <c r="M55" i="143"/>
  <c r="M45" i="143"/>
  <c r="M35" i="143"/>
  <c r="M25" i="143"/>
  <c r="M18" i="143"/>
  <c r="Q15" i="141"/>
  <c r="Q14" i="141"/>
  <c r="Q13" i="141"/>
  <c r="Q12" i="141"/>
  <c r="P15" i="141"/>
  <c r="P14" i="141"/>
  <c r="P13" i="141"/>
  <c r="P12" i="141"/>
  <c r="N42" i="141"/>
  <c r="N34" i="141"/>
  <c r="N26" i="141"/>
  <c r="N18" i="141"/>
  <c r="K28" i="143" l="1"/>
  <c r="G36" i="148"/>
  <c r="G29" i="148" s="1"/>
  <c r="G35" i="148"/>
  <c r="G27" i="148" s="1"/>
  <c r="G34" i="148"/>
  <c r="G25" i="148" s="1"/>
  <c r="G33" i="148"/>
  <c r="G23" i="148" s="1"/>
  <c r="G32" i="148"/>
  <c r="G21" i="148" s="1"/>
  <c r="G31" i="148"/>
  <c r="G19" i="148" s="1"/>
  <c r="G30" i="148"/>
  <c r="G17" i="148"/>
  <c r="K14" i="150"/>
  <c r="K14" i="151"/>
  <c r="K14" i="138"/>
  <c r="F2" i="151" l="1"/>
  <c r="E2" i="151"/>
  <c r="S12" i="151" s="1"/>
  <c r="F2" i="150"/>
  <c r="E2" i="150"/>
  <c r="C2" i="150"/>
  <c r="B2" i="150"/>
  <c r="P5" i="150" s="1"/>
  <c r="C2" i="151"/>
  <c r="B2" i="151"/>
  <c r="P5" i="151" s="1"/>
  <c r="D2" i="151"/>
  <c r="D2" i="150"/>
  <c r="L5" i="140"/>
  <c r="L23" i="140" s="1"/>
  <c r="B23" i="140" s="1"/>
  <c r="L6" i="140"/>
  <c r="L24" i="140"/>
  <c r="B24" i="140" s="1"/>
  <c r="R24" i="133"/>
  <c r="R11" i="145"/>
  <c r="R11" i="146" s="1"/>
  <c r="C36" i="140"/>
  <c r="C35" i="140"/>
  <c r="C34" i="140"/>
  <c r="C33" i="140"/>
  <c r="X15" i="141"/>
  <c r="X14" i="141"/>
  <c r="X13" i="141"/>
  <c r="X12" i="141"/>
  <c r="E2" i="141"/>
  <c r="C2" i="141"/>
  <c r="V12" i="141" s="1"/>
  <c r="M12" i="140"/>
  <c r="M30" i="140" s="1"/>
  <c r="L12" i="140"/>
  <c r="L30" i="140" s="1"/>
  <c r="B30" i="140" s="1"/>
  <c r="L11" i="140"/>
  <c r="L29" i="140" s="1"/>
  <c r="B29" i="140" s="1"/>
  <c r="M11" i="140"/>
  <c r="M29" i="140" s="1"/>
  <c r="M10" i="140"/>
  <c r="M28" i="140" s="1"/>
  <c r="M9" i="140"/>
  <c r="M27" i="140" s="1"/>
  <c r="M8" i="140"/>
  <c r="M26" i="140" s="1"/>
  <c r="M7" i="140"/>
  <c r="M25" i="140" s="1"/>
  <c r="L10" i="140"/>
  <c r="C28" i="140" s="1"/>
  <c r="L9" i="140"/>
  <c r="E6" i="149" s="1"/>
  <c r="L8" i="140"/>
  <c r="D26" i="140" s="1"/>
  <c r="L7" i="140"/>
  <c r="L25" i="140" s="1"/>
  <c r="B25" i="140" s="1"/>
  <c r="M6" i="140"/>
  <c r="M24" i="140" s="1"/>
  <c r="J17" i="148"/>
  <c r="L22" i="148" s="1"/>
  <c r="E8" i="148"/>
  <c r="E7" i="148"/>
  <c r="E6" i="148"/>
  <c r="E5" i="148"/>
  <c r="E4" i="148"/>
  <c r="E3" i="148"/>
  <c r="E2" i="148"/>
  <c r="N10" i="148" s="1"/>
  <c r="D8" i="148"/>
  <c r="D7" i="148"/>
  <c r="M10" i="148" s="1"/>
  <c r="D6" i="148"/>
  <c r="M9" i="148"/>
  <c r="D5" i="148"/>
  <c r="M8" i="148" s="1"/>
  <c r="D4" i="148"/>
  <c r="M7" i="148" s="1"/>
  <c r="D3" i="148"/>
  <c r="M6" i="148" s="1"/>
  <c r="D2" i="148"/>
  <c r="M5" i="148" s="1"/>
  <c r="C8" i="148"/>
  <c r="L11" i="148" s="1"/>
  <c r="C7" i="148"/>
  <c r="L10" i="148"/>
  <c r="C6" i="148"/>
  <c r="L28" i="148" s="1"/>
  <c r="M28" i="148" s="1"/>
  <c r="C5" i="148"/>
  <c r="L8" i="148" s="1"/>
  <c r="C4" i="148"/>
  <c r="L7" i="148" s="1"/>
  <c r="C3" i="148"/>
  <c r="C2" i="148"/>
  <c r="J24" i="148"/>
  <c r="G2" i="148"/>
  <c r="Q12" i="147"/>
  <c r="R12" i="147" s="1"/>
  <c r="T12" i="147"/>
  <c r="G2" i="147"/>
  <c r="E2" i="147"/>
  <c r="S12" i="147" s="1"/>
  <c r="M23" i="145"/>
  <c r="M23" i="146" s="1"/>
  <c r="L23" i="145"/>
  <c r="L23" i="146"/>
  <c r="K23" i="145"/>
  <c r="K23" i="146"/>
  <c r="J23" i="145"/>
  <c r="J23" i="146" s="1"/>
  <c r="I23" i="145"/>
  <c r="I23" i="146" s="1"/>
  <c r="H23" i="145"/>
  <c r="H23" i="146"/>
  <c r="G23" i="145"/>
  <c r="G23" i="146"/>
  <c r="M22" i="145"/>
  <c r="M22" i="146" s="1"/>
  <c r="L22" i="145"/>
  <c r="L22" i="146" s="1"/>
  <c r="K22" i="145"/>
  <c r="K22" i="146" s="1"/>
  <c r="J22" i="145"/>
  <c r="J22" i="146"/>
  <c r="I22" i="145"/>
  <c r="I22" i="146" s="1"/>
  <c r="H22" i="145"/>
  <c r="H22" i="146" s="1"/>
  <c r="G22" i="145"/>
  <c r="G22" i="146"/>
  <c r="M20" i="145"/>
  <c r="M20" i="146"/>
  <c r="L20" i="145"/>
  <c r="L20" i="146" s="1"/>
  <c r="K20" i="145"/>
  <c r="K20" i="146" s="1"/>
  <c r="J20" i="145"/>
  <c r="I20" i="145"/>
  <c r="M42" i="141" s="1"/>
  <c r="H20" i="145"/>
  <c r="H20" i="146" s="1"/>
  <c r="G20" i="145"/>
  <c r="M18" i="141" s="1"/>
  <c r="M19" i="145"/>
  <c r="M19" i="146" s="1"/>
  <c r="L19" i="145"/>
  <c r="L19" i="146" s="1"/>
  <c r="K19" i="145"/>
  <c r="K19" i="146" s="1"/>
  <c r="J19" i="145"/>
  <c r="J19" i="146" s="1"/>
  <c r="I19" i="145"/>
  <c r="I19" i="146" s="1"/>
  <c r="H19" i="145"/>
  <c r="H19" i="146" s="1"/>
  <c r="G19" i="145"/>
  <c r="G19" i="146" s="1"/>
  <c r="M18" i="145"/>
  <c r="M18" i="146" s="1"/>
  <c r="L18" i="145"/>
  <c r="L18" i="146" s="1"/>
  <c r="K18" i="145"/>
  <c r="K18" i="146" s="1"/>
  <c r="J18" i="145"/>
  <c r="J18" i="146" s="1"/>
  <c r="I18" i="145"/>
  <c r="I18" i="146" s="1"/>
  <c r="H18" i="145"/>
  <c r="G18" i="145"/>
  <c r="G18" i="146"/>
  <c r="M17" i="145"/>
  <c r="M17" i="146" s="1"/>
  <c r="L17" i="145"/>
  <c r="L17" i="146" s="1"/>
  <c r="K17" i="145"/>
  <c r="J17" i="145"/>
  <c r="J17" i="146" s="1"/>
  <c r="I17" i="145"/>
  <c r="I17" i="146" s="1"/>
  <c r="H17" i="145"/>
  <c r="H17" i="146" s="1"/>
  <c r="G17" i="145"/>
  <c r="G17" i="146" s="1"/>
  <c r="M16" i="145"/>
  <c r="M16" i="146" s="1"/>
  <c r="L16" i="145"/>
  <c r="L16" i="146"/>
  <c r="K16" i="145"/>
  <c r="K16" i="146" s="1"/>
  <c r="J16" i="145"/>
  <c r="J16" i="146" s="1"/>
  <c r="I16" i="145"/>
  <c r="I16" i="146" s="1"/>
  <c r="H16" i="145"/>
  <c r="H16" i="146" s="1"/>
  <c r="G16" i="145"/>
  <c r="G16" i="146" s="1"/>
  <c r="M13" i="145"/>
  <c r="M13" i="146"/>
  <c r="L13" i="145"/>
  <c r="K13" i="145"/>
  <c r="J13" i="145"/>
  <c r="I13" i="145"/>
  <c r="K17" i="147" s="1"/>
  <c r="H13" i="145"/>
  <c r="K16" i="147" s="1"/>
  <c r="G13" i="145"/>
  <c r="M12" i="145"/>
  <c r="M12" i="146" s="1"/>
  <c r="L12" i="145"/>
  <c r="L12" i="146" s="1"/>
  <c r="K12" i="145"/>
  <c r="K12" i="146" s="1"/>
  <c r="J12" i="145"/>
  <c r="J12" i="146" s="1"/>
  <c r="I12" i="145"/>
  <c r="I12" i="146" s="1"/>
  <c r="H12" i="145"/>
  <c r="H12" i="146" s="1"/>
  <c r="G12" i="145"/>
  <c r="G12" i="146" s="1"/>
  <c r="M11" i="145"/>
  <c r="L11" i="145"/>
  <c r="L11" i="146" s="1"/>
  <c r="K11" i="145"/>
  <c r="J11" i="145"/>
  <c r="J14" i="145" s="1"/>
  <c r="J11" i="146"/>
  <c r="I11" i="145"/>
  <c r="I11" i="146" s="1"/>
  <c r="H11" i="145"/>
  <c r="H11" i="146" s="1"/>
  <c r="G11" i="145"/>
  <c r="M10" i="145"/>
  <c r="M14" i="145" s="1"/>
  <c r="L10" i="145"/>
  <c r="L10" i="146" s="1"/>
  <c r="K10" i="145"/>
  <c r="K10" i="146" s="1"/>
  <c r="J10" i="145"/>
  <c r="I10" i="145"/>
  <c r="H10" i="145"/>
  <c r="H10" i="146" s="1"/>
  <c r="G10" i="145"/>
  <c r="G10" i="146" s="1"/>
  <c r="M7" i="145"/>
  <c r="G28" i="148" s="1"/>
  <c r="L7" i="145"/>
  <c r="G20" i="148" s="1"/>
  <c r="K7" i="145"/>
  <c r="G26" i="148" s="1"/>
  <c r="J7" i="145"/>
  <c r="I7" i="145"/>
  <c r="G24" i="148" s="1"/>
  <c r="H7" i="145"/>
  <c r="G22" i="148" s="1"/>
  <c r="G7" i="145"/>
  <c r="G7" i="146"/>
  <c r="M6" i="145"/>
  <c r="M6" i="146" s="1"/>
  <c r="L6" i="145"/>
  <c r="L6" i="146" s="1"/>
  <c r="K6" i="145"/>
  <c r="K6" i="146" s="1"/>
  <c r="J6" i="145"/>
  <c r="J6" i="146" s="1"/>
  <c r="I6" i="145"/>
  <c r="I6" i="146" s="1"/>
  <c r="H6" i="145"/>
  <c r="H6" i="146" s="1"/>
  <c r="G6" i="145"/>
  <c r="G6" i="146" s="1"/>
  <c r="M5" i="145"/>
  <c r="M5" i="146"/>
  <c r="L5" i="145"/>
  <c r="L5" i="146" s="1"/>
  <c r="K5" i="145"/>
  <c r="K5" i="146" s="1"/>
  <c r="J5" i="145"/>
  <c r="J5" i="146" s="1"/>
  <c r="I5" i="145"/>
  <c r="I5" i="146" s="1"/>
  <c r="H5" i="145"/>
  <c r="G5" i="145"/>
  <c r="G5" i="146"/>
  <c r="M8" i="133"/>
  <c r="M21" i="133" s="1"/>
  <c r="M24" i="133" s="1"/>
  <c r="L8" i="133"/>
  <c r="L21" i="133" s="1"/>
  <c r="K8" i="133"/>
  <c r="K21" i="133" s="1"/>
  <c r="J8" i="133"/>
  <c r="J21" i="133" s="1"/>
  <c r="J24" i="133" s="1"/>
  <c r="I8" i="133"/>
  <c r="I21" i="133"/>
  <c r="I24" i="133" s="1"/>
  <c r="H8" i="133"/>
  <c r="H21" i="133" s="1"/>
  <c r="G8" i="133"/>
  <c r="G21" i="133" s="1"/>
  <c r="G24" i="133" s="1"/>
  <c r="M14" i="133"/>
  <c r="L14" i="133"/>
  <c r="K14" i="133"/>
  <c r="J14" i="133"/>
  <c r="I14" i="133"/>
  <c r="H14" i="133"/>
  <c r="G14" i="133"/>
  <c r="S23" i="133"/>
  <c r="S22" i="133"/>
  <c r="S20" i="133"/>
  <c r="S19" i="133"/>
  <c r="S18" i="133"/>
  <c r="S17" i="133"/>
  <c r="S16" i="133"/>
  <c r="R14" i="133"/>
  <c r="Q14" i="133"/>
  <c r="P14" i="133"/>
  <c r="O14" i="133"/>
  <c r="N14" i="133"/>
  <c r="F14" i="133"/>
  <c r="E14" i="133"/>
  <c r="D14" i="133"/>
  <c r="S13" i="133"/>
  <c r="S12" i="133"/>
  <c r="S11" i="133"/>
  <c r="S10" i="133"/>
  <c r="S14" i="133" s="1"/>
  <c r="S7" i="133"/>
  <c r="S6" i="133"/>
  <c r="S5" i="133"/>
  <c r="S8" i="133" s="1"/>
  <c r="R8" i="133"/>
  <c r="Q8" i="133"/>
  <c r="Q21" i="133" s="1"/>
  <c r="P8" i="133"/>
  <c r="P21" i="133" s="1"/>
  <c r="P24" i="133" s="1"/>
  <c r="O8" i="133"/>
  <c r="O21" i="133" s="1"/>
  <c r="N8" i="133"/>
  <c r="N21" i="133" s="1"/>
  <c r="N24" i="133" s="1"/>
  <c r="F8" i="133"/>
  <c r="E8" i="133"/>
  <c r="E21" i="133" s="1"/>
  <c r="E24" i="133" s="1"/>
  <c r="D8" i="133"/>
  <c r="D21" i="133"/>
  <c r="R23" i="145"/>
  <c r="R23" i="146" s="1"/>
  <c r="Q23" i="145"/>
  <c r="Q23" i="146" s="1"/>
  <c r="P23" i="145"/>
  <c r="P23" i="146"/>
  <c r="O23" i="145"/>
  <c r="O23" i="146"/>
  <c r="N23" i="145"/>
  <c r="N23" i="146" s="1"/>
  <c r="E23" i="145"/>
  <c r="E23" i="146" s="1"/>
  <c r="R22" i="145"/>
  <c r="R22" i="146"/>
  <c r="Q22" i="145"/>
  <c r="Q22" i="146"/>
  <c r="P22" i="145"/>
  <c r="P22" i="146" s="1"/>
  <c r="O22" i="145"/>
  <c r="O22" i="146" s="1"/>
  <c r="N22" i="145"/>
  <c r="N22" i="146" s="1"/>
  <c r="E22" i="145"/>
  <c r="E22" i="146" s="1"/>
  <c r="R21" i="145"/>
  <c r="R21" i="146" s="1"/>
  <c r="R20" i="145"/>
  <c r="R20" i="146" s="1"/>
  <c r="Q20" i="145"/>
  <c r="Q20" i="146" s="1"/>
  <c r="P20" i="145"/>
  <c r="P20" i="146"/>
  <c r="O20" i="145"/>
  <c r="O20" i="146" s="1"/>
  <c r="N20" i="145"/>
  <c r="N20" i="146" s="1"/>
  <c r="E20" i="145"/>
  <c r="M26" i="141" s="1"/>
  <c r="R19" i="145"/>
  <c r="R19" i="146"/>
  <c r="Q19" i="145"/>
  <c r="Q19" i="146"/>
  <c r="P19" i="145"/>
  <c r="P19" i="146"/>
  <c r="O19" i="145"/>
  <c r="O19" i="146" s="1"/>
  <c r="N19" i="145"/>
  <c r="N19" i="146"/>
  <c r="E19" i="145"/>
  <c r="E19" i="146" s="1"/>
  <c r="R18" i="145"/>
  <c r="R18" i="146" s="1"/>
  <c r="Q18" i="145"/>
  <c r="Q18" i="146" s="1"/>
  <c r="P18" i="145"/>
  <c r="P18" i="146" s="1"/>
  <c r="O18" i="145"/>
  <c r="O18" i="146" s="1"/>
  <c r="N18" i="145"/>
  <c r="N18" i="146" s="1"/>
  <c r="E18" i="145"/>
  <c r="E18" i="146" s="1"/>
  <c r="R17" i="145"/>
  <c r="R17" i="146" s="1"/>
  <c r="Q17" i="145"/>
  <c r="Q17" i="146"/>
  <c r="P17" i="145"/>
  <c r="O17" i="145"/>
  <c r="O17" i="146" s="1"/>
  <c r="N17" i="145"/>
  <c r="N17" i="146" s="1"/>
  <c r="E17" i="145"/>
  <c r="E24" i="145" s="1"/>
  <c r="E17" i="146"/>
  <c r="R16" i="145"/>
  <c r="R16" i="146" s="1"/>
  <c r="Q16" i="145"/>
  <c r="Q16" i="146" s="1"/>
  <c r="P16" i="145"/>
  <c r="P16" i="146" s="1"/>
  <c r="O16" i="145"/>
  <c r="O16" i="146" s="1"/>
  <c r="N16" i="145"/>
  <c r="N16" i="146" s="1"/>
  <c r="E16" i="145"/>
  <c r="L16" i="138" s="1"/>
  <c r="E10" i="134"/>
  <c r="D23" i="145"/>
  <c r="D23" i="146" s="1"/>
  <c r="D22" i="145"/>
  <c r="D22" i="146" s="1"/>
  <c r="D20" i="145"/>
  <c r="D20" i="146" s="1"/>
  <c r="D19" i="145"/>
  <c r="D19" i="146" s="1"/>
  <c r="D18" i="145"/>
  <c r="D17" i="145"/>
  <c r="D17" i="146" s="1"/>
  <c r="D16" i="145"/>
  <c r="D16" i="146" s="1"/>
  <c r="R13" i="145"/>
  <c r="R13" i="146" s="1"/>
  <c r="R12" i="145"/>
  <c r="R12" i="146" s="1"/>
  <c r="R10" i="145"/>
  <c r="R10" i="146" s="1"/>
  <c r="Q13" i="145"/>
  <c r="Q13" i="146"/>
  <c r="P13" i="145"/>
  <c r="P13" i="146" s="1"/>
  <c r="O13" i="145"/>
  <c r="O13" i="146"/>
  <c r="N13" i="145"/>
  <c r="N13" i="146" s="1"/>
  <c r="F13" i="145"/>
  <c r="E13" i="145"/>
  <c r="E13" i="146"/>
  <c r="Q12" i="145"/>
  <c r="Q12" i="146"/>
  <c r="P12" i="145"/>
  <c r="P12" i="146" s="1"/>
  <c r="O12" i="145"/>
  <c r="O12" i="146" s="1"/>
  <c r="N12" i="145"/>
  <c r="N12" i="146" s="1"/>
  <c r="F12" i="145"/>
  <c r="F12" i="146"/>
  <c r="E12" i="145"/>
  <c r="E12" i="146" s="1"/>
  <c r="Q11" i="145"/>
  <c r="Q11" i="146"/>
  <c r="P11" i="145"/>
  <c r="P11" i="146" s="1"/>
  <c r="O11" i="145"/>
  <c r="N11" i="145"/>
  <c r="F11" i="145"/>
  <c r="F14" i="145" s="1"/>
  <c r="F11" i="146"/>
  <c r="E11" i="145"/>
  <c r="L45" i="143" s="1"/>
  <c r="Q10" i="145"/>
  <c r="Q10" i="146" s="1"/>
  <c r="P10" i="145"/>
  <c r="P10" i="146" s="1"/>
  <c r="O10" i="145"/>
  <c r="N10" i="145"/>
  <c r="N10" i="146" s="1"/>
  <c r="F10" i="145"/>
  <c r="F10" i="146"/>
  <c r="E10" i="145"/>
  <c r="D13" i="145"/>
  <c r="D13" i="146" s="1"/>
  <c r="D12" i="145"/>
  <c r="D11" i="145"/>
  <c r="D10" i="145"/>
  <c r="D10" i="146"/>
  <c r="R7" i="145"/>
  <c r="R7" i="146"/>
  <c r="Q7" i="145"/>
  <c r="Q7" i="146"/>
  <c r="P7" i="145"/>
  <c r="P7" i="146" s="1"/>
  <c r="O7" i="145"/>
  <c r="O7" i="146"/>
  <c r="R6" i="145"/>
  <c r="R6" i="146" s="1"/>
  <c r="Q6" i="145"/>
  <c r="Q6" i="146"/>
  <c r="P6" i="145"/>
  <c r="P6" i="146" s="1"/>
  <c r="O6" i="145"/>
  <c r="O6" i="146" s="1"/>
  <c r="R5" i="145"/>
  <c r="Q5" i="145"/>
  <c r="Q5" i="146" s="1"/>
  <c r="P5" i="145"/>
  <c r="P5" i="146" s="1"/>
  <c r="O5" i="145"/>
  <c r="O5" i="146" s="1"/>
  <c r="N7" i="145"/>
  <c r="N7" i="146" s="1"/>
  <c r="N6" i="145"/>
  <c r="N6" i="146"/>
  <c r="N5" i="145"/>
  <c r="N5" i="146" s="1"/>
  <c r="F7" i="145"/>
  <c r="G21" i="137" s="1"/>
  <c r="E7" i="145"/>
  <c r="F6" i="145"/>
  <c r="F6" i="146" s="1"/>
  <c r="E6" i="145"/>
  <c r="G20" i="136" s="1"/>
  <c r="F5" i="145"/>
  <c r="F5" i="146" s="1"/>
  <c r="E5" i="145"/>
  <c r="D7" i="145"/>
  <c r="D6" i="145"/>
  <c r="D5" i="145"/>
  <c r="Z16" i="143"/>
  <c r="D2" i="144"/>
  <c r="L5" i="144" s="1"/>
  <c r="C2" i="144"/>
  <c r="K5" i="144" s="1"/>
  <c r="D11" i="144" s="1"/>
  <c r="I11" i="144"/>
  <c r="F2" i="144"/>
  <c r="E2" i="144"/>
  <c r="G10" i="144" s="1"/>
  <c r="Y6" i="143"/>
  <c r="G2" i="143"/>
  <c r="E2" i="143"/>
  <c r="Y14" i="143" s="1"/>
  <c r="C2" i="143"/>
  <c r="X6" i="143" s="1"/>
  <c r="B2" i="143"/>
  <c r="W6" i="143" s="1"/>
  <c r="X5" i="143"/>
  <c r="W5" i="143"/>
  <c r="Z15" i="143"/>
  <c r="Z14" i="143"/>
  <c r="Z13" i="143"/>
  <c r="Z12" i="143"/>
  <c r="F2" i="142"/>
  <c r="E2" i="142"/>
  <c r="M5" i="142" s="1"/>
  <c r="I11" i="142"/>
  <c r="D2" i="142"/>
  <c r="L5" i="142" s="1"/>
  <c r="C2" i="142"/>
  <c r="R12" i="138"/>
  <c r="D2" i="138"/>
  <c r="C2" i="138"/>
  <c r="S6" i="138" s="1"/>
  <c r="B2" i="141"/>
  <c r="U13" i="141" s="1"/>
  <c r="B2" i="138"/>
  <c r="R5" i="138" s="1"/>
  <c r="W6" i="141"/>
  <c r="F2" i="141"/>
  <c r="T6" i="138"/>
  <c r="M5" i="140"/>
  <c r="M23" i="140"/>
  <c r="F2" i="140"/>
  <c r="E2" i="140"/>
  <c r="N27" i="140" s="1"/>
  <c r="G2" i="134"/>
  <c r="E2" i="134"/>
  <c r="E8" i="134"/>
  <c r="F2" i="138"/>
  <c r="E2" i="138"/>
  <c r="U12" i="138" s="1"/>
  <c r="E2" i="137"/>
  <c r="M13" i="137" s="1"/>
  <c r="F2" i="137"/>
  <c r="E2" i="136"/>
  <c r="M5" i="136" s="1"/>
  <c r="F2" i="136"/>
  <c r="E2" i="132"/>
  <c r="M15" i="132" s="1"/>
  <c r="M5" i="132"/>
  <c r="F2" i="132"/>
  <c r="I11" i="137"/>
  <c r="I11" i="136"/>
  <c r="K11" i="136" s="1"/>
  <c r="I11" i="132"/>
  <c r="K12" i="132" s="1"/>
  <c r="D2" i="137"/>
  <c r="L5" i="137" s="1"/>
  <c r="C2" i="137"/>
  <c r="I15" i="137"/>
  <c r="I14" i="137"/>
  <c r="D2" i="136"/>
  <c r="L5" i="136" s="1"/>
  <c r="C2" i="136"/>
  <c r="K5" i="136" s="1"/>
  <c r="I15" i="136"/>
  <c r="K15" i="136" s="1"/>
  <c r="I14" i="136"/>
  <c r="I15" i="132"/>
  <c r="K15" i="132" s="1"/>
  <c r="I14" i="132"/>
  <c r="D2" i="132"/>
  <c r="L5" i="132" s="1"/>
  <c r="C2" i="132"/>
  <c r="V14" i="141"/>
  <c r="E21" i="145"/>
  <c r="J21" i="145"/>
  <c r="N8" i="148"/>
  <c r="N27" i="148"/>
  <c r="V6" i="141"/>
  <c r="N9" i="148"/>
  <c r="N29" i="148"/>
  <c r="N24" i="148"/>
  <c r="N5" i="148"/>
  <c r="M12" i="137"/>
  <c r="N28" i="148"/>
  <c r="V5" i="141"/>
  <c r="N25" i="148"/>
  <c r="N7" i="148"/>
  <c r="I6" i="149"/>
  <c r="D28" i="140"/>
  <c r="C29" i="140"/>
  <c r="C24" i="140"/>
  <c r="D23" i="140"/>
  <c r="C23" i="140" s="1"/>
  <c r="G6" i="149"/>
  <c r="L5" i="148"/>
  <c r="D24" i="140"/>
  <c r="N17" i="148"/>
  <c r="L30" i="148"/>
  <c r="L29" i="148"/>
  <c r="M29" i="148" s="1"/>
  <c r="N20" i="148"/>
  <c r="L6" i="148"/>
  <c r="N6" i="148"/>
  <c r="N30" i="148"/>
  <c r="N11" i="148"/>
  <c r="N23" i="148"/>
  <c r="N22" i="148"/>
  <c r="N19" i="148"/>
  <c r="N21" i="148"/>
  <c r="N18" i="148"/>
  <c r="M11" i="132"/>
  <c r="M13" i="132"/>
  <c r="E16" i="146"/>
  <c r="H7" i="146"/>
  <c r="F8" i="145"/>
  <c r="K7" i="146"/>
  <c r="J10" i="146"/>
  <c r="M11" i="146"/>
  <c r="N8" i="145"/>
  <c r="R8" i="145"/>
  <c r="M8" i="145"/>
  <c r="H8" i="145"/>
  <c r="I8" i="145"/>
  <c r="O10" i="146"/>
  <c r="S19" i="143"/>
  <c r="S14" i="143"/>
  <c r="F13" i="146"/>
  <c r="R5" i="146"/>
  <c r="D18" i="146"/>
  <c r="H5" i="146"/>
  <c r="I10" i="146"/>
  <c r="K11" i="146"/>
  <c r="K17" i="146"/>
  <c r="H18" i="146"/>
  <c r="D6" i="146"/>
  <c r="Q5" i="150"/>
  <c r="R5" i="151"/>
  <c r="R12" i="151"/>
  <c r="M14" i="136"/>
  <c r="D21" i="145"/>
  <c r="M12" i="136"/>
  <c r="E10" i="146"/>
  <c r="D5" i="146"/>
  <c r="D11" i="146"/>
  <c r="M11" i="148"/>
  <c r="M13" i="136"/>
  <c r="M15" i="136"/>
  <c r="M11" i="136"/>
  <c r="G21" i="145"/>
  <c r="U12" i="141"/>
  <c r="M11" i="144"/>
  <c r="Q12" i="151"/>
  <c r="P12" i="151" s="1"/>
  <c r="K11" i="132"/>
  <c r="K14" i="132"/>
  <c r="K13" i="132"/>
  <c r="L13" i="132" s="1"/>
  <c r="M12" i="132"/>
  <c r="K5" i="132"/>
  <c r="M14" i="132"/>
  <c r="T5" i="138" l="1"/>
  <c r="Y15" i="143"/>
  <c r="Y5" i="143"/>
  <c r="Y13" i="143"/>
  <c r="Q21" i="145"/>
  <c r="Q21" i="146" s="1"/>
  <c r="Q24" i="133"/>
  <c r="L20" i="148"/>
  <c r="M20" i="148" s="1"/>
  <c r="M10" i="146"/>
  <c r="M14" i="146" s="1"/>
  <c r="N10" i="140"/>
  <c r="N11" i="146"/>
  <c r="L18" i="143"/>
  <c r="O18" i="143" s="1"/>
  <c r="G8" i="145"/>
  <c r="G16" i="148"/>
  <c r="N21" i="145"/>
  <c r="J13" i="146"/>
  <c r="K14" i="147"/>
  <c r="M8" i="146"/>
  <c r="K15" i="147"/>
  <c r="J20" i="146"/>
  <c r="S20" i="146" s="1"/>
  <c r="M34" i="141"/>
  <c r="E11" i="134" s="1"/>
  <c r="L23" i="148"/>
  <c r="M23" i="148" s="1"/>
  <c r="S19" i="145"/>
  <c r="H13" i="146"/>
  <c r="H14" i="146" s="1"/>
  <c r="O8" i="146"/>
  <c r="M5" i="137"/>
  <c r="K19" i="147"/>
  <c r="Y16" i="143"/>
  <c r="Y12" i="143"/>
  <c r="G20" i="146"/>
  <c r="S12" i="145"/>
  <c r="M14" i="140"/>
  <c r="M32" i="140" s="1"/>
  <c r="I13" i="146"/>
  <c r="E20" i="146"/>
  <c r="L15" i="140"/>
  <c r="E46" i="143" s="1"/>
  <c r="L27" i="148"/>
  <c r="K11" i="144"/>
  <c r="B11" i="144" s="1"/>
  <c r="M7" i="146"/>
  <c r="Q5" i="151"/>
  <c r="K12" i="136"/>
  <c r="P17" i="146"/>
  <c r="P24" i="146" s="1"/>
  <c r="S23" i="145"/>
  <c r="L17" i="140"/>
  <c r="L35" i="140" s="1"/>
  <c r="B38" i="140" s="1"/>
  <c r="M15" i="140"/>
  <c r="M33" i="140" s="1"/>
  <c r="S13" i="145"/>
  <c r="G11" i="146"/>
  <c r="G14" i="146" s="1"/>
  <c r="L55" i="143"/>
  <c r="I14" i="146"/>
  <c r="E7" i="146"/>
  <c r="G23" i="136"/>
  <c r="H8" i="146"/>
  <c r="E11" i="146"/>
  <c r="E14" i="146" s="1"/>
  <c r="G24" i="145"/>
  <c r="F14" i="146"/>
  <c r="L14" i="140"/>
  <c r="L32" i="140" s="1"/>
  <c r="B32" i="140" s="1"/>
  <c r="M17" i="140"/>
  <c r="M35" i="140" s="1"/>
  <c r="D25" i="140"/>
  <c r="M16" i="140"/>
  <c r="M34" i="140" s="1"/>
  <c r="L26" i="140"/>
  <c r="B26" i="140" s="1"/>
  <c r="L26" i="148"/>
  <c r="K13" i="146"/>
  <c r="K18" i="147"/>
  <c r="P21" i="145"/>
  <c r="P21" i="146" s="1"/>
  <c r="N29" i="140"/>
  <c r="E36" i="141"/>
  <c r="E28" i="141"/>
  <c r="E20" i="141"/>
  <c r="I7" i="146"/>
  <c r="I8" i="146" s="1"/>
  <c r="L19" i="148"/>
  <c r="C25" i="140"/>
  <c r="R8" i="146"/>
  <c r="E8" i="145"/>
  <c r="I14" i="145"/>
  <c r="L17" i="148"/>
  <c r="M17" i="148" s="1"/>
  <c r="K14" i="136"/>
  <c r="L14" i="136" s="1"/>
  <c r="G13" i="132"/>
  <c r="G10" i="132"/>
  <c r="D21" i="146"/>
  <c r="D6" i="149"/>
  <c r="R6" i="138"/>
  <c r="L13" i="140"/>
  <c r="E26" i="143" s="1"/>
  <c r="I20" i="146"/>
  <c r="F7" i="146"/>
  <c r="L21" i="148"/>
  <c r="M21" i="148" s="1"/>
  <c r="Q8" i="145"/>
  <c r="O11" i="146"/>
  <c r="O14" i="146" s="1"/>
  <c r="L25" i="143"/>
  <c r="O25" i="143" s="1"/>
  <c r="E35" i="140"/>
  <c r="J7" i="146"/>
  <c r="J8" i="146" s="1"/>
  <c r="G18" i="148"/>
  <c r="L8" i="145"/>
  <c r="D7" i="146"/>
  <c r="G21" i="132"/>
  <c r="K12" i="147"/>
  <c r="K14" i="145"/>
  <c r="G13" i="137"/>
  <c r="G10" i="137"/>
  <c r="N17" i="140"/>
  <c r="F6" i="149"/>
  <c r="S12" i="143"/>
  <c r="L35" i="143"/>
  <c r="K13" i="136"/>
  <c r="N14" i="145"/>
  <c r="E5" i="146"/>
  <c r="S5" i="146" s="1"/>
  <c r="G13" i="136"/>
  <c r="G10" i="136"/>
  <c r="Q14" i="146"/>
  <c r="S6" i="145"/>
  <c r="G13" i="146"/>
  <c r="K13" i="147"/>
  <c r="K11" i="147"/>
  <c r="F48" i="143"/>
  <c r="F38" i="143"/>
  <c r="F28" i="143"/>
  <c r="F46" i="143"/>
  <c r="F36" i="143"/>
  <c r="F26" i="143"/>
  <c r="F19" i="143"/>
  <c r="F11" i="143"/>
  <c r="E36" i="143"/>
  <c r="D38" i="140"/>
  <c r="C38" i="140" s="1"/>
  <c r="U5" i="141"/>
  <c r="E12" i="141"/>
  <c r="V15" i="141"/>
  <c r="V13" i="141"/>
  <c r="Q12" i="150"/>
  <c r="P12" i="150" s="1"/>
  <c r="M14" i="137"/>
  <c r="K14" i="137"/>
  <c r="L14" i="137" s="1"/>
  <c r="K21" i="145"/>
  <c r="K24" i="145" s="1"/>
  <c r="K21" i="146"/>
  <c r="K24" i="146" s="1"/>
  <c r="K24" i="133"/>
  <c r="S22" i="146"/>
  <c r="L21" i="145"/>
  <c r="L21" i="146"/>
  <c r="L24" i="146" s="1"/>
  <c r="L24" i="133"/>
  <c r="S23" i="146"/>
  <c r="L11" i="144"/>
  <c r="H21" i="145"/>
  <c r="H24" i="145" s="1"/>
  <c r="H21" i="146"/>
  <c r="H24" i="146" s="1"/>
  <c r="D8" i="146"/>
  <c r="S22" i="145"/>
  <c r="N25" i="140"/>
  <c r="L11" i="132"/>
  <c r="N11" i="140"/>
  <c r="N28" i="140"/>
  <c r="N32" i="140"/>
  <c r="N31" i="140"/>
  <c r="H6" i="149"/>
  <c r="M27" i="148"/>
  <c r="Q8" i="146"/>
  <c r="E14" i="145"/>
  <c r="L15" i="136"/>
  <c r="L13" i="136"/>
  <c r="S17" i="145"/>
  <c r="S7" i="145"/>
  <c r="N23" i="140"/>
  <c r="M19" i="148"/>
  <c r="N16" i="140"/>
  <c r="N13" i="140"/>
  <c r="N33" i="140"/>
  <c r="F22" i="140"/>
  <c r="U6" i="141"/>
  <c r="C8" i="149" s="1"/>
  <c r="I21" i="145"/>
  <c r="K11" i="137"/>
  <c r="F10" i="142"/>
  <c r="S19" i="146"/>
  <c r="S18" i="146"/>
  <c r="S5" i="145"/>
  <c r="R5" i="150"/>
  <c r="S10" i="145"/>
  <c r="N15" i="140"/>
  <c r="O26" i="140"/>
  <c r="O28" i="140"/>
  <c r="P8" i="146"/>
  <c r="R24" i="146"/>
  <c r="W13" i="143"/>
  <c r="R14" i="145"/>
  <c r="E33" i="140"/>
  <c r="S11" i="145"/>
  <c r="L14" i="145"/>
  <c r="O25" i="140"/>
  <c r="D14" i="145"/>
  <c r="D8" i="145"/>
  <c r="S18" i="143"/>
  <c r="M30" i="148"/>
  <c r="D12" i="146"/>
  <c r="D14" i="146" s="1"/>
  <c r="Q14" i="145"/>
  <c r="L13" i="146"/>
  <c r="L14" i="146" s="1"/>
  <c r="P8" i="145"/>
  <c r="L18" i="148"/>
  <c r="E10" i="142"/>
  <c r="O31" i="140"/>
  <c r="N26" i="140"/>
  <c r="N5" i="140"/>
  <c r="N8" i="140"/>
  <c r="O24" i="140"/>
  <c r="D29" i="140"/>
  <c r="L28" i="140"/>
  <c r="B28" i="140" s="1"/>
  <c r="D30" i="140"/>
  <c r="N24" i="140"/>
  <c r="L16" i="140"/>
  <c r="E19" i="143" s="1"/>
  <c r="M13" i="140"/>
  <c r="M31" i="140" s="1"/>
  <c r="E6" i="146"/>
  <c r="G8" i="146"/>
  <c r="O14" i="145"/>
  <c r="D24" i="133"/>
  <c r="L12" i="132"/>
  <c r="N24" i="145"/>
  <c r="O8" i="145"/>
  <c r="J14" i="146"/>
  <c r="G14" i="145"/>
  <c r="G10" i="142"/>
  <c r="N12" i="140"/>
  <c r="O33" i="140"/>
  <c r="N7" i="140"/>
  <c r="N35" i="140"/>
  <c r="C30" i="140"/>
  <c r="L9" i="148"/>
  <c r="D27" i="140"/>
  <c r="C26" i="140"/>
  <c r="O34" i="140"/>
  <c r="M21" i="145"/>
  <c r="M24" i="145" s="1"/>
  <c r="S5" i="138"/>
  <c r="R14" i="146"/>
  <c r="L24" i="148"/>
  <c r="S12" i="150"/>
  <c r="L12" i="136"/>
  <c r="D24" i="145"/>
  <c r="E9" i="134" s="1"/>
  <c r="R24" i="145"/>
  <c r="E12" i="134" s="1"/>
  <c r="K14" i="146"/>
  <c r="E36" i="140"/>
  <c r="K8" i="145"/>
  <c r="J8" i="145"/>
  <c r="P14" i="145"/>
  <c r="M11" i="142"/>
  <c r="O32" i="140"/>
  <c r="L27" i="140"/>
  <c r="B27" i="140" s="1"/>
  <c r="C27" i="140"/>
  <c r="N6" i="140"/>
  <c r="N9" i="140"/>
  <c r="L25" i="148"/>
  <c r="M15" i="137"/>
  <c r="T12" i="138"/>
  <c r="J24" i="145"/>
  <c r="O29" i="140"/>
  <c r="N8" i="146"/>
  <c r="S20" i="145"/>
  <c r="L15" i="132"/>
  <c r="G21" i="146"/>
  <c r="G24" i="146" s="1"/>
  <c r="S16" i="145"/>
  <c r="E34" i="140"/>
  <c r="L24" i="145"/>
  <c r="H14" i="145"/>
  <c r="L7" i="146"/>
  <c r="L8" i="146" s="1"/>
  <c r="N34" i="140"/>
  <c r="O23" i="140"/>
  <c r="O27" i="140"/>
  <c r="O35" i="140"/>
  <c r="N14" i="140"/>
  <c r="K11" i="142"/>
  <c r="B11" i="142" s="1"/>
  <c r="S13" i="146"/>
  <c r="P14" i="146"/>
  <c r="S10" i="146"/>
  <c r="D24" i="146"/>
  <c r="S16" i="146"/>
  <c r="Q24" i="146"/>
  <c r="C10" i="134"/>
  <c r="N14" i="146"/>
  <c r="L11" i="137"/>
  <c r="L11" i="136"/>
  <c r="S6" i="146"/>
  <c r="F8" i="146"/>
  <c r="O24" i="133"/>
  <c r="O21" i="145"/>
  <c r="O24" i="145" s="1"/>
  <c r="S21" i="133"/>
  <c r="S24" i="133" s="1"/>
  <c r="L14" i="132"/>
  <c r="Q24" i="145"/>
  <c r="K5" i="137"/>
  <c r="M26" i="148"/>
  <c r="K13" i="137"/>
  <c r="U15" i="141"/>
  <c r="K15" i="137"/>
  <c r="K5" i="142"/>
  <c r="D11" i="142" s="1"/>
  <c r="M5" i="144"/>
  <c r="E21" i="146"/>
  <c r="M22" i="148"/>
  <c r="M11" i="137"/>
  <c r="N30" i="140"/>
  <c r="O30" i="140"/>
  <c r="S12" i="138"/>
  <c r="F10" i="144"/>
  <c r="H24" i="133"/>
  <c r="C9" i="134"/>
  <c r="E10" i="144"/>
  <c r="U14" i="141"/>
  <c r="K12" i="137"/>
  <c r="L11" i="142"/>
  <c r="S18" i="145"/>
  <c r="N21" i="146"/>
  <c r="N24" i="146" s="1"/>
  <c r="J21" i="146"/>
  <c r="K8" i="146"/>
  <c r="N12" i="134"/>
  <c r="C12" i="134"/>
  <c r="N11" i="134"/>
  <c r="N10" i="134"/>
  <c r="N9" i="134"/>
  <c r="S16" i="143"/>
  <c r="N26" i="148"/>
  <c r="R12" i="150"/>
  <c r="E11" i="143" l="1"/>
  <c r="W16" i="143"/>
  <c r="X16" i="143" s="1"/>
  <c r="W14" i="143"/>
  <c r="X14" i="143" s="1"/>
  <c r="D32" i="140"/>
  <c r="C32" i="140" s="1"/>
  <c r="L33" i="140"/>
  <c r="B33" i="140" s="1"/>
  <c r="W12" i="143"/>
  <c r="X12" i="143" s="1"/>
  <c r="D31" i="140"/>
  <c r="C31" i="140" s="1"/>
  <c r="L31" i="140"/>
  <c r="B31" i="140" s="1"/>
  <c r="E8" i="146"/>
  <c r="S17" i="146"/>
  <c r="D33" i="140"/>
  <c r="P24" i="145"/>
  <c r="J24" i="146"/>
  <c r="S11" i="146"/>
  <c r="F20" i="141"/>
  <c r="F28" i="141"/>
  <c r="F36" i="141"/>
  <c r="C11" i="134"/>
  <c r="F12" i="141"/>
  <c r="M21" i="146"/>
  <c r="M24" i="146" s="1"/>
  <c r="X13" i="143"/>
  <c r="I21" i="146"/>
  <c r="I24" i="146" s="1"/>
  <c r="I24" i="145"/>
  <c r="S24" i="145" s="1"/>
  <c r="M18" i="148"/>
  <c r="H12" i="134"/>
  <c r="I12" i="134"/>
  <c r="F12" i="134"/>
  <c r="G12" i="134"/>
  <c r="S8" i="145"/>
  <c r="S12" i="146"/>
  <c r="M24" i="148"/>
  <c r="S14" i="145"/>
  <c r="M25" i="148"/>
  <c r="D37" i="140"/>
  <c r="C37" i="140" s="1"/>
  <c r="W15" i="143"/>
  <c r="L34" i="140"/>
  <c r="B37" i="140" s="1"/>
  <c r="S7" i="146"/>
  <c r="S8" i="146" s="1"/>
  <c r="L13" i="137"/>
  <c r="S21" i="145"/>
  <c r="L12" i="137"/>
  <c r="L15" i="137"/>
  <c r="O21" i="146"/>
  <c r="O24" i="146" s="1"/>
  <c r="E24" i="146"/>
  <c r="S14" i="146" l="1"/>
  <c r="X15" i="143"/>
  <c r="S21" i="146"/>
  <c r="S24" i="14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19" authorId="0" shapeId="0" xr:uid="{00000000-0006-0000-0000-000001000000}">
      <text>
        <r>
          <rPr>
            <sz val="9"/>
            <color indexed="81"/>
            <rFont val="Tahoma"/>
            <family val="2"/>
          </rPr>
          <t>Includes fisheries consumption</t>
        </r>
      </text>
    </comment>
    <comment ref="AA19" authorId="0" shapeId="0" xr:uid="{00000000-0006-0000-0000-000002000000}">
      <text>
        <r>
          <rPr>
            <sz val="9"/>
            <color indexed="81"/>
            <rFont val="Tahoma"/>
            <family val="2"/>
          </rPr>
          <t>Includes fisheries consumption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J3" authorId="0" shapeId="0" xr:uid="{00000000-0006-0000-0A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O3" authorId="1" shapeId="0" xr:uid="{00000000-0006-0000-0A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P3" authorId="2" shapeId="0" xr:uid="{00000000-0006-0000-0A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Q3" authorId="2" shapeId="0" xr:uid="{00000000-0006-0000-0A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R3" authorId="2" shapeId="0" xr:uid="{00000000-0006-0000-0A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P20" authorId="2" shapeId="0" xr:uid="{00000000-0006-0000-0A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Q20" authorId="1" shapeId="0" xr:uid="{00000000-0006-0000-0A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R20" authorId="2" shapeId="0" xr:uid="{00000000-0006-0000-0A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J21" authorId="2" shapeId="0" xr:uid="{00000000-0006-0000-0A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O3" authorId="0" shapeId="0" xr:uid="{00000000-0006-0000-0B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T3" authorId="1" shapeId="0" xr:uid="{00000000-0006-0000-0B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U3" authorId="2" shapeId="0" xr:uid="{00000000-0006-0000-0B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V3" authorId="2" shapeId="0" xr:uid="{00000000-0006-0000-0B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W3" authorId="2" shapeId="0" xr:uid="{00000000-0006-0000-0B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U9" authorId="2" shapeId="0" xr:uid="{00000000-0006-0000-0B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V9" authorId="1" shapeId="0" xr:uid="{00000000-0006-0000-0B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W9" authorId="2" shapeId="0" xr:uid="{00000000-0006-0000-0B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O10" authorId="2" shapeId="0" xr:uid="{00000000-0006-0000-0B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U3" authorId="0" shapeId="0" xr:uid="{00000000-0006-0000-0C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Z3" authorId="1" shapeId="0" xr:uid="{00000000-0006-0000-0C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AA3" authorId="2" shapeId="0" xr:uid="{00000000-0006-0000-0C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AB3" authorId="2" shapeId="0" xr:uid="{00000000-0006-0000-0C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AC3" authorId="2" shapeId="0" xr:uid="{00000000-0006-0000-0C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AA9" authorId="2" shapeId="0" xr:uid="{00000000-0006-0000-0C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AB9" authorId="1" shapeId="0" xr:uid="{00000000-0006-0000-0C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AC9" authorId="2" shapeId="0" xr:uid="{00000000-0006-0000-0C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U10" authorId="2" shapeId="0" xr:uid="{00000000-0006-0000-0C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N3" authorId="0" shapeId="0" xr:uid="{00000000-0006-0000-0D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S3" authorId="1" shapeId="0" xr:uid="{00000000-0006-0000-0D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T3" authorId="2" shapeId="0" xr:uid="{00000000-0006-0000-0D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U3" authorId="2" shapeId="0" xr:uid="{00000000-0006-0000-0D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V3" authorId="2" shapeId="0" xr:uid="{00000000-0006-0000-0D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T9" authorId="2" shapeId="0" xr:uid="{00000000-0006-0000-0D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U9" authorId="1" shapeId="0" xr:uid="{00000000-0006-0000-0D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V9" authorId="2" shapeId="0" xr:uid="{00000000-0006-0000-0D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N10" authorId="2" shapeId="0" xr:uid="{00000000-0006-0000-0D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N3" authorId="0" shapeId="0" xr:uid="{00000000-0006-0000-0E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S3" authorId="1" shapeId="0" xr:uid="{00000000-0006-0000-0E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T3" authorId="2" shapeId="0" xr:uid="{00000000-0006-0000-0E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U3" authorId="2" shapeId="0" xr:uid="{00000000-0006-0000-0E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V3" authorId="2" shapeId="0" xr:uid="{00000000-0006-0000-0E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T9" authorId="2" shapeId="0" xr:uid="{00000000-0006-0000-0E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U9" authorId="1" shapeId="0" xr:uid="{00000000-0006-0000-0E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V9" authorId="2" shapeId="0" xr:uid="{00000000-0006-0000-0E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N10" authorId="2" shapeId="0" xr:uid="{00000000-0006-0000-0E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P3" authorId="0" shapeId="0" xr:uid="{00000000-0006-0000-0F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U3" authorId="1" shapeId="0" xr:uid="{00000000-0006-0000-0F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V3" authorId="2" shapeId="0" xr:uid="{00000000-0006-0000-0F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W3" authorId="2" shapeId="0" xr:uid="{00000000-0006-0000-0F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X3" authorId="2" shapeId="0" xr:uid="{00000000-0006-0000-0F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V9" authorId="2" shapeId="0" xr:uid="{00000000-0006-0000-0F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W9" authorId="1" shapeId="0" xr:uid="{00000000-0006-0000-0F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X9" authorId="2" shapeId="0" xr:uid="{00000000-0006-0000-0F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P10" authorId="2" shapeId="0" xr:uid="{00000000-0006-0000-0F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S3" authorId="0" shapeId="0" xr:uid="{00000000-0006-0000-10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X3" authorId="1" shapeId="0" xr:uid="{00000000-0006-0000-10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Y3" authorId="2" shapeId="0" xr:uid="{00000000-0006-0000-10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Z3" authorId="2" shapeId="0" xr:uid="{00000000-0006-0000-10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AA3" authorId="2" shapeId="0" xr:uid="{00000000-0006-0000-10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Y9" authorId="2" shapeId="0" xr:uid="{00000000-0006-0000-10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Z9" authorId="1" shapeId="0" xr:uid="{00000000-0006-0000-10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AA9" authorId="2" shapeId="0" xr:uid="{00000000-0006-0000-10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S10" authorId="2" shapeId="0" xr:uid="{00000000-0006-0000-10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19" authorId="0" shapeId="0" xr:uid="{00000000-0006-0000-0100-000001000000}">
      <text>
        <r>
          <rPr>
            <sz val="9"/>
            <color indexed="81"/>
            <rFont val="Tahoma"/>
            <family val="2"/>
          </rPr>
          <t>Includes fisheries consumption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19" authorId="0" shapeId="0" xr:uid="{00000000-0006-0000-0200-000001000000}">
      <text>
        <r>
          <rPr>
            <sz val="9"/>
            <color indexed="81"/>
            <rFont val="Tahoma"/>
            <family val="2"/>
          </rPr>
          <t>Includes fisheries consumption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I3" authorId="0" shapeId="0" xr:uid="{00000000-0006-0000-04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N3" authorId="1" shapeId="0" xr:uid="{00000000-0006-0000-04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O3" authorId="2" shapeId="0" xr:uid="{00000000-0006-0000-04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P3" authorId="2" shapeId="0" xr:uid="{00000000-0006-0000-04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Q3" authorId="2" shapeId="0" xr:uid="{00000000-0006-0000-04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O8" authorId="2" shapeId="0" xr:uid="{00000000-0006-0000-0400-000007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P8" authorId="1" shapeId="0" xr:uid="{00000000-0006-0000-0400-000008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Q8" authorId="2" shapeId="0" xr:uid="{00000000-0006-0000-0400-000009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I9" authorId="2" shapeId="0" xr:uid="{00000000-0006-0000-0400-00000A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I3" authorId="0" shapeId="0" xr:uid="{00000000-0006-0000-05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N3" authorId="1" shapeId="0" xr:uid="{00000000-0006-0000-05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O3" authorId="2" shapeId="0" xr:uid="{00000000-0006-0000-05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P3" authorId="2" shapeId="0" xr:uid="{00000000-0006-0000-05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Q3" authorId="2" shapeId="0" xr:uid="{00000000-0006-0000-05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O8" authorId="2" shapeId="0" xr:uid="{00000000-0006-0000-0500-000007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P8" authorId="1" shapeId="0" xr:uid="{00000000-0006-0000-0500-000008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Q8" authorId="2" shapeId="0" xr:uid="{00000000-0006-0000-0500-000009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I9" authorId="2" shapeId="0" xr:uid="{00000000-0006-0000-0500-00000A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I3" authorId="0" shapeId="0" xr:uid="{00000000-0006-0000-06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N3" authorId="1" shapeId="0" xr:uid="{00000000-0006-0000-06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O3" authorId="2" shapeId="0" xr:uid="{00000000-0006-0000-06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P3" authorId="2" shapeId="0" xr:uid="{00000000-0006-0000-06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Q3" authorId="2" shapeId="0" xr:uid="{00000000-0006-0000-06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O8" authorId="2" shapeId="0" xr:uid="{00000000-0006-0000-0600-000007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P8" authorId="1" shapeId="0" xr:uid="{00000000-0006-0000-0600-000008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Q8" authorId="2" shapeId="0" xr:uid="{00000000-0006-0000-0600-000009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I9" authorId="2" shapeId="0" xr:uid="{00000000-0006-0000-0600-00000A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I3" authorId="0" shapeId="0" xr:uid="{00000000-0006-0000-07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N3" authorId="1" shapeId="0" xr:uid="{00000000-0006-0000-07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O3" authorId="2" shapeId="0" xr:uid="{00000000-0006-0000-07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P3" authorId="2" shapeId="0" xr:uid="{00000000-0006-0000-07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Q3" authorId="2" shapeId="0" xr:uid="{00000000-0006-0000-07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G8" authorId="2" shapeId="0" xr:uid="{00000000-0006-0000-0700-000006000000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O8" authorId="2" shapeId="0" xr:uid="{00000000-0006-0000-0700-000007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P8" authorId="1" shapeId="0" xr:uid="{00000000-0006-0000-0700-000008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Q8" authorId="2" shapeId="0" xr:uid="{00000000-0006-0000-0700-000009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I9" authorId="2" shapeId="0" xr:uid="{00000000-0006-0000-0700-00000A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I3" authorId="0" shapeId="0" xr:uid="{00000000-0006-0000-08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N3" authorId="1" shapeId="0" xr:uid="{00000000-0006-0000-08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O3" authorId="2" shapeId="0" xr:uid="{00000000-0006-0000-08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P3" authorId="2" shapeId="0" xr:uid="{00000000-0006-0000-08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Q3" authorId="2" shapeId="0" xr:uid="{00000000-0006-0000-08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G8" authorId="2" shapeId="0" xr:uid="{00000000-0006-0000-0800-000006000000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O8" authorId="2" shapeId="0" xr:uid="{00000000-0006-0000-0800-000007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P8" authorId="1" shapeId="0" xr:uid="{00000000-0006-0000-0800-000008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Q8" authorId="2" shapeId="0" xr:uid="{00000000-0006-0000-0800-000009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I9" authorId="2" shapeId="0" xr:uid="{00000000-0006-0000-0800-00000A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J3" authorId="0" shapeId="0" xr:uid="{00000000-0006-0000-09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O3" authorId="1" shapeId="0" xr:uid="{00000000-0006-0000-09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P3" authorId="2" shapeId="0" xr:uid="{00000000-0006-0000-09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Q3" authorId="2" shapeId="0" xr:uid="{00000000-0006-0000-09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R3" authorId="2" shapeId="0" xr:uid="{00000000-0006-0000-09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P14" authorId="2" shapeId="0" xr:uid="{00000000-0006-0000-0900-000007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Q14" authorId="1" shapeId="0" xr:uid="{00000000-0006-0000-0900-000008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R14" authorId="2" shapeId="0" xr:uid="{00000000-0006-0000-0900-000009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J15" authorId="2" shapeId="0" xr:uid="{00000000-0006-0000-0900-00000A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<sst xmlns="http://schemas.openxmlformats.org/spreadsheetml/2006/main" count="1830" uniqueCount="311">
  <si>
    <t>CommName</t>
  </si>
  <si>
    <t>TechName</t>
  </si>
  <si>
    <t>TechDesc</t>
  </si>
  <si>
    <t>CommDesc</t>
  </si>
  <si>
    <t>Unit</t>
  </si>
  <si>
    <t>Comm-IN</t>
  </si>
  <si>
    <t>Comm-OUT</t>
  </si>
  <si>
    <t>Csets</t>
  </si>
  <si>
    <t>LimType</t>
  </si>
  <si>
    <t>CTSLvl</t>
  </si>
  <si>
    <t>PeakTS</t>
  </si>
  <si>
    <t>Sets</t>
  </si>
  <si>
    <t>Ctype</t>
  </si>
  <si>
    <t>~FI_T</t>
  </si>
  <si>
    <t>~FI_Comm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</si>
  <si>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</si>
  <si>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</si>
  <si>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</si>
  <si>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</si>
  <si>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</si>
  <si>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</si>
  <si>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</si>
  <si>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</si>
  <si>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</si>
  <si>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</si>
  <si>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</si>
  <si>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Commodity Name</t>
  </si>
  <si>
    <t>Commodity Description</t>
  </si>
  <si>
    <t>Peak Monitoring</t>
  </si>
  <si>
    <t>Electricity Indicator</t>
  </si>
  <si>
    <t>Region</t>
  </si>
  <si>
    <t>Region Name</t>
  </si>
  <si>
    <t>Input Commodity</t>
  </si>
  <si>
    <t>Output Commodity</t>
  </si>
  <si>
    <t>Existing Installed Capacity</t>
  </si>
  <si>
    <t>Demand</t>
  </si>
  <si>
    <t>Demand Value</t>
  </si>
  <si>
    <t>CUM</t>
  </si>
  <si>
    <t>COST</t>
  </si>
  <si>
    <t>Reserves Cumulative Value</t>
  </si>
  <si>
    <t>*Commodity Set Membership</t>
  </si>
  <si>
    <t>*Process Set Membership</t>
  </si>
  <si>
    <t>*Technology Name</t>
  </si>
  <si>
    <t>Sense of the Balance EQN.</t>
  </si>
  <si>
    <t>Timeslice Level</t>
  </si>
  <si>
    <t>Primary Commodity Group</t>
  </si>
  <si>
    <t>TimeSlice level of Process Activity</t>
  </si>
  <si>
    <t>COA</t>
  </si>
  <si>
    <t>GAS</t>
  </si>
  <si>
    <t>OIL</t>
  </si>
  <si>
    <t>NUC</t>
  </si>
  <si>
    <t>RNW</t>
  </si>
  <si>
    <t>SLU</t>
  </si>
  <si>
    <t>HET</t>
  </si>
  <si>
    <t>ELC</t>
  </si>
  <si>
    <t>Solid Fuels</t>
  </si>
  <si>
    <t>Natural Gas</t>
  </si>
  <si>
    <t>Nuclear Energy</t>
  </si>
  <si>
    <t>Renewable Energies</t>
  </si>
  <si>
    <t>Industrial Wastes</t>
  </si>
  <si>
    <t>Derived Heat</t>
  </si>
  <si>
    <t>Total</t>
  </si>
  <si>
    <t>PRIMARY</t>
  </si>
  <si>
    <t>MIN</t>
  </si>
  <si>
    <t>Domestic Supply</t>
  </si>
  <si>
    <t>IMP</t>
  </si>
  <si>
    <t>Imports</t>
  </si>
  <si>
    <t>EXP</t>
  </si>
  <si>
    <t>Exports</t>
  </si>
  <si>
    <t>CONVERSION</t>
  </si>
  <si>
    <t>ESC</t>
  </si>
  <si>
    <t>Energy Sector Consumption</t>
  </si>
  <si>
    <t>Electricity Plants</t>
  </si>
  <si>
    <t>HPL</t>
  </si>
  <si>
    <t>Heat Plants</t>
  </si>
  <si>
    <t>REF</t>
  </si>
  <si>
    <t>Petroleum Refineries</t>
  </si>
  <si>
    <t>Total Conversion</t>
  </si>
  <si>
    <t>FINAL</t>
  </si>
  <si>
    <t>RSD</t>
  </si>
  <si>
    <t>Residential</t>
  </si>
  <si>
    <t>COM</t>
  </si>
  <si>
    <t>Commercial</t>
  </si>
  <si>
    <t>IND</t>
  </si>
  <si>
    <t>Industry</t>
  </si>
  <si>
    <t>AGR</t>
  </si>
  <si>
    <t>Agriculture</t>
  </si>
  <si>
    <t>TRA</t>
  </si>
  <si>
    <t>Transport</t>
  </si>
  <si>
    <t>OTH</t>
  </si>
  <si>
    <t>Other</t>
  </si>
  <si>
    <t>Non Energy</t>
  </si>
  <si>
    <t>Bunkers</t>
  </si>
  <si>
    <t>NRG</t>
  </si>
  <si>
    <t>Sector Name</t>
  </si>
  <si>
    <t>Commodity</t>
  </si>
  <si>
    <t>Description</t>
  </si>
  <si>
    <t>PJ</t>
  </si>
  <si>
    <t>Default Unit</t>
  </si>
  <si>
    <t>Currency Unit</t>
  </si>
  <si>
    <t>M€</t>
  </si>
  <si>
    <t>ACT_BND</t>
  </si>
  <si>
    <t>LIFE</t>
  </si>
  <si>
    <t>Attribute</t>
  </si>
  <si>
    <t>*</t>
  </si>
  <si>
    <t>Demand Commodity Name</t>
  </si>
  <si>
    <t>DEM</t>
  </si>
  <si>
    <t>EFF</t>
  </si>
  <si>
    <t>NEN</t>
  </si>
  <si>
    <t>BNK</t>
  </si>
  <si>
    <t>Electricity</t>
  </si>
  <si>
    <t>TFC</t>
  </si>
  <si>
    <t>Efficiency</t>
  </si>
  <si>
    <t>*Units</t>
  </si>
  <si>
    <t>Years</t>
  </si>
  <si>
    <t>Annual Production Bound</t>
  </si>
  <si>
    <t>Cost</t>
  </si>
  <si>
    <t>Default Units</t>
  </si>
  <si>
    <t>Currency</t>
  </si>
  <si>
    <t>Activity</t>
  </si>
  <si>
    <t>DMD</t>
  </si>
  <si>
    <t>Existing</t>
  </si>
  <si>
    <t>E</t>
  </si>
  <si>
    <t>N</t>
  </si>
  <si>
    <t>ENV_ACT</t>
  </si>
  <si>
    <t>Sector</t>
  </si>
  <si>
    <t>SH</t>
  </si>
  <si>
    <t>AP</t>
  </si>
  <si>
    <t>OT</t>
  </si>
  <si>
    <t>Space Heating</t>
  </si>
  <si>
    <t>Appliancens</t>
  </si>
  <si>
    <t>D1</t>
  </si>
  <si>
    <t>D6</t>
  </si>
  <si>
    <t>Demand 1</t>
  </si>
  <si>
    <t>Demand 6</t>
  </si>
  <si>
    <t>Emissions</t>
  </si>
  <si>
    <t>kt</t>
  </si>
  <si>
    <t>ENV</t>
  </si>
  <si>
    <t>CO2</t>
  </si>
  <si>
    <t>Nox</t>
  </si>
  <si>
    <t>VOC</t>
  </si>
  <si>
    <t>Carbon dioxide</t>
  </si>
  <si>
    <t>NOX</t>
  </si>
  <si>
    <t>Sector Fuel</t>
  </si>
  <si>
    <t>PRE</t>
  </si>
  <si>
    <t>Deafult unit</t>
  </si>
  <si>
    <t>Type</t>
  </si>
  <si>
    <t>Demand Technologies</t>
  </si>
  <si>
    <t>Domestic Supply Curve Share - Step 1</t>
  </si>
  <si>
    <t>Domestic Supply Curve Share - Step 2</t>
  </si>
  <si>
    <t>Break-out by end-use</t>
  </si>
  <si>
    <t>Emission by sector</t>
  </si>
  <si>
    <t>Capacity unit</t>
  </si>
  <si>
    <t>Power Plants</t>
  </si>
  <si>
    <t>GW</t>
  </si>
  <si>
    <t>ELE</t>
  </si>
  <si>
    <t>Total Production</t>
  </si>
  <si>
    <t>Power Plant Type</t>
  </si>
  <si>
    <t>CHP</t>
  </si>
  <si>
    <t>Renewable</t>
  </si>
  <si>
    <t>R</t>
  </si>
  <si>
    <t>C</t>
  </si>
  <si>
    <t>T</t>
  </si>
  <si>
    <t>Code</t>
  </si>
  <si>
    <t>Thermal</t>
  </si>
  <si>
    <t>CALIBRATION</t>
  </si>
  <si>
    <t>Demand Driver (annual growth)</t>
  </si>
  <si>
    <t>Timeslices</t>
  </si>
  <si>
    <t>COM_FR</t>
  </si>
  <si>
    <t>SD</t>
  </si>
  <si>
    <t>SN</t>
  </si>
  <si>
    <t>WD</t>
  </si>
  <si>
    <t>WN</t>
  </si>
  <si>
    <t>DAYNITE</t>
  </si>
  <si>
    <t>SEASON</t>
  </si>
  <si>
    <t>Break-out by Region 1</t>
  </si>
  <si>
    <t>REG1</t>
  </si>
  <si>
    <t>REG2</t>
  </si>
  <si>
    <t>Nuclear</t>
  </si>
  <si>
    <t>STOCK</t>
  </si>
  <si>
    <t>Crude oil</t>
  </si>
  <si>
    <t>DSL</t>
  </si>
  <si>
    <t>KER</t>
  </si>
  <si>
    <t>LPG</t>
  </si>
  <si>
    <t>GSL</t>
  </si>
  <si>
    <t>NAP</t>
  </si>
  <si>
    <t>HFO</t>
  </si>
  <si>
    <t>OPP</t>
  </si>
  <si>
    <t>Heavy Fuel Oil</t>
  </si>
  <si>
    <t>Other Petroleum Products</t>
  </si>
  <si>
    <t>Kerosenes</t>
  </si>
  <si>
    <t>Motor spirit</t>
  </si>
  <si>
    <t>Naphtha</t>
  </si>
  <si>
    <t>Refinery</t>
  </si>
  <si>
    <t>Pja</t>
  </si>
  <si>
    <t>NRGI</t>
  </si>
  <si>
    <t>Diesel oil</t>
  </si>
  <si>
    <t>PRI</t>
  </si>
  <si>
    <t>CAR</t>
  </si>
  <si>
    <t>Cars</t>
  </si>
  <si>
    <t>Capacity</t>
  </si>
  <si>
    <t>000_Units</t>
  </si>
  <si>
    <t>DEMO</t>
  </si>
  <si>
    <t>*Unit</t>
  </si>
  <si>
    <t>Demand Unit</t>
  </si>
  <si>
    <t>Input Share</t>
  </si>
  <si>
    <t>Share-I~UP</t>
  </si>
  <si>
    <t>M€2005</t>
  </si>
  <si>
    <t>Data used in the template to buld the model</t>
  </si>
  <si>
    <t>kt/PJ</t>
  </si>
  <si>
    <t>User inputs</t>
  </si>
  <si>
    <t>Linked to the Energy Balance</t>
  </si>
  <si>
    <t>Conversion (Refinery)</t>
  </si>
  <si>
    <t>Primary Supply (Mining, Import/Export)</t>
  </si>
  <si>
    <t>Conversion (Power Sector)</t>
  </si>
  <si>
    <t>Demand Sectors</t>
  </si>
  <si>
    <t>Petroleoum Products Imp/Exp</t>
  </si>
  <si>
    <t>Objective Function by Scenario</t>
  </si>
  <si>
    <t>Total Final Consumption</t>
  </si>
  <si>
    <t>TPS</t>
  </si>
  <si>
    <t>Total Primary Supply</t>
  </si>
  <si>
    <t>Lifetime</t>
  </si>
  <si>
    <t>Crude Oil</t>
  </si>
  <si>
    <t>BPkm</t>
  </si>
  <si>
    <t>Bpass*km</t>
  </si>
  <si>
    <t>BPass*km</t>
  </si>
  <si>
    <t>_SysCost Result table</t>
  </si>
  <si>
    <t>Run names:</t>
  </si>
  <si>
    <t xml:space="preserve"> DemoS_007</t>
  </si>
  <si>
    <t xml:space="preserve"> DemoS_007a</t>
  </si>
  <si>
    <t xml:space="preserve"> DemoS_007b</t>
  </si>
  <si>
    <t xml:space="preserve"> DemoS_007c</t>
  </si>
  <si>
    <t>with Elastic Demand</t>
  </si>
  <si>
    <t>Reference Energy System</t>
  </si>
  <si>
    <t>process</t>
  </si>
  <si>
    <t>attribute</t>
  </si>
  <si>
    <t>MINCOA1</t>
  </si>
  <si>
    <t>ACT_CUM</t>
  </si>
  <si>
    <t>MINCOA2</t>
  </si>
  <si>
    <t>MINCOA3</t>
  </si>
  <si>
    <t>\I:</t>
  </si>
  <si>
    <t>IMPCOA1</t>
  </si>
  <si>
    <t>EXPCOA1</t>
  </si>
  <si>
    <t>MINGAS1</t>
  </si>
  <si>
    <t>MINGAS2</t>
  </si>
  <si>
    <t>MINGAS3</t>
  </si>
  <si>
    <t>IMPGAS1</t>
  </si>
  <si>
    <t>EXPGAS1</t>
  </si>
  <si>
    <t>EXPOIL1</t>
  </si>
  <si>
    <t>IMPOIL1</t>
  </si>
  <si>
    <t>MINOIL3</t>
  </si>
  <si>
    <t>MINOIL2</t>
  </si>
  <si>
    <t>MINOIL1</t>
  </si>
  <si>
    <t>commodity_group</t>
  </si>
  <si>
    <t>lim_type</t>
  </si>
  <si>
    <t>currency</t>
  </si>
  <si>
    <t>time_slice</t>
  </si>
  <si>
    <t>ROTEGAS</t>
  </si>
  <si>
    <t>ACT_EFF</t>
  </si>
  <si>
    <t>ACT</t>
  </si>
  <si>
    <t>ANNUAL</t>
  </si>
  <si>
    <t>RSDGAS</t>
  </si>
  <si>
    <t>RSDCO2</t>
  </si>
  <si>
    <t>NCAP_AFA</t>
  </si>
  <si>
    <t>DROT</t>
  </si>
  <si>
    <t>UP</t>
  </si>
  <si>
    <t>NCAP_FOM</t>
  </si>
  <si>
    <t>MEuro05</t>
  </si>
  <si>
    <t>NCAP_TLIFE</t>
  </si>
  <si>
    <t>PRC_RESID</t>
  </si>
  <si>
    <t>DTPSELC</t>
  </si>
  <si>
    <t>TPSELC</t>
  </si>
  <si>
    <t>NCAP_COST</t>
  </si>
  <si>
    <t>DTPSCOA</t>
  </si>
  <si>
    <t>TPSCOA</t>
  </si>
  <si>
    <t>TCAREDSL</t>
  </si>
  <si>
    <t>NCAP_BND</t>
  </si>
  <si>
    <t>PRC_CAPACT</t>
  </si>
  <si>
    <t>TCAREGAS</t>
  </si>
  <si>
    <t>TCAREGSL</t>
  </si>
  <si>
    <t>TCARELPG</t>
  </si>
  <si>
    <t>REFEOIL00</t>
  </si>
  <si>
    <t>FLO_SHAR</t>
  </si>
  <si>
    <t>REFEOIL00_NRGO</t>
  </si>
  <si>
    <t>EXPDSL1</t>
  </si>
  <si>
    <t>EXPGSL1</t>
  </si>
  <si>
    <t>EXPHFO1</t>
  </si>
  <si>
    <t>EXPKER1</t>
  </si>
  <si>
    <t>EXPLPG1</t>
  </si>
  <si>
    <t>EXPNAP1</t>
  </si>
  <si>
    <t>EXPOPP1</t>
  </si>
  <si>
    <t>IMPDSL1</t>
  </si>
  <si>
    <t>IMPGSL1</t>
  </si>
  <si>
    <t>IMPHFO1</t>
  </si>
  <si>
    <t>IMPKER1</t>
  </si>
  <si>
    <t>IMPLPG1</t>
  </si>
  <si>
    <t>IMPNAP1</t>
  </si>
  <si>
    <t>IMPOPP1</t>
  </si>
  <si>
    <t>ELCNENUC00</t>
  </si>
  <si>
    <t>ACT_COST</t>
  </si>
  <si>
    <t>NCAP_PKCNT</t>
  </si>
  <si>
    <t>ELCRERNW00</t>
  </si>
  <si>
    <t>ELCTECOA00</t>
  </si>
  <si>
    <t>FLO_EMIS</t>
  </si>
  <si>
    <t>ELCTEGAS00</t>
  </si>
  <si>
    <t>ELCTEOIL00</t>
  </si>
  <si>
    <t>ACTFLO</t>
  </si>
  <si>
    <t>2030~REG1</t>
  </si>
  <si>
    <t>2030~REG2</t>
  </si>
  <si>
    <t>Other_Indexes</t>
  </si>
  <si>
    <t>VD_EMCB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</si>
</sst>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_-;\-* #,##0.00_-;_-* &quot;-&quot;??_-;_-@_-"/>
    <numFmt numFmtId="165" formatCode="General_)"/>
    <numFmt numFmtId="166" formatCode="0.0000"/>
    <numFmt numFmtId="167" formatCode="\Te\x\t"/>
  </numFmts>
  <fonts count="36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ourier"/>
      <family val="3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9"/>
      <name val="Arial"/>
      <family val="2"/>
    </font>
    <font>
      <sz val="9"/>
      <name val="Arial"/>
      <family val="2"/>
    </font>
    <font>
      <sz val="9"/>
      <color indexed="81"/>
      <name val="Tahoma"/>
      <family val="2"/>
    </font>
    <font>
      <sz val="14"/>
      <color indexed="9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0"/>
      <color rgb="FFFF0000"/>
      <name val="Arial"/>
      <family val="2"/>
    </font>
    <font>
      <sz val="8"/>
      <color theme="1"/>
      <name val="Arial"/>
      <family val="2"/>
    </font>
    <font>
      <b/>
      <sz val="10"/>
      <color rgb="FFFF0000"/>
      <name val="Arial"/>
      <family val="2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Arial"/>
      <family val="2"/>
    </font>
    <font>
      <b/>
      <sz val="8"/>
      <color theme="1"/>
      <name val="Arial"/>
      <family val="2"/>
    </font>
    <font>
      <b/>
      <sz val="10"/>
      <color theme="9" tint="-0.249977111117893"/>
      <name val="Arial"/>
      <family val="2"/>
    </font>
    <font>
      <sz val="18"/>
      <color theme="0"/>
      <name val="Calibri"/>
      <family val="2"/>
      <scheme val="minor"/>
    </font>
    <font>
      <b/>
      <sz val="14"/>
      <color rgb="FFFF0000"/>
      <name val="Arial"/>
      <family val="2"/>
    </font>
    <font>
      <sz val="8.25"/>
      <color rgb="FF000000"/>
      <name val="Microsoft Sans Serif"/>
      <family val="2"/>
    </font>
    <font>
      <sz val="8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rgb="FFF2F2F2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rgb="FF7F7F7F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7F7F7F"/>
      </right>
      <top style="thin">
        <color indexed="64"/>
      </top>
      <bottom style="thin">
        <color indexed="64"/>
      </bottom>
      <diagonal/>
    </border>
  </borders>
  <cellStyleXfs count="58">
    <xf numFmtId="0" fontId="0" fillId="0" borderId="0"/>
    <xf numFmtId="0" fontId="17" fillId="3" borderId="0" applyNumberFormat="0" applyBorder="0" applyAlignment="0" applyProtection="0"/>
    <xf numFmtId="0" fontId="17" fillId="4" borderId="0" applyNumberFormat="0" applyBorder="0" applyAlignment="0" applyProtection="0"/>
    <xf numFmtId="0" fontId="18" fillId="5" borderId="0" applyNumberFormat="0" applyBorder="0" applyAlignment="0" applyProtection="0"/>
    <xf numFmtId="0" fontId="18" fillId="6" borderId="0" applyNumberFormat="0" applyBorder="0" applyAlignment="0" applyProtection="0"/>
    <xf numFmtId="0" fontId="18" fillId="7" borderId="0" applyNumberFormat="0" applyBorder="0" applyAlignment="0" applyProtection="0"/>
    <xf numFmtId="0" fontId="19" fillId="8" borderId="19" applyNumberFormat="0" applyAlignment="0" applyProtection="0"/>
    <xf numFmtId="164" fontId="17" fillId="0" borderId="0" applyFont="0" applyFill="0" applyBorder="0" applyAlignment="0" applyProtection="0"/>
    <xf numFmtId="0" fontId="20" fillId="9" borderId="0" applyNumberFormat="0" applyBorder="0" applyAlignment="0" applyProtection="0"/>
    <xf numFmtId="0" fontId="21" fillId="10" borderId="19" applyNumberFormat="0" applyAlignment="0" applyProtection="0"/>
    <xf numFmtId="0" fontId="22" fillId="11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7" fillId="0" borderId="0"/>
    <xf numFmtId="0" fontId="5" fillId="0" borderId="0"/>
    <xf numFmtId="0" fontId="3" fillId="0" borderId="0"/>
    <xf numFmtId="9" fontId="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5" fillId="0" borderId="0"/>
    <xf numFmtId="0" fontId="1" fillId="0" borderId="0"/>
    <xf numFmtId="0" fontId="1" fillId="0" borderId="0"/>
    <xf numFmtId="0" fontId="2" fillId="0" borderId="0"/>
    <xf numFmtId="0" fontId="1" fillId="3" borderId="0" applyNumberFormat="0" applyBorder="0" applyAlignment="0" applyProtection="0"/>
    <xf numFmtId="0" fontId="2" fillId="0" borderId="0"/>
    <xf numFmtId="0" fontId="2" fillId="0" borderId="0"/>
    <xf numFmtId="0" fontId="18" fillId="5" borderId="0" applyNumberFormat="0" applyBorder="0" applyAlignment="0" applyProtection="0"/>
    <xf numFmtId="164" fontId="1" fillId="0" borderId="0" applyFont="0" applyFill="0" applyBorder="0" applyAlignment="0" applyProtection="0"/>
    <xf numFmtId="0" fontId="22" fillId="11" borderId="0" applyNumberFormat="0" applyBorder="0" applyAlignment="0" applyProtection="0"/>
    <xf numFmtId="0" fontId="2" fillId="0" borderId="0"/>
    <xf numFmtId="0" fontId="1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" fillId="0" borderId="0"/>
    <xf numFmtId="0" fontId="18" fillId="5" borderId="0" applyNumberFormat="0" applyBorder="0" applyAlignment="0" applyProtection="0"/>
    <xf numFmtId="0" fontId="2" fillId="0" borderId="0"/>
    <xf numFmtId="0" fontId="2" fillId="0" borderId="0"/>
    <xf numFmtId="0" fontId="22" fillId="11" borderId="0" applyNumberFormat="0" applyBorder="0" applyAlignment="0" applyProtection="0"/>
    <xf numFmtId="0" fontId="2" fillId="0" borderId="0"/>
  </cellStyleXfs>
  <cellXfs count="243">
    <xf numFmtId="0" fontId="0" fillId="0" borderId="0" xfId="0"/>
    <xf numFmtId="0" fontId="5" fillId="0" borderId="0" xfId="0" applyFont="1"/>
    <xf numFmtId="0" fontId="6" fillId="0" borderId="0" xfId="0" applyFont="1"/>
    <xf numFmtId="0" fontId="4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vertical="center"/>
    </xf>
    <xf numFmtId="0" fontId="6" fillId="0" borderId="0" xfId="13" applyFont="1" applyAlignment="1">
      <alignment horizontal="left"/>
    </xf>
    <xf numFmtId="0" fontId="0" fillId="0" borderId="2" xfId="0" applyBorder="1"/>
    <xf numFmtId="165" fontId="9" fillId="0" borderId="2" xfId="0" applyNumberFormat="1" applyFont="1" applyBorder="1" applyAlignment="1">
      <alignment horizontal="left" vertical="center"/>
    </xf>
    <xf numFmtId="1" fontId="0" fillId="0" borderId="0" xfId="0" applyNumberFormat="1"/>
    <xf numFmtId="0" fontId="18" fillId="7" borderId="0" xfId="5"/>
    <xf numFmtId="0" fontId="23" fillId="0" borderId="0" xfId="8" applyFont="1" applyFill="1"/>
    <xf numFmtId="0" fontId="24" fillId="0" borderId="0" xfId="0" applyFont="1"/>
    <xf numFmtId="0" fontId="23" fillId="12" borderId="0" xfId="8" applyFont="1" applyFill="1"/>
    <xf numFmtId="0" fontId="5" fillId="0" borderId="0" xfId="10" applyFont="1" applyFill="1"/>
    <xf numFmtId="1" fontId="5" fillId="0" borderId="0" xfId="0" applyNumberFormat="1" applyFont="1"/>
    <xf numFmtId="0" fontId="25" fillId="3" borderId="3" xfId="1" applyFont="1" applyBorder="1" applyAlignment="1">
      <alignment horizontal="center" wrapText="1"/>
    </xf>
    <xf numFmtId="0" fontId="25" fillId="3" borderId="3" xfId="1" applyFont="1" applyBorder="1" applyAlignment="1">
      <alignment horizontal="left" wrapText="1"/>
    </xf>
    <xf numFmtId="0" fontId="25" fillId="3" borderId="1" xfId="1" applyFont="1" applyBorder="1" applyAlignment="1">
      <alignment horizontal="left" wrapText="1"/>
    </xf>
    <xf numFmtId="0" fontId="4" fillId="2" borderId="1" xfId="13" applyFont="1" applyFill="1" applyBorder="1" applyAlignment="1">
      <alignment horizontal="left" vertical="center"/>
    </xf>
    <xf numFmtId="0" fontId="4" fillId="2" borderId="4" xfId="0" applyFont="1" applyFill="1" applyBorder="1" applyAlignment="1">
      <alignment horizontal="left"/>
    </xf>
    <xf numFmtId="0" fontId="0" fillId="0" borderId="0" xfId="0" applyAlignment="1">
      <alignment wrapText="1"/>
    </xf>
    <xf numFmtId="0" fontId="23" fillId="12" borderId="0" xfId="8" applyFont="1" applyFill="1" applyAlignment="1">
      <alignment wrapText="1"/>
    </xf>
    <xf numFmtId="0" fontId="26" fillId="0" borderId="0" xfId="0" applyFont="1"/>
    <xf numFmtId="0" fontId="5" fillId="0" borderId="5" xfId="0" applyFont="1" applyBorder="1"/>
    <xf numFmtId="0" fontId="5" fillId="0" borderId="6" xfId="0" applyFont="1" applyBorder="1"/>
    <xf numFmtId="9" fontId="24" fillId="0" borderId="6" xfId="18" applyFont="1" applyBorder="1" applyAlignment="1"/>
    <xf numFmtId="0" fontId="5" fillId="0" borderId="7" xfId="0" applyFont="1" applyBorder="1"/>
    <xf numFmtId="9" fontId="24" fillId="0" borderId="7" xfId="18" applyFont="1" applyBorder="1" applyAlignment="1"/>
    <xf numFmtId="9" fontId="24" fillId="0" borderId="0" xfId="18" applyFont="1" applyBorder="1" applyAlignment="1"/>
    <xf numFmtId="0" fontId="18" fillId="7" borderId="0" xfId="5" applyAlignment="1">
      <alignment wrapText="1"/>
    </xf>
    <xf numFmtId="2" fontId="5" fillId="0" borderId="0" xfId="0" applyNumberFormat="1" applyFont="1"/>
    <xf numFmtId="0" fontId="4" fillId="0" borderId="0" xfId="0" applyFont="1"/>
    <xf numFmtId="0" fontId="0" fillId="0" borderId="0" xfId="0" applyAlignment="1">
      <alignment horizontal="center" wrapText="1"/>
    </xf>
    <xf numFmtId="0" fontId="5" fillId="0" borderId="0" xfId="11"/>
    <xf numFmtId="0" fontId="5" fillId="0" borderId="0" xfId="11" applyAlignment="1">
      <alignment wrapText="1"/>
    </xf>
    <xf numFmtId="0" fontId="4" fillId="0" borderId="0" xfId="13" applyFont="1" applyAlignment="1">
      <alignment horizontal="right" vertical="center" wrapText="1"/>
    </xf>
    <xf numFmtId="1" fontId="5" fillId="0" borderId="0" xfId="11" applyNumberFormat="1"/>
    <xf numFmtId="0" fontId="27" fillId="0" borderId="0" xfId="8" applyFont="1" applyFill="1"/>
    <xf numFmtId="0" fontId="28" fillId="0" borderId="0" xfId="5" applyFont="1" applyFill="1" applyAlignment="1">
      <alignment wrapText="1"/>
    </xf>
    <xf numFmtId="9" fontId="0" fillId="0" borderId="0" xfId="18" applyFont="1" applyBorder="1" applyAlignment="1"/>
    <xf numFmtId="0" fontId="5" fillId="0" borderId="8" xfId="0" applyFont="1" applyBorder="1"/>
    <xf numFmtId="0" fontId="5" fillId="0" borderId="2" xfId="0" applyFont="1" applyBorder="1"/>
    <xf numFmtId="0" fontId="5" fillId="0" borderId="2" xfId="11" applyBorder="1"/>
    <xf numFmtId="0" fontId="25" fillId="13" borderId="3" xfId="2" applyFont="1" applyFill="1" applyBorder="1" applyAlignment="1">
      <alignment horizontal="right" wrapText="1"/>
    </xf>
    <xf numFmtId="1" fontId="29" fillId="13" borderId="0" xfId="2" applyNumberFormat="1" applyFont="1" applyFill="1" applyBorder="1" applyAlignment="1">
      <alignment horizontal="right" wrapText="1"/>
    </xf>
    <xf numFmtId="0" fontId="30" fillId="0" borderId="0" xfId="2" applyFont="1" applyFill="1" applyBorder="1" applyAlignment="1">
      <alignment horizontal="right" wrapText="1"/>
    </xf>
    <xf numFmtId="0" fontId="25" fillId="0" borderId="0" xfId="2" applyFont="1" applyFill="1" applyBorder="1" applyAlignment="1">
      <alignment horizontal="right" wrapText="1"/>
    </xf>
    <xf numFmtId="1" fontId="29" fillId="0" borderId="0" xfId="2" applyNumberFormat="1" applyFont="1" applyFill="1" applyBorder="1" applyAlignment="1">
      <alignment horizontal="right" wrapText="1"/>
    </xf>
    <xf numFmtId="0" fontId="25" fillId="4" borderId="4" xfId="2" applyFont="1" applyBorder="1" applyAlignment="1">
      <alignment wrapText="1"/>
    </xf>
    <xf numFmtId="0" fontId="5" fillId="0" borderId="9" xfId="11" applyBorder="1"/>
    <xf numFmtId="1" fontId="29" fillId="13" borderId="9" xfId="2" applyNumberFormat="1" applyFont="1" applyFill="1" applyBorder="1" applyAlignment="1">
      <alignment horizontal="right" wrapText="1"/>
    </xf>
    <xf numFmtId="0" fontId="18" fillId="0" borderId="0" xfId="5" applyFill="1" applyAlignment="1">
      <alignment wrapText="1"/>
    </xf>
    <xf numFmtId="0" fontId="18" fillId="0" borderId="0" xfId="5" applyFill="1"/>
    <xf numFmtId="9" fontId="5" fillId="0" borderId="0" xfId="11" applyNumberFormat="1"/>
    <xf numFmtId="0" fontId="23" fillId="12" borderId="0" xfId="8" quotePrefix="1" applyFont="1" applyFill="1"/>
    <xf numFmtId="0" fontId="25" fillId="0" borderId="0" xfId="1" applyFont="1" applyFill="1" applyBorder="1" applyAlignment="1">
      <alignment horizontal="right" wrapText="1"/>
    </xf>
    <xf numFmtId="0" fontId="12" fillId="0" borderId="0" xfId="0" applyFont="1"/>
    <xf numFmtId="0" fontId="12" fillId="0" borderId="0" xfId="0" quotePrefix="1" applyFont="1"/>
    <xf numFmtId="0" fontId="4" fillId="0" borderId="0" xfId="13" applyFont="1" applyAlignment="1">
      <alignment horizontal="left" vertical="center"/>
    </xf>
    <xf numFmtId="0" fontId="4" fillId="2" borderId="3" xfId="13" applyFont="1" applyFill="1" applyBorder="1" applyAlignment="1">
      <alignment horizontal="left" vertical="center"/>
    </xf>
    <xf numFmtId="0" fontId="25" fillId="0" borderId="0" xfId="2" applyFont="1" applyFill="1" applyBorder="1" applyAlignment="1">
      <alignment wrapText="1"/>
    </xf>
    <xf numFmtId="1" fontId="25" fillId="4" borderId="1" xfId="2" applyNumberFormat="1" applyFont="1" applyBorder="1" applyAlignment="1">
      <alignment wrapText="1"/>
    </xf>
    <xf numFmtId="1" fontId="25" fillId="4" borderId="0" xfId="2" applyNumberFormat="1" applyFont="1" applyBorder="1" applyAlignment="1">
      <alignment wrapText="1"/>
    </xf>
    <xf numFmtId="0" fontId="4" fillId="0" borderId="2" xfId="0" applyFont="1" applyBorder="1" applyAlignment="1">
      <alignment horizontal="center" wrapText="1"/>
    </xf>
    <xf numFmtId="0" fontId="31" fillId="0" borderId="0" xfId="0" applyFont="1"/>
    <xf numFmtId="0" fontId="23" fillId="12" borderId="0" xfId="8" applyFont="1" applyFill="1" applyAlignment="1">
      <alignment horizontal="left"/>
    </xf>
    <xf numFmtId="1" fontId="0" fillId="14" borderId="0" xfId="0" applyNumberFormat="1" applyFill="1"/>
    <xf numFmtId="0" fontId="31" fillId="15" borderId="2" xfId="0" applyFont="1" applyFill="1" applyBorder="1" applyAlignment="1">
      <alignment wrapText="1"/>
    </xf>
    <xf numFmtId="0" fontId="4" fillId="15" borderId="2" xfId="0" applyFont="1" applyFill="1" applyBorder="1" applyAlignment="1">
      <alignment wrapText="1"/>
    </xf>
    <xf numFmtId="0" fontId="31" fillId="15" borderId="0" xfId="0" applyFont="1" applyFill="1"/>
    <xf numFmtId="165" fontId="10" fillId="16" borderId="0" xfId="0" applyNumberFormat="1" applyFont="1" applyFill="1" applyAlignment="1">
      <alignment horizontal="left" vertical="center"/>
    </xf>
    <xf numFmtId="1" fontId="0" fillId="17" borderId="0" xfId="0" applyNumberFormat="1" applyFill="1"/>
    <xf numFmtId="0" fontId="0" fillId="17" borderId="0" xfId="0" applyFill="1"/>
    <xf numFmtId="165" fontId="10" fillId="16" borderId="2" xfId="0" applyNumberFormat="1" applyFont="1" applyFill="1" applyBorder="1" applyAlignment="1">
      <alignment horizontal="left" vertical="center"/>
    </xf>
    <xf numFmtId="1" fontId="0" fillId="16" borderId="2" xfId="0" applyNumberFormat="1" applyFill="1" applyBorder="1"/>
    <xf numFmtId="1" fontId="21" fillId="10" borderId="0" xfId="9" applyNumberFormat="1" applyBorder="1" applyAlignment="1"/>
    <xf numFmtId="1" fontId="21" fillId="10" borderId="2" xfId="9" applyNumberFormat="1" applyBorder="1" applyAlignment="1"/>
    <xf numFmtId="1" fontId="21" fillId="10" borderId="1" xfId="9" applyNumberFormat="1" applyBorder="1" applyAlignment="1"/>
    <xf numFmtId="1" fontId="21" fillId="10" borderId="10" xfId="9" applyNumberFormat="1" applyBorder="1" applyAlignment="1"/>
    <xf numFmtId="1" fontId="21" fillId="10" borderId="11" xfId="9" applyNumberFormat="1" applyBorder="1" applyAlignment="1"/>
    <xf numFmtId="1" fontId="19" fillId="8" borderId="4" xfId="6" applyNumberFormat="1" applyBorder="1" applyAlignment="1">
      <alignment horizontal="right"/>
    </xf>
    <xf numFmtId="1" fontId="21" fillId="10" borderId="4" xfId="9" applyNumberFormat="1" applyBorder="1" applyAlignment="1"/>
    <xf numFmtId="1" fontId="19" fillId="8" borderId="12" xfId="6" applyNumberFormat="1" applyBorder="1" applyAlignment="1">
      <alignment horizontal="right"/>
    </xf>
    <xf numFmtId="165" fontId="19" fillId="8" borderId="5" xfId="6" applyNumberFormat="1" applyBorder="1" applyAlignment="1">
      <alignment horizontal="right" vertical="center"/>
    </xf>
    <xf numFmtId="1" fontId="19" fillId="8" borderId="20" xfId="6" applyNumberFormat="1" applyBorder="1" applyAlignment="1">
      <alignment horizontal="right"/>
    </xf>
    <xf numFmtId="1" fontId="19" fillId="8" borderId="21" xfId="6" applyNumberFormat="1" applyBorder="1" applyAlignment="1">
      <alignment horizontal="right"/>
    </xf>
    <xf numFmtId="1" fontId="19" fillId="8" borderId="22" xfId="6" applyNumberFormat="1" applyBorder="1" applyAlignment="1">
      <alignment horizontal="right"/>
    </xf>
    <xf numFmtId="1" fontId="19" fillId="8" borderId="23" xfId="6" applyNumberFormat="1" applyBorder="1" applyAlignment="1">
      <alignment horizontal="right"/>
    </xf>
    <xf numFmtId="165" fontId="10" fillId="17" borderId="6" xfId="0" applyNumberFormat="1" applyFont="1" applyFill="1" applyBorder="1" applyAlignment="1">
      <alignment horizontal="left" vertical="center"/>
    </xf>
    <xf numFmtId="165" fontId="10" fillId="17" borderId="13" xfId="0" applyNumberFormat="1" applyFont="1" applyFill="1" applyBorder="1" applyAlignment="1">
      <alignment horizontal="left" vertical="center"/>
    </xf>
    <xf numFmtId="165" fontId="10" fillId="16" borderId="6" xfId="0" applyNumberFormat="1" applyFont="1" applyFill="1" applyBorder="1" applyAlignment="1">
      <alignment horizontal="left" vertical="center"/>
    </xf>
    <xf numFmtId="165" fontId="10" fillId="16" borderId="13" xfId="0" applyNumberFormat="1" applyFont="1" applyFill="1" applyBorder="1" applyAlignment="1">
      <alignment horizontal="left" vertical="center"/>
    </xf>
    <xf numFmtId="165" fontId="10" fillId="16" borderId="7" xfId="0" applyNumberFormat="1" applyFont="1" applyFill="1" applyBorder="1" applyAlignment="1">
      <alignment horizontal="left" vertical="center"/>
    </xf>
    <xf numFmtId="165" fontId="10" fillId="16" borderId="10" xfId="0" applyNumberFormat="1" applyFont="1" applyFill="1" applyBorder="1" applyAlignment="1">
      <alignment horizontal="left" vertical="center"/>
    </xf>
    <xf numFmtId="165" fontId="10" fillId="16" borderId="11" xfId="0" applyNumberFormat="1" applyFont="1" applyFill="1" applyBorder="1" applyAlignment="1">
      <alignment horizontal="left" vertical="center"/>
    </xf>
    <xf numFmtId="165" fontId="10" fillId="16" borderId="1" xfId="0" applyNumberFormat="1" applyFont="1" applyFill="1" applyBorder="1" applyAlignment="1">
      <alignment horizontal="left" vertical="center"/>
    </xf>
    <xf numFmtId="165" fontId="10" fillId="16" borderId="14" xfId="0" applyNumberFormat="1" applyFont="1" applyFill="1" applyBorder="1" applyAlignment="1">
      <alignment horizontal="left" vertical="center"/>
    </xf>
    <xf numFmtId="165" fontId="10" fillId="16" borderId="15" xfId="0" applyNumberFormat="1" applyFont="1" applyFill="1" applyBorder="1" applyAlignment="1">
      <alignment horizontal="left" vertical="center"/>
    </xf>
    <xf numFmtId="165" fontId="10" fillId="16" borderId="16" xfId="0" applyNumberFormat="1" applyFont="1" applyFill="1" applyBorder="1" applyAlignment="1">
      <alignment horizontal="left" vertical="center"/>
    </xf>
    <xf numFmtId="165" fontId="10" fillId="16" borderId="17" xfId="0" applyNumberFormat="1" applyFont="1" applyFill="1" applyBorder="1" applyAlignment="1">
      <alignment horizontal="left" vertical="center"/>
    </xf>
    <xf numFmtId="0" fontId="4" fillId="15" borderId="18" xfId="0" applyFont="1" applyFill="1" applyBorder="1" applyAlignment="1">
      <alignment wrapText="1"/>
    </xf>
    <xf numFmtId="0" fontId="26" fillId="0" borderId="5" xfId="0" applyFont="1" applyBorder="1" applyAlignment="1">
      <alignment horizontal="center"/>
    </xf>
    <xf numFmtId="165" fontId="10" fillId="16" borderId="13" xfId="0" applyNumberFormat="1" applyFont="1" applyFill="1" applyBorder="1" applyAlignment="1">
      <alignment horizontal="center" vertical="center"/>
    </xf>
    <xf numFmtId="0" fontId="4" fillId="15" borderId="5" xfId="0" applyFont="1" applyFill="1" applyBorder="1" applyAlignment="1">
      <alignment wrapText="1"/>
    </xf>
    <xf numFmtId="165" fontId="10" fillId="16" borderId="7" xfId="0" applyNumberFormat="1" applyFont="1" applyFill="1" applyBorder="1" applyAlignment="1">
      <alignment horizontal="center" vertical="center"/>
    </xf>
    <xf numFmtId="0" fontId="31" fillId="15" borderId="18" xfId="0" applyFont="1" applyFill="1" applyBorder="1" applyAlignment="1">
      <alignment wrapText="1"/>
    </xf>
    <xf numFmtId="0" fontId="31" fillId="15" borderId="12" xfId="0" applyFont="1" applyFill="1" applyBorder="1" applyAlignment="1">
      <alignment wrapText="1"/>
    </xf>
    <xf numFmtId="0" fontId="31" fillId="15" borderId="5" xfId="0" applyFont="1" applyFill="1" applyBorder="1" applyAlignment="1">
      <alignment wrapText="1"/>
    </xf>
    <xf numFmtId="9" fontId="21" fillId="10" borderId="0" xfId="18" applyFont="1" applyFill="1" applyBorder="1" applyAlignment="1"/>
    <xf numFmtId="165" fontId="19" fillId="8" borderId="18" xfId="6" applyNumberFormat="1" applyBorder="1" applyAlignment="1">
      <alignment horizontal="right" vertical="center"/>
    </xf>
    <xf numFmtId="165" fontId="19" fillId="8" borderId="4" xfId="6" applyNumberFormat="1" applyBorder="1" applyAlignment="1">
      <alignment horizontal="right" vertical="center"/>
    </xf>
    <xf numFmtId="165" fontId="19" fillId="8" borderId="12" xfId="6" applyNumberFormat="1" applyBorder="1" applyAlignment="1">
      <alignment horizontal="right" vertical="center"/>
    </xf>
    <xf numFmtId="9" fontId="21" fillId="10" borderId="4" xfId="18" applyFont="1" applyFill="1" applyBorder="1" applyAlignment="1"/>
    <xf numFmtId="9" fontId="21" fillId="10" borderId="12" xfId="18" applyFont="1" applyFill="1" applyBorder="1" applyAlignment="1"/>
    <xf numFmtId="9" fontId="13" fillId="16" borderId="16" xfId="18" applyFont="1" applyFill="1" applyBorder="1" applyAlignment="1"/>
    <xf numFmtId="9" fontId="13" fillId="16" borderId="2" xfId="18" applyFont="1" applyFill="1" applyBorder="1" applyAlignment="1"/>
    <xf numFmtId="9" fontId="13" fillId="16" borderId="10" xfId="18" applyFont="1" applyFill="1" applyBorder="1" applyAlignment="1"/>
    <xf numFmtId="9" fontId="21" fillId="10" borderId="1" xfId="18" applyFont="1" applyFill="1" applyBorder="1" applyAlignment="1"/>
    <xf numFmtId="9" fontId="13" fillId="16" borderId="1" xfId="18" applyFont="1" applyFill="1" applyBorder="1" applyAlignment="1"/>
    <xf numFmtId="9" fontId="13" fillId="16" borderId="14" xfId="18" applyFont="1" applyFill="1" applyBorder="1" applyAlignment="1"/>
    <xf numFmtId="9" fontId="13" fillId="16" borderId="11" xfId="18" applyFont="1" applyFill="1" applyBorder="1" applyAlignment="1"/>
    <xf numFmtId="9" fontId="13" fillId="16" borderId="0" xfId="18" applyFont="1" applyFill="1" applyBorder="1" applyAlignment="1"/>
    <xf numFmtId="9" fontId="13" fillId="16" borderId="15" xfId="18" applyFont="1" applyFill="1" applyBorder="1" applyAlignment="1"/>
    <xf numFmtId="9" fontId="13" fillId="16" borderId="17" xfId="18" applyFont="1" applyFill="1" applyBorder="1" applyAlignment="1"/>
    <xf numFmtId="9" fontId="21" fillId="10" borderId="18" xfId="18" applyFont="1" applyFill="1" applyBorder="1" applyAlignment="1"/>
    <xf numFmtId="9" fontId="13" fillId="17" borderId="0" xfId="18" applyFont="1" applyFill="1" applyBorder="1" applyAlignment="1"/>
    <xf numFmtId="9" fontId="13" fillId="17" borderId="10" xfId="18" applyFont="1" applyFill="1" applyBorder="1" applyAlignment="1"/>
    <xf numFmtId="9" fontId="13" fillId="17" borderId="1" xfId="18" applyFont="1" applyFill="1" applyBorder="1" applyAlignment="1"/>
    <xf numFmtId="9" fontId="13" fillId="17" borderId="14" xfId="18" applyFont="1" applyFill="1" applyBorder="1" applyAlignment="1"/>
    <xf numFmtId="9" fontId="21" fillId="10" borderId="11" xfId="18" applyFont="1" applyFill="1" applyBorder="1" applyAlignment="1"/>
    <xf numFmtId="9" fontId="13" fillId="17" borderId="15" xfId="18" applyFont="1" applyFill="1" applyBorder="1" applyAlignment="1"/>
    <xf numFmtId="9" fontId="13" fillId="17" borderId="11" xfId="18" applyFont="1" applyFill="1" applyBorder="1" applyAlignment="1"/>
    <xf numFmtId="9" fontId="13" fillId="17" borderId="16" xfId="18" applyFont="1" applyFill="1" applyBorder="1" applyAlignment="1"/>
    <xf numFmtId="9" fontId="13" fillId="17" borderId="2" xfId="18" applyFont="1" applyFill="1" applyBorder="1" applyAlignment="1"/>
    <xf numFmtId="9" fontId="13" fillId="17" borderId="17" xfId="18" applyFont="1" applyFill="1" applyBorder="1" applyAlignment="1"/>
    <xf numFmtId="9" fontId="21" fillId="10" borderId="10" xfId="18" applyFont="1" applyFill="1" applyBorder="1" applyAlignment="1"/>
    <xf numFmtId="9" fontId="13" fillId="14" borderId="1" xfId="18" applyFont="1" applyFill="1" applyBorder="1" applyAlignment="1"/>
    <xf numFmtId="9" fontId="13" fillId="14" borderId="14" xfId="18" applyFont="1" applyFill="1" applyBorder="1" applyAlignment="1"/>
    <xf numFmtId="9" fontId="13" fillId="14" borderId="0" xfId="18" applyFont="1" applyFill="1" applyBorder="1" applyAlignment="1"/>
    <xf numFmtId="9" fontId="13" fillId="14" borderId="15" xfId="18" applyFont="1" applyFill="1" applyBorder="1" applyAlignment="1"/>
    <xf numFmtId="165" fontId="10" fillId="14" borderId="6" xfId="0" applyNumberFormat="1" applyFont="1" applyFill="1" applyBorder="1" applyAlignment="1">
      <alignment horizontal="left" vertical="center"/>
    </xf>
    <xf numFmtId="165" fontId="10" fillId="14" borderId="13" xfId="0" applyNumberFormat="1" applyFont="1" applyFill="1" applyBorder="1" applyAlignment="1">
      <alignment horizontal="left" vertical="center"/>
    </xf>
    <xf numFmtId="165" fontId="10" fillId="14" borderId="7" xfId="0" applyNumberFormat="1" applyFont="1" applyFill="1" applyBorder="1" applyAlignment="1">
      <alignment horizontal="left" vertical="center"/>
    </xf>
    <xf numFmtId="0" fontId="32" fillId="7" borderId="2" xfId="5" applyFont="1" applyBorder="1" applyAlignment="1">
      <alignment horizontal="left" vertical="center"/>
    </xf>
    <xf numFmtId="0" fontId="32" fillId="6" borderId="2" xfId="4" applyFont="1" applyBorder="1" applyAlignment="1">
      <alignment horizontal="left" vertical="center"/>
    </xf>
    <xf numFmtId="1" fontId="0" fillId="18" borderId="0" xfId="0" applyNumberFormat="1" applyFill="1"/>
    <xf numFmtId="0" fontId="0" fillId="18" borderId="0" xfId="0" applyFill="1"/>
    <xf numFmtId="2" fontId="0" fillId="18" borderId="0" xfId="0" applyNumberFormat="1" applyFill="1"/>
    <xf numFmtId="9" fontId="5" fillId="18" borderId="0" xfId="18" applyFont="1" applyFill="1"/>
    <xf numFmtId="2" fontId="5" fillId="17" borderId="0" xfId="10" applyNumberFormat="1" applyFont="1" applyFill="1"/>
    <xf numFmtId="0" fontId="5" fillId="17" borderId="0" xfId="10" applyFont="1" applyFill="1"/>
    <xf numFmtId="2" fontId="0" fillId="17" borderId="0" xfId="0" applyNumberFormat="1" applyFill="1"/>
    <xf numFmtId="1" fontId="0" fillId="17" borderId="8" xfId="0" applyNumberFormat="1" applyFill="1" applyBorder="1"/>
    <xf numFmtId="0" fontId="5" fillId="17" borderId="0" xfId="11" applyFill="1"/>
    <xf numFmtId="2" fontId="0" fillId="18" borderId="2" xfId="0" applyNumberFormat="1" applyFill="1" applyBorder="1"/>
    <xf numFmtId="0" fontId="25" fillId="14" borderId="1" xfId="2" applyFont="1" applyFill="1" applyBorder="1" applyAlignment="1">
      <alignment horizontal="right" wrapText="1"/>
    </xf>
    <xf numFmtId="0" fontId="25" fillId="14" borderId="3" xfId="2" applyFont="1" applyFill="1" applyBorder="1" applyAlignment="1">
      <alignment horizontal="right" wrapText="1"/>
    </xf>
    <xf numFmtId="9" fontId="13" fillId="17" borderId="0" xfId="18" applyFont="1" applyFill="1" applyBorder="1"/>
    <xf numFmtId="9" fontId="13" fillId="17" borderId="2" xfId="18" applyFont="1" applyFill="1" applyBorder="1"/>
    <xf numFmtId="2" fontId="5" fillId="0" borderId="0" xfId="10" applyNumberFormat="1" applyFont="1" applyFill="1"/>
    <xf numFmtId="0" fontId="33" fillId="0" borderId="0" xfId="0" applyFont="1"/>
    <xf numFmtId="0" fontId="4" fillId="19" borderId="0" xfId="0" applyFont="1" applyFill="1"/>
    <xf numFmtId="0" fontId="14" fillId="0" borderId="0" xfId="0" applyFont="1"/>
    <xf numFmtId="0" fontId="15" fillId="0" borderId="0" xfId="0" applyFont="1"/>
    <xf numFmtId="166" fontId="15" fillId="0" borderId="0" xfId="0" applyNumberFormat="1" applyFont="1"/>
    <xf numFmtId="0" fontId="30" fillId="4" borderId="4" xfId="2" applyFont="1" applyBorder="1" applyAlignment="1">
      <alignment horizontal="center" wrapText="1"/>
    </xf>
    <xf numFmtId="0" fontId="4" fillId="2" borderId="1" xfId="13" applyFont="1" applyFill="1" applyBorder="1" applyAlignment="1">
      <alignment horizontal="center" vertical="center" wrapText="1"/>
    </xf>
    <xf numFmtId="0" fontId="25" fillId="3" borderId="1" xfId="1" applyFont="1" applyBorder="1" applyAlignment="1">
      <alignment horizontal="center" wrapText="1"/>
    </xf>
    <xf numFmtId="0" fontId="4" fillId="2" borderId="1" xfId="0" applyFont="1" applyFill="1" applyBorder="1" applyAlignment="1">
      <alignment horizontal="center" wrapText="1"/>
    </xf>
    <xf numFmtId="0" fontId="5" fillId="0" borderId="0" xfId="10" applyFont="1" applyFill="1" applyAlignment="1">
      <alignment horizontal="center" wrapText="1"/>
    </xf>
    <xf numFmtId="2" fontId="5" fillId="0" borderId="0" xfId="0" applyNumberFormat="1" applyFont="1" applyAlignment="1">
      <alignment horizontal="center" wrapText="1"/>
    </xf>
    <xf numFmtId="0" fontId="4" fillId="2" borderId="1" xfId="14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25" fillId="4" borderId="4" xfId="2" applyFont="1" applyBorder="1" applyAlignment="1">
      <alignment horizontal="center" wrapText="1"/>
    </xf>
    <xf numFmtId="1" fontId="0" fillId="18" borderId="2" xfId="0" applyNumberFormat="1" applyFill="1" applyBorder="1"/>
    <xf numFmtId="1" fontId="5" fillId="18" borderId="8" xfId="10" applyNumberFormat="1" applyFont="1" applyFill="1" applyBorder="1"/>
    <xf numFmtId="0" fontId="0" fillId="18" borderId="8" xfId="0" applyFill="1" applyBorder="1"/>
    <xf numFmtId="0" fontId="18" fillId="5" borderId="0" xfId="3"/>
    <xf numFmtId="0" fontId="24" fillId="0" borderId="0" xfId="11" applyFont="1"/>
    <xf numFmtId="0" fontId="5" fillId="18" borderId="0" xfId="11" applyFill="1"/>
    <xf numFmtId="165" fontId="9" fillId="0" borderId="18" xfId="0" applyNumberFormat="1" applyFont="1" applyBorder="1" applyAlignment="1">
      <alignment horizontal="left" vertical="center"/>
    </xf>
    <xf numFmtId="0" fontId="0" fillId="0" borderId="1" xfId="0" applyBorder="1"/>
    <xf numFmtId="0" fontId="0" fillId="0" borderId="4" xfId="0" applyBorder="1"/>
    <xf numFmtId="0" fontId="0" fillId="0" borderId="12" xfId="0" applyBorder="1"/>
    <xf numFmtId="165" fontId="10" fillId="14" borderId="11" xfId="0" applyNumberFormat="1" applyFont="1" applyFill="1" applyBorder="1" applyAlignment="1">
      <alignment horizontal="left" vertical="center"/>
    </xf>
    <xf numFmtId="1" fontId="4" fillId="14" borderId="15" xfId="0" applyNumberFormat="1" applyFont="1" applyFill="1" applyBorder="1"/>
    <xf numFmtId="165" fontId="9" fillId="0" borderId="16" xfId="0" applyNumberFormat="1" applyFont="1" applyBorder="1" applyAlignment="1">
      <alignment horizontal="left" vertical="center"/>
    </xf>
    <xf numFmtId="0" fontId="4" fillId="0" borderId="17" xfId="0" applyFont="1" applyBorder="1"/>
    <xf numFmtId="1" fontId="4" fillId="17" borderId="15" xfId="0" applyNumberFormat="1" applyFont="1" applyFill="1" applyBorder="1"/>
    <xf numFmtId="1" fontId="0" fillId="16" borderId="0" xfId="0" applyNumberFormat="1" applyFill="1"/>
    <xf numFmtId="0" fontId="0" fillId="16" borderId="0" xfId="0" applyFill="1"/>
    <xf numFmtId="1" fontId="4" fillId="16" borderId="15" xfId="0" applyNumberFormat="1" applyFont="1" applyFill="1" applyBorder="1"/>
    <xf numFmtId="1" fontId="4" fillId="16" borderId="17" xfId="0" applyNumberFormat="1" applyFont="1" applyFill="1" applyBorder="1"/>
    <xf numFmtId="0" fontId="25" fillId="0" borderId="0" xfId="1" applyFont="1" applyFill="1" applyBorder="1" applyAlignment="1">
      <alignment horizontal="left" wrapText="1"/>
    </xf>
    <xf numFmtId="0" fontId="25" fillId="0" borderId="0" xfId="1" applyFont="1" applyFill="1" applyBorder="1" applyAlignment="1">
      <alignment horizontal="center" wrapText="1"/>
    </xf>
    <xf numFmtId="167" fontId="6" fillId="0" borderId="0" xfId="0" applyNumberFormat="1" applyFont="1"/>
    <xf numFmtId="167" fontId="5" fillId="0" borderId="0" xfId="0" applyNumberFormat="1" applyFont="1"/>
    <xf numFmtId="167" fontId="4" fillId="2" borderId="1" xfId="0" applyNumberFormat="1" applyFont="1" applyFill="1" applyBorder="1" applyAlignment="1">
      <alignment horizontal="left"/>
    </xf>
    <xf numFmtId="167" fontId="4" fillId="2" borderId="4" xfId="0" applyNumberFormat="1" applyFont="1" applyFill="1" applyBorder="1" applyAlignment="1">
      <alignment horizontal="left"/>
    </xf>
    <xf numFmtId="167" fontId="25" fillId="3" borderId="3" xfId="1" applyNumberFormat="1" applyFont="1" applyBorder="1" applyAlignment="1">
      <alignment horizontal="left" wrapText="1"/>
    </xf>
    <xf numFmtId="167" fontId="0" fillId="0" borderId="0" xfId="0" applyNumberFormat="1"/>
    <xf numFmtId="167" fontId="25" fillId="3" borderId="3" xfId="1" applyNumberFormat="1" applyFont="1" applyBorder="1" applyAlignment="1">
      <alignment horizontal="center" wrapText="1"/>
    </xf>
    <xf numFmtId="167" fontId="0" fillId="0" borderId="0" xfId="0" applyNumberFormat="1" applyAlignment="1">
      <alignment wrapText="1"/>
    </xf>
    <xf numFmtId="167" fontId="5" fillId="0" borderId="0" xfId="11" applyNumberFormat="1"/>
    <xf numFmtId="167" fontId="6" fillId="0" borderId="0" xfId="11" applyNumberFormat="1" applyFont="1"/>
    <xf numFmtId="167" fontId="4" fillId="2" borderId="1" xfId="11" applyNumberFormat="1" applyFont="1" applyFill="1" applyBorder="1" applyAlignment="1">
      <alignment horizontal="left"/>
    </xf>
    <xf numFmtId="167" fontId="4" fillId="2" borderId="4" xfId="11" applyNumberFormat="1" applyFont="1" applyFill="1" applyBorder="1" applyAlignment="1">
      <alignment horizontal="left"/>
    </xf>
    <xf numFmtId="2" fontId="0" fillId="18" borderId="8" xfId="0" applyNumberFormat="1" applyFill="1" applyBorder="1"/>
    <xf numFmtId="0" fontId="4" fillId="2" borderId="1" xfId="0" applyFont="1" applyFill="1" applyBorder="1" applyAlignment="1">
      <alignment horizontal="center"/>
    </xf>
    <xf numFmtId="0" fontId="1" fillId="0" borderId="0" xfId="29"/>
    <xf numFmtId="0" fontId="1" fillId="18" borderId="0" xfId="29" applyFill="1"/>
    <xf numFmtId="1" fontId="2" fillId="18" borderId="0" xfId="0" applyNumberFormat="1" applyFont="1" applyFill="1"/>
    <xf numFmtId="1" fontId="1" fillId="18" borderId="0" xfId="29" applyNumberFormat="1" applyFill="1"/>
    <xf numFmtId="0" fontId="1" fillId="17" borderId="0" xfId="29" applyFill="1"/>
    <xf numFmtId="49" fontId="34" fillId="0" borderId="0" xfId="30" applyNumberFormat="1" applyFont="1" applyAlignment="1">
      <alignment horizontal="left" vertical="center"/>
    </xf>
    <xf numFmtId="1" fontId="34" fillId="0" borderId="0" xfId="30" applyNumberFormat="1" applyFont="1" applyAlignment="1">
      <alignment horizontal="right" vertical="center"/>
    </xf>
    <xf numFmtId="1" fontId="34" fillId="17" borderId="0" xfId="30" applyNumberFormat="1" applyFont="1" applyFill="1" applyAlignment="1">
      <alignment horizontal="right" vertical="center"/>
    </xf>
    <xf numFmtId="0" fontId="6" fillId="0" borderId="0" xfId="31" applyFont="1" applyAlignment="1">
      <alignment horizontal="left"/>
    </xf>
    <xf numFmtId="0" fontId="4" fillId="2" borderId="1" xfId="31" applyFont="1" applyFill="1" applyBorder="1" applyAlignment="1">
      <alignment horizontal="left" vertical="center"/>
    </xf>
    <xf numFmtId="0" fontId="4" fillId="2" borderId="1" xfId="31" applyFont="1" applyFill="1" applyBorder="1" applyAlignment="1">
      <alignment horizontal="center" vertical="center" wrapText="1"/>
    </xf>
    <xf numFmtId="0" fontId="2" fillId="0" borderId="0" xfId="31" applyAlignment="1">
      <alignment horizontal="left"/>
    </xf>
    <xf numFmtId="0" fontId="2" fillId="0" borderId="0" xfId="31" applyAlignment="1">
      <alignment horizontal="right"/>
    </xf>
    <xf numFmtId="0" fontId="4" fillId="2" borderId="1" xfId="31" applyFont="1" applyFill="1" applyBorder="1" applyAlignment="1">
      <alignment horizontal="center" vertical="center"/>
    </xf>
    <xf numFmtId="0" fontId="25" fillId="3" borderId="1" xfId="32" applyFont="1" applyBorder="1" applyAlignment="1">
      <alignment horizontal="left" wrapText="1"/>
    </xf>
    <xf numFmtId="49" fontId="34" fillId="0" borderId="0" xfId="29" applyNumberFormat="1" applyFont="1" applyAlignment="1">
      <alignment horizontal="left" vertical="center"/>
    </xf>
    <xf numFmtId="0" fontId="1" fillId="15" borderId="0" xfId="29" quotePrefix="1" applyFill="1"/>
    <xf numFmtId="0" fontId="2" fillId="0" borderId="0" xfId="33"/>
    <xf numFmtId="0" fontId="34" fillId="0" borderId="0" xfId="29" applyFont="1" applyAlignment="1">
      <alignment horizontal="left" vertical="center"/>
    </xf>
    <xf numFmtId="0" fontId="34" fillId="0" borderId="0" xfId="29" applyFont="1" applyAlignment="1">
      <alignment horizontal="right" vertical="center"/>
    </xf>
    <xf numFmtId="0" fontId="4" fillId="0" borderId="0" xfId="0" applyFont="1" applyAlignment="1">
      <alignment horizontal="center" wrapText="1"/>
    </xf>
    <xf numFmtId="2" fontId="34" fillId="18" borderId="0" xfId="29" applyNumberFormat="1" applyFont="1" applyFill="1" applyAlignment="1">
      <alignment horizontal="right" vertical="center"/>
    </xf>
    <xf numFmtId="0" fontId="25" fillId="3" borderId="1" xfId="32" applyFont="1" applyBorder="1" applyAlignment="1">
      <alignment horizontal="center" wrapText="1"/>
    </xf>
    <xf numFmtId="2" fontId="34" fillId="0" borderId="0" xfId="29" applyNumberFormat="1" applyFont="1" applyAlignment="1">
      <alignment horizontal="right" vertical="center"/>
    </xf>
    <xf numFmtId="2" fontId="34" fillId="17" borderId="0" xfId="29" applyNumberFormat="1" applyFont="1" applyFill="1" applyAlignment="1">
      <alignment horizontal="right" vertical="center"/>
    </xf>
    <xf numFmtId="2" fontId="0" fillId="0" borderId="0" xfId="0" applyNumberFormat="1"/>
    <xf numFmtId="0" fontId="4" fillId="2" borderId="1" xfId="55" applyFont="1" applyFill="1" applyBorder="1" applyAlignment="1">
      <alignment horizontal="center"/>
    </xf>
    <xf numFmtId="0" fontId="4" fillId="2" borderId="0" xfId="31" applyFont="1" applyFill="1" applyBorder="1" applyAlignment="1">
      <alignment horizontal="center" vertical="center" wrapText="1"/>
    </xf>
    <xf numFmtId="0" fontId="25" fillId="3" borderId="0" xfId="32" applyFont="1" applyBorder="1" applyAlignment="1">
      <alignment horizontal="left" wrapText="1"/>
    </xf>
    <xf numFmtId="1" fontId="34" fillId="18" borderId="0" xfId="29" applyNumberFormat="1" applyFont="1" applyFill="1" applyAlignment="1">
      <alignment horizontal="right" vertical="center"/>
    </xf>
    <xf numFmtId="1" fontId="34" fillId="0" borderId="0" xfId="29" applyNumberFormat="1" applyFont="1" applyAlignment="1">
      <alignment horizontal="right" vertical="center"/>
    </xf>
    <xf numFmtId="0" fontId="30" fillId="4" borderId="0" xfId="2" applyFont="1" applyBorder="1" applyAlignment="1">
      <alignment horizontal="center" wrapText="1"/>
    </xf>
    <xf numFmtId="0" fontId="25" fillId="4" borderId="0" xfId="2" applyFont="1" applyBorder="1" applyAlignment="1">
      <alignment horizontal="center" wrapText="1"/>
    </xf>
    <xf numFmtId="9" fontId="34" fillId="0" borderId="0" xfId="18" applyNumberFormat="1" applyFont="1" applyFill="1" applyBorder="1" applyAlignment="1">
      <alignment horizontal="right" vertical="center"/>
    </xf>
  </cellXfs>
  <cellStyles count="58">
    <cellStyle name="20% - Accent5" xfId="1" builtinId="46"/>
    <cellStyle name="20% - Accent5 2" xfId="32" xr:uid="{9821FF26-4226-4C69-8AB6-5CFB5C456565}"/>
    <cellStyle name="40% - Accent3" xfId="2" builtinId="39"/>
    <cellStyle name="60% - Accent2" xfId="3" builtinId="36"/>
    <cellStyle name="60% - Accent2 2" xfId="35" xr:uid="{9ED310A9-1901-4B91-A7AE-50B99CA39703}"/>
    <cellStyle name="60% - Accent2 3" xfId="53" xr:uid="{101BAB86-77DC-49B8-9267-B81DE0EF552D}"/>
    <cellStyle name="Accent1" xfId="4" builtinId="29"/>
    <cellStyle name="Accent2" xfId="5" builtinId="33"/>
    <cellStyle name="Calculation" xfId="6" builtinId="22"/>
    <cellStyle name="Comma 2" xfId="7" xr:uid="{00000000-0005-0000-0000-000006000000}"/>
    <cellStyle name="Comma 2 2" xfId="36" xr:uid="{D880451C-9CA0-42AC-A6C3-D6A7A99F1F5A}"/>
    <cellStyle name="Good" xfId="8" builtinId="26"/>
    <cellStyle name="Input" xfId="9" builtinId="20"/>
    <cellStyle name="Neutral" xfId="10" builtinId="28"/>
    <cellStyle name="Neutral 2" xfId="37" xr:uid="{AAEAAA71-5C65-4864-8D40-C21C158505DE}"/>
    <cellStyle name="Neutral 3" xfId="56" xr:uid="{BF3AE609-2F92-4900-99D4-AC25E80842BF}"/>
    <cellStyle name="Normal" xfId="0" builtinId="0"/>
    <cellStyle name="Normal 10" xfId="11" xr:uid="{00000000-0005-0000-0000-00000B000000}"/>
    <cellStyle name="Normal 10 2" xfId="33" xr:uid="{96DA4A29-DF21-4CD5-A94A-18D730ECC4E4}"/>
    <cellStyle name="Normal 2" xfId="12" xr:uid="{00000000-0005-0000-0000-00000C000000}"/>
    <cellStyle name="Normal 2 2" xfId="38" xr:uid="{90A5562C-5FAE-4DFD-A0EB-CEFADE879BAD}"/>
    <cellStyle name="Normal 3" xfId="29" xr:uid="{66B0A046-8856-4E7E-A34A-F6797B1F018A}"/>
    <cellStyle name="Normal 4" xfId="13" xr:uid="{00000000-0005-0000-0000-00000D000000}"/>
    <cellStyle name="Normal 4 2" xfId="14" xr:uid="{00000000-0005-0000-0000-00000E000000}"/>
    <cellStyle name="Normal 4 2 2" xfId="31" xr:uid="{9BAD7627-28BF-42D9-A236-DCE68A2FD749}"/>
    <cellStyle name="Normal 5" xfId="30" xr:uid="{1499449A-45B3-4D55-B75B-8A38D81038A0}"/>
    <cellStyle name="Normal 6" xfId="34" xr:uid="{7A06ECD7-1B49-4A28-9952-B4F9B6FDEA2F}"/>
    <cellStyle name="Normal 6 2" xfId="54" xr:uid="{263B3154-EE64-44EC-960B-965DE1F90ADD}"/>
    <cellStyle name="Normal 6 3" xfId="52" xr:uid="{AB6C1E30-8993-4718-97EA-66FB18274EC2}"/>
    <cellStyle name="Normal 7" xfId="57" xr:uid="{94E454E3-21FA-4378-9A8C-720758E389F3}"/>
    <cellStyle name="Normal 8" xfId="15" xr:uid="{00000000-0005-0000-0000-00000F000000}"/>
    <cellStyle name="Normal 8 2" xfId="39" xr:uid="{E631BD95-4A23-4052-AAF7-757197AD7912}"/>
    <cellStyle name="Normal 9" xfId="55" xr:uid="{EBF2685C-483D-4F88-A1E9-7ACE5E7680E4}"/>
    <cellStyle name="Normal 9 2" xfId="16" xr:uid="{00000000-0005-0000-0000-000010000000}"/>
    <cellStyle name="Normal 9 2 2" xfId="40" xr:uid="{5F8832C4-E518-49F8-BB3C-16FBDB572E06}"/>
    <cellStyle name="Normale_B2020" xfId="17" xr:uid="{00000000-0005-0000-0000-000011000000}"/>
    <cellStyle name="Percent" xfId="18" builtinId="5"/>
    <cellStyle name="Percent 2" xfId="19" xr:uid="{00000000-0005-0000-0000-000013000000}"/>
    <cellStyle name="Percent 2 2" xfId="42" xr:uid="{5274EE80-EE3A-4410-B29A-935AD6F689E3}"/>
    <cellStyle name="Percent 3" xfId="20" xr:uid="{00000000-0005-0000-0000-000014000000}"/>
    <cellStyle name="Percent 3 2" xfId="21" xr:uid="{00000000-0005-0000-0000-000015000000}"/>
    <cellStyle name="Percent 3 2 2" xfId="44" xr:uid="{20F3D704-3FF5-4FC6-96EA-01F9B8963D62}"/>
    <cellStyle name="Percent 3 3" xfId="22" xr:uid="{00000000-0005-0000-0000-000016000000}"/>
    <cellStyle name="Percent 3 3 2" xfId="45" xr:uid="{C3E3EC61-3682-454F-AC4F-DF6F5948EA23}"/>
    <cellStyle name="Percent 3 4" xfId="43" xr:uid="{9F7C62BD-5C35-4B8B-8EAB-F4372F47EBA0}"/>
    <cellStyle name="Percent 4" xfId="23" xr:uid="{00000000-0005-0000-0000-000017000000}"/>
    <cellStyle name="Percent 4 2" xfId="24" xr:uid="{00000000-0005-0000-0000-000018000000}"/>
    <cellStyle name="Percent 4 2 2" xfId="47" xr:uid="{588CDC98-0898-4FFF-A3BD-3430644A500E}"/>
    <cellStyle name="Percent 4 3" xfId="25" xr:uid="{00000000-0005-0000-0000-000019000000}"/>
    <cellStyle name="Percent 4 3 2" xfId="48" xr:uid="{8CA7DF58-D052-4A74-9D25-11DAFD5AFA19}"/>
    <cellStyle name="Percent 4 4" xfId="46" xr:uid="{A9115F5E-28A3-4847-B704-9959A2F8F097}"/>
    <cellStyle name="Percent 5" xfId="26" xr:uid="{00000000-0005-0000-0000-00001A000000}"/>
    <cellStyle name="Percent 5 2" xfId="49" xr:uid="{AA0B74D0-9A1A-4F84-949F-7325F30DAA83}"/>
    <cellStyle name="Percent 6" xfId="27" xr:uid="{00000000-0005-0000-0000-00001B000000}"/>
    <cellStyle name="Percent 6 2" xfId="50" xr:uid="{A9BE4263-DAD3-4989-AE14-AD4D3EAFB7A7}"/>
    <cellStyle name="Percent 7" xfId="41" xr:uid="{6874CB9E-9FA9-4E3A-8448-06849CBEE010}"/>
    <cellStyle name="Percent 8" xfId="51" xr:uid="{0357AA60-C0B9-4BE0-B6E2-4600A9752C8B}"/>
    <cellStyle name="Standard_Sce_D_Extraction" xfId="28" xr:uid="{00000000-0005-0000-0000-00001C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703367</xdr:colOff>
      <xdr:row>26</xdr:row>
      <xdr:rowOff>11430</xdr:rowOff>
    </xdr:from>
    <xdr:to>
      <xdr:col>11</xdr:col>
      <xdr:colOff>703367</xdr:colOff>
      <xdr:row>31</xdr:row>
      <xdr:rowOff>150451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BA7A926-02FF-460C-BA3D-43082490C2C5}"/>
            </a:ext>
          </a:extLst>
        </xdr:cNvPr>
        <xdr:cNvSpPr txBox="1"/>
      </xdr:nvSpPr>
      <xdr:spPr>
        <a:xfrm>
          <a:off x="5133974" y="4802717"/>
          <a:ext cx="4327525" cy="9588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/>
            <a:t>Column B</a:t>
          </a:r>
          <a:r>
            <a:rPr lang="en-GB" sz="1100"/>
            <a:t> (rows</a:t>
          </a:r>
          <a:r>
            <a:rPr lang="en-GB" sz="1100" baseline="0"/>
            <a:t> 5 -24) is used to set up the technology and commoditiy names and descriptions in the model.</a:t>
          </a:r>
        </a:p>
        <a:p>
          <a:endParaRPr lang="en-GB" sz="1100" baseline="0"/>
        </a:p>
        <a:p>
          <a:r>
            <a:rPr lang="en-GB" sz="1100" baseline="0"/>
            <a:t>Row 2 and Row 3 are used to build  techology and commodity names and descriptions in the model.</a:t>
          </a:r>
          <a:endParaRPr lang="en-GB" sz="1100"/>
        </a:p>
      </xdr:txBody>
    </xdr:sp>
    <xdr:clientData/>
  </xdr:twoCellAnchor>
  <xdr:twoCellAnchor>
    <xdr:from>
      <xdr:col>7</xdr:col>
      <xdr:colOff>14815</xdr:colOff>
      <xdr:row>33</xdr:row>
      <xdr:rowOff>168064</xdr:rowOff>
    </xdr:from>
    <xdr:to>
      <xdr:col>13</xdr:col>
      <xdr:colOff>31750</xdr:colOff>
      <xdr:row>38</xdr:row>
      <xdr:rowOff>36830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5AE6C53-783D-408F-9C33-9D2967DC34F5}"/>
            </a:ext>
          </a:extLst>
        </xdr:cNvPr>
        <xdr:cNvSpPr txBox="1"/>
      </xdr:nvSpPr>
      <xdr:spPr>
        <a:xfrm>
          <a:off x="5888565" y="6091767"/>
          <a:ext cx="4334935" cy="6731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0"/>
            <a:t>This share</a:t>
          </a:r>
          <a:r>
            <a:rPr lang="en-GB" sz="1100" b="0" baseline="0"/>
            <a:t> is used to split the total domestic production in more than one step. In this way it is possible to set up in the model a supply curve defined by the maximum production and cost</a:t>
          </a:r>
          <a:endParaRPr lang="en-GB" sz="1100" b="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33</xdr:row>
      <xdr:rowOff>0</xdr:rowOff>
    </xdr:from>
    <xdr:to>
      <xdr:col>12</xdr:col>
      <xdr:colOff>2486057</xdr:colOff>
      <xdr:row>39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86C3A32-B1B6-4B70-96DE-11E96A71AA26}"/>
            </a:ext>
          </a:extLst>
        </xdr:cNvPr>
        <xdr:cNvSpPr txBox="1"/>
      </xdr:nvSpPr>
      <xdr:spPr>
        <a:xfrm>
          <a:off x="7000875" y="6343650"/>
          <a:ext cx="4762500" cy="10477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petroleoum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products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an import and export option for each petroleoum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product.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822960</xdr:colOff>
      <xdr:row>38</xdr:row>
      <xdr:rowOff>0</xdr:rowOff>
    </xdr:from>
    <xdr:to>
      <xdr:col>14</xdr:col>
      <xdr:colOff>398145</xdr:colOff>
      <xdr:row>44</xdr:row>
      <xdr:rowOff>9525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3F47FCA-7A66-464F-BE4D-E4F79534840B}"/>
            </a:ext>
          </a:extLst>
        </xdr:cNvPr>
        <xdr:cNvSpPr txBox="1"/>
      </xdr:nvSpPr>
      <xdr:spPr>
        <a:xfrm>
          <a:off x="6524625" y="6505575"/>
          <a:ext cx="6467475" cy="9810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sectoral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energy commodities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(FI_COMM table) and define each ssectoral fuel technology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fuel technology to convert the fuel commodity name from the supply sector to a sectoral specific fuel commodity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(e.g. from GAS to RSDGAS)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19</xdr:row>
      <xdr:rowOff>0</xdr:rowOff>
    </xdr:from>
    <xdr:to>
      <xdr:col>19</xdr:col>
      <xdr:colOff>701005</xdr:colOff>
      <xdr:row>24</xdr:row>
      <xdr:rowOff>19050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9877BE9-810A-4463-8509-4ED60A436CD4}"/>
            </a:ext>
          </a:extLst>
        </xdr:cNvPr>
        <xdr:cNvSpPr txBox="1"/>
      </xdr:nvSpPr>
      <xdr:spPr>
        <a:xfrm>
          <a:off x="9648825" y="3495675"/>
          <a:ext cx="4705350" cy="8286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REFCO2 an environmental commodity (FI_COMM table) and define the refinery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refinery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convert oil in petroleoum products.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3808</xdr:colOff>
      <xdr:row>18</xdr:row>
      <xdr:rowOff>19261</xdr:rowOff>
    </xdr:from>
    <xdr:to>
      <xdr:col>27</xdr:col>
      <xdr:colOff>21147</xdr:colOff>
      <xdr:row>24</xdr:row>
      <xdr:rowOff>11673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022FE75-1594-45ED-9883-EB3776AD7424}"/>
            </a:ext>
          </a:extLst>
        </xdr:cNvPr>
        <xdr:cNvSpPr txBox="1"/>
      </xdr:nvSpPr>
      <xdr:spPr>
        <a:xfrm>
          <a:off x="12594165" y="4296833"/>
          <a:ext cx="5746752" cy="963084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electricity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energy commodity and  electricity plants carbon dioxide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environmental commodity (FI_COMM table) and define power plant options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power plant option for each fuel commodity.</a:t>
          </a: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173354</xdr:colOff>
      <xdr:row>14</xdr:row>
      <xdr:rowOff>144780</xdr:rowOff>
    </xdr:from>
    <xdr:to>
      <xdr:col>19</xdr:col>
      <xdr:colOff>57254</xdr:colOff>
      <xdr:row>19</xdr:row>
      <xdr:rowOff>142875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5D7052B-D3A9-4878-9490-BA9326A9C8CC}"/>
            </a:ext>
          </a:extLst>
        </xdr:cNvPr>
        <xdr:cNvSpPr txBox="1"/>
      </xdr:nvSpPr>
      <xdr:spPr>
        <a:xfrm>
          <a:off x="6863714" y="3124200"/>
          <a:ext cx="6246600" cy="83629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total primary supply coal demand commodity and (FI_COMM table) and define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deliver the  total primary supply coal demand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173354</xdr:colOff>
      <xdr:row>14</xdr:row>
      <xdr:rowOff>144780</xdr:rowOff>
    </xdr:from>
    <xdr:to>
      <xdr:col>19</xdr:col>
      <xdr:colOff>57254</xdr:colOff>
      <xdr:row>19</xdr:row>
      <xdr:rowOff>142875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11332E8-5686-4D8F-A493-6DD2EB7FBC98}"/>
            </a:ext>
          </a:extLst>
        </xdr:cNvPr>
        <xdr:cNvSpPr txBox="1"/>
      </xdr:nvSpPr>
      <xdr:spPr>
        <a:xfrm>
          <a:off x="6863714" y="3124200"/>
          <a:ext cx="6246600" cy="83629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total primary supply coal demand commodity and (FI_COMM table) and define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deliver the  total primary supply coal demand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123824</xdr:colOff>
      <xdr:row>15</xdr:row>
      <xdr:rowOff>0</xdr:rowOff>
    </xdr:from>
    <xdr:to>
      <xdr:col>18</xdr:col>
      <xdr:colOff>3811972</xdr:colOff>
      <xdr:row>21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9E40650-4BF9-4E44-B189-E221AB446F19}"/>
            </a:ext>
          </a:extLst>
        </xdr:cNvPr>
        <xdr:cNvSpPr txBox="1"/>
      </xdr:nvSpPr>
      <xdr:spPr>
        <a:xfrm>
          <a:off x="7696199" y="3305175"/>
          <a:ext cx="5905501" cy="10477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>
            <a:lnSpc>
              <a:spcPts val="1200"/>
            </a:lnSpc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demand residential sector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demand commodity and  residential carbon dioxide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environmental commodity (FI_COMM table) and define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option (FI_Process table).</a:t>
          </a:r>
        </a:p>
        <a:p>
          <a:pPr lvl="0">
            <a:lnSpc>
              <a:spcPts val="12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200"/>
            </a:lnSpc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deliver the  residential demand commodity.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18</xdr:row>
      <xdr:rowOff>0</xdr:rowOff>
    </xdr:from>
    <xdr:to>
      <xdr:col>21</xdr:col>
      <xdr:colOff>3854255</xdr:colOff>
      <xdr:row>24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0AE5D56-6062-40F9-A3F3-9E01A1BBE26F}"/>
            </a:ext>
          </a:extLst>
        </xdr:cNvPr>
        <xdr:cNvSpPr txBox="1"/>
      </xdr:nvSpPr>
      <xdr:spPr>
        <a:xfrm>
          <a:off x="9800167" y="4011083"/>
          <a:ext cx="6011333" cy="10287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>
            <a:lnSpc>
              <a:spcPts val="1200"/>
            </a:lnSpc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demand car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transport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sector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demand commodity and  transport carbon dioxide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environmental commodity (FI_COMM table) and define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options (FI_Process table).</a:t>
          </a:r>
        </a:p>
        <a:p>
          <a:pPr lvl="0">
            <a:lnSpc>
              <a:spcPts val="12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200"/>
            </a:lnSpc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technologies to deliver the transport car demand.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16</xdr:row>
      <xdr:rowOff>0</xdr:rowOff>
    </xdr:from>
    <xdr:to>
      <xdr:col>6</xdr:col>
      <xdr:colOff>398122</xdr:colOff>
      <xdr:row>19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83DF431-21FB-4526-A64F-2DC155341EC5}"/>
            </a:ext>
          </a:extLst>
        </xdr:cNvPr>
        <xdr:cNvSpPr txBox="1"/>
      </xdr:nvSpPr>
      <xdr:spPr>
        <a:xfrm>
          <a:off x="133350" y="2990850"/>
          <a:ext cx="4391025" cy="5524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the demand value for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each period and the commodity fraction for the electricity commodity demand by timeslice.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12</xdr:row>
      <xdr:rowOff>0</xdr:rowOff>
    </xdr:from>
    <xdr:to>
      <xdr:col>8</xdr:col>
      <xdr:colOff>381000</xdr:colOff>
      <xdr:row>15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B8D242B-A73C-4C92-A3F4-544FB3196B4D}"/>
            </a:ext>
          </a:extLst>
        </xdr:cNvPr>
        <xdr:cNvSpPr txBox="1"/>
      </xdr:nvSpPr>
      <xdr:spPr>
        <a:xfrm>
          <a:off x="609600" y="1971675"/>
          <a:ext cx="4391025" cy="5524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transport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carbon dioxide emission coefficients for each unit of fuel commodity consumed.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26</xdr:row>
      <xdr:rowOff>0</xdr:rowOff>
    </xdr:from>
    <xdr:to>
      <xdr:col>12</xdr:col>
      <xdr:colOff>73025</xdr:colOff>
      <xdr:row>31</xdr:row>
      <xdr:rowOff>140960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59D2EAA-4FC3-4F82-97D0-B026F9D0DEF2}"/>
            </a:ext>
          </a:extLst>
        </xdr:cNvPr>
        <xdr:cNvSpPr txBox="1"/>
      </xdr:nvSpPr>
      <xdr:spPr>
        <a:xfrm>
          <a:off x="5122333" y="4783667"/>
          <a:ext cx="4327525" cy="9588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/>
            <a:t>Column B</a:t>
          </a:r>
          <a:r>
            <a:rPr lang="en-GB" sz="1100"/>
            <a:t> (rows</a:t>
          </a:r>
          <a:r>
            <a:rPr lang="en-GB" sz="1100" baseline="0"/>
            <a:t> 5 -24) is used to set up the technology and commoditiy names and descriptions in the model.</a:t>
          </a:r>
        </a:p>
        <a:p>
          <a:endParaRPr lang="en-GB" sz="1100" baseline="0"/>
        </a:p>
        <a:p>
          <a:r>
            <a:rPr lang="en-GB" sz="1100" baseline="0"/>
            <a:t>Row 2 and Row 5 are used to build  techology and commodity names and descriptions in the model.</a:t>
          </a:r>
          <a:endParaRPr lang="en-GB" sz="1100"/>
        </a:p>
      </xdr:txBody>
    </xdr:sp>
    <xdr:clientData/>
  </xdr:twoCellAnchor>
  <xdr:twoCellAnchor>
    <xdr:from>
      <xdr:col>6</xdr:col>
      <xdr:colOff>684108</xdr:colOff>
      <xdr:row>33</xdr:row>
      <xdr:rowOff>146262</xdr:rowOff>
    </xdr:from>
    <xdr:to>
      <xdr:col>13</xdr:col>
      <xdr:colOff>66897</xdr:colOff>
      <xdr:row>38</xdr:row>
      <xdr:rowOff>27343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193E5A3A-AC54-44AD-999A-BECB84114A8D}"/>
            </a:ext>
          </a:extLst>
        </xdr:cNvPr>
        <xdr:cNvSpPr txBox="1"/>
      </xdr:nvSpPr>
      <xdr:spPr>
        <a:xfrm>
          <a:off x="5810251" y="6074834"/>
          <a:ext cx="4334935" cy="6731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0"/>
            <a:t>This share</a:t>
          </a:r>
          <a:r>
            <a:rPr lang="en-GB" sz="1100" b="0" baseline="0"/>
            <a:t> is used to split the total domestic production in more than one step. In this way it is possible to set up in the model a supply curve defined by the maximum production and cost</a:t>
          </a:r>
          <a:endParaRPr lang="en-GB" sz="1100" b="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26</xdr:row>
      <xdr:rowOff>0</xdr:rowOff>
    </xdr:from>
    <xdr:to>
      <xdr:col>12</xdr:col>
      <xdr:colOff>0</xdr:colOff>
      <xdr:row>31</xdr:row>
      <xdr:rowOff>128221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255E0B4-B04D-409B-B75D-EB3394D65FBF}"/>
            </a:ext>
          </a:extLst>
        </xdr:cNvPr>
        <xdr:cNvSpPr txBox="1"/>
      </xdr:nvSpPr>
      <xdr:spPr>
        <a:xfrm>
          <a:off x="5090583" y="4783667"/>
          <a:ext cx="4254500" cy="9461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/>
            <a:t>Column B</a:t>
          </a:r>
          <a:r>
            <a:rPr lang="en-GB" sz="1100"/>
            <a:t> (rows</a:t>
          </a:r>
          <a:r>
            <a:rPr lang="en-GB" sz="1100" baseline="0"/>
            <a:t> 5 -24) is used to set up the technology and commoditiy names and descriptions in the model.</a:t>
          </a:r>
        </a:p>
        <a:p>
          <a:endParaRPr lang="en-GB" sz="1100" baseline="0"/>
        </a:p>
        <a:p>
          <a:r>
            <a:rPr lang="en-GB" sz="1100" baseline="0"/>
            <a:t>Row 2 and Row 5 are used to build  techology and commodity names and descriptions in the model.</a:t>
          </a:r>
          <a:endParaRPr lang="en-GB" sz="1100"/>
        </a:p>
      </xdr:txBody>
    </xdr:sp>
    <xdr:clientData/>
  </xdr:twoCellAnchor>
  <xdr:twoCellAnchor>
    <xdr:from>
      <xdr:col>7</xdr:col>
      <xdr:colOff>0</xdr:colOff>
      <xdr:row>34</xdr:row>
      <xdr:rowOff>0</xdr:rowOff>
    </xdr:from>
    <xdr:to>
      <xdr:col>13</xdr:col>
      <xdr:colOff>0</xdr:colOff>
      <xdr:row>38</xdr:row>
      <xdr:rowOff>25400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416D3B01-F989-4C05-89C9-57812E228303}"/>
            </a:ext>
          </a:extLst>
        </xdr:cNvPr>
        <xdr:cNvSpPr txBox="1"/>
      </xdr:nvSpPr>
      <xdr:spPr>
        <a:xfrm>
          <a:off x="5799667" y="6085417"/>
          <a:ext cx="4254500" cy="6604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0"/>
            <a:t>This share</a:t>
          </a:r>
          <a:r>
            <a:rPr lang="en-GB" sz="1100" b="0" baseline="0"/>
            <a:t> is used to split the total domestic production in more than one step. In this way it is possible to set up in the model a supply curve defined by the maximum production and cost</a:t>
          </a:r>
          <a:endParaRPr lang="en-GB" sz="1100" b="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20</xdr:row>
      <xdr:rowOff>19050</xdr:rowOff>
    </xdr:from>
    <xdr:to>
      <xdr:col>2</xdr:col>
      <xdr:colOff>285750</xdr:colOff>
      <xdr:row>33</xdr:row>
      <xdr:rowOff>152400</xdr:rowOff>
    </xdr:to>
    <xdr:pic>
      <xdr:nvPicPr>
        <xdr:cNvPr id="56792" name="Picture 6">
          <a:extLst>
            <a:ext uri="{FF2B5EF4-FFF2-40B4-BE49-F238E27FC236}">
              <a16:creationId xmlns:a16="http://schemas.microsoft.com/office/drawing/2014/main" id="{74F00B80-A23F-4D4A-A604-F6E716F0D0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3152775"/>
          <a:ext cx="800100" cy="2238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9525</xdr:colOff>
      <xdr:row>22</xdr:row>
      <xdr:rowOff>0</xdr:rowOff>
    </xdr:from>
    <xdr:to>
      <xdr:col>13</xdr:col>
      <xdr:colOff>123825</xdr:colOff>
      <xdr:row>30</xdr:row>
      <xdr:rowOff>28575</xdr:rowOff>
    </xdr:to>
    <xdr:pic>
      <xdr:nvPicPr>
        <xdr:cNvPr id="56793" name="Picture 15">
          <a:extLst>
            <a:ext uri="{FF2B5EF4-FFF2-40B4-BE49-F238E27FC236}">
              <a16:creationId xmlns:a16="http://schemas.microsoft.com/office/drawing/2014/main" id="{355C87BE-F571-41A2-8F97-1EC07DB2CE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0" y="3457575"/>
          <a:ext cx="3362325" cy="1323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342900</xdr:colOff>
      <xdr:row>131</xdr:row>
      <xdr:rowOff>9525</xdr:rowOff>
    </xdr:from>
    <xdr:to>
      <xdr:col>15</xdr:col>
      <xdr:colOff>28575</xdr:colOff>
      <xdr:row>142</xdr:row>
      <xdr:rowOff>133350</xdr:rowOff>
    </xdr:to>
    <xdr:pic>
      <xdr:nvPicPr>
        <xdr:cNvPr id="56794" name="Picture 8">
          <a:extLst>
            <a:ext uri="{FF2B5EF4-FFF2-40B4-BE49-F238E27FC236}">
              <a16:creationId xmlns:a16="http://schemas.microsoft.com/office/drawing/2014/main" id="{BDF0B033-694D-49CC-9807-5116BB7E5A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21116925"/>
          <a:ext cx="4019550" cy="190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26</xdr:col>
      <xdr:colOff>9525</xdr:colOff>
      <xdr:row>33</xdr:row>
      <xdr:rowOff>0</xdr:rowOff>
    </xdr:from>
    <xdr:to>
      <xdr:col>30</xdr:col>
      <xdr:colOff>552450</xdr:colOff>
      <xdr:row>52</xdr:row>
      <xdr:rowOff>57150</xdr:rowOff>
    </xdr:to>
    <xdr:pic>
      <xdr:nvPicPr>
        <xdr:cNvPr id="56795" name="Picture 4">
          <a:extLst>
            <a:ext uri="{FF2B5EF4-FFF2-40B4-BE49-F238E27FC236}">
              <a16:creationId xmlns:a16="http://schemas.microsoft.com/office/drawing/2014/main" id="{B5205039-AD03-4AF4-930E-3CE99E388C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02075" y="5238750"/>
          <a:ext cx="2981325" cy="3133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22</xdr:row>
      <xdr:rowOff>0</xdr:rowOff>
    </xdr:from>
    <xdr:to>
      <xdr:col>8</xdr:col>
      <xdr:colOff>504825</xdr:colOff>
      <xdr:row>33</xdr:row>
      <xdr:rowOff>152400</xdr:rowOff>
    </xdr:to>
    <xdr:pic>
      <xdr:nvPicPr>
        <xdr:cNvPr id="56796" name="Picture 3">
          <a:extLst>
            <a:ext uri="{FF2B5EF4-FFF2-40B4-BE49-F238E27FC236}">
              <a16:creationId xmlns:a16="http://schemas.microsoft.com/office/drawing/2014/main" id="{885999FD-8019-45E9-BF61-652D5774FF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3457575"/>
          <a:ext cx="3552825" cy="1933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33</xdr:row>
      <xdr:rowOff>152400</xdr:rowOff>
    </xdr:from>
    <xdr:to>
      <xdr:col>8</xdr:col>
      <xdr:colOff>514350</xdr:colOff>
      <xdr:row>45</xdr:row>
      <xdr:rowOff>95250</xdr:rowOff>
    </xdr:to>
    <xdr:pic>
      <xdr:nvPicPr>
        <xdr:cNvPr id="56797" name="Picture 22">
          <a:extLst>
            <a:ext uri="{FF2B5EF4-FFF2-40B4-BE49-F238E27FC236}">
              <a16:creationId xmlns:a16="http://schemas.microsoft.com/office/drawing/2014/main" id="{EB93E313-1698-4DD8-90B5-EAF5973268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5391150"/>
          <a:ext cx="3562350" cy="1885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45</xdr:row>
      <xdr:rowOff>95250</xdr:rowOff>
    </xdr:from>
    <xdr:to>
      <xdr:col>8</xdr:col>
      <xdr:colOff>504825</xdr:colOff>
      <xdr:row>54</xdr:row>
      <xdr:rowOff>123825</xdr:rowOff>
    </xdr:to>
    <xdr:pic>
      <xdr:nvPicPr>
        <xdr:cNvPr id="56798" name="Picture 6">
          <a:extLst>
            <a:ext uri="{FF2B5EF4-FFF2-40B4-BE49-F238E27FC236}">
              <a16:creationId xmlns:a16="http://schemas.microsoft.com/office/drawing/2014/main" id="{558596E8-40DF-42AC-A5FC-49752A1C5D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7277100"/>
          <a:ext cx="3552825" cy="1485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54</xdr:row>
      <xdr:rowOff>66675</xdr:rowOff>
    </xdr:from>
    <xdr:to>
      <xdr:col>8</xdr:col>
      <xdr:colOff>504825</xdr:colOff>
      <xdr:row>63</xdr:row>
      <xdr:rowOff>38100</xdr:rowOff>
    </xdr:to>
    <xdr:pic>
      <xdr:nvPicPr>
        <xdr:cNvPr id="56799" name="Picture 7">
          <a:extLst>
            <a:ext uri="{FF2B5EF4-FFF2-40B4-BE49-F238E27FC236}">
              <a16:creationId xmlns:a16="http://schemas.microsoft.com/office/drawing/2014/main" id="{76714A9B-2DCE-4265-AF19-33DAF64B3D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8705850"/>
          <a:ext cx="3552825" cy="1428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609600</xdr:colOff>
      <xdr:row>31</xdr:row>
      <xdr:rowOff>0</xdr:rowOff>
    </xdr:from>
    <xdr:to>
      <xdr:col>13</xdr:col>
      <xdr:colOff>504825</xdr:colOff>
      <xdr:row>41</xdr:row>
      <xdr:rowOff>95250</xdr:rowOff>
    </xdr:to>
    <xdr:pic>
      <xdr:nvPicPr>
        <xdr:cNvPr id="56800" name="Picture 1">
          <a:extLst>
            <a:ext uri="{FF2B5EF4-FFF2-40B4-BE49-F238E27FC236}">
              <a16:creationId xmlns:a16="http://schemas.microsoft.com/office/drawing/2014/main" id="{58569A32-A536-4E11-9087-B16F0625A5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72175" y="4914900"/>
          <a:ext cx="3752850" cy="1714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41</xdr:row>
      <xdr:rowOff>95250</xdr:rowOff>
    </xdr:from>
    <xdr:to>
      <xdr:col>13</xdr:col>
      <xdr:colOff>495300</xdr:colOff>
      <xdr:row>51</xdr:row>
      <xdr:rowOff>57150</xdr:rowOff>
    </xdr:to>
    <xdr:pic>
      <xdr:nvPicPr>
        <xdr:cNvPr id="56801" name="Picture 2">
          <a:extLst>
            <a:ext uri="{FF2B5EF4-FFF2-40B4-BE49-F238E27FC236}">
              <a16:creationId xmlns:a16="http://schemas.microsoft.com/office/drawing/2014/main" id="{08B828EC-C3AB-4C1A-8EF4-65461D3244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72175" y="6629400"/>
          <a:ext cx="3743325" cy="1581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62</xdr:row>
      <xdr:rowOff>57150</xdr:rowOff>
    </xdr:from>
    <xdr:to>
      <xdr:col>13</xdr:col>
      <xdr:colOff>504825</xdr:colOff>
      <xdr:row>72</xdr:row>
      <xdr:rowOff>19050</xdr:rowOff>
    </xdr:to>
    <xdr:pic>
      <xdr:nvPicPr>
        <xdr:cNvPr id="56802" name="Picture 3">
          <a:extLst>
            <a:ext uri="{FF2B5EF4-FFF2-40B4-BE49-F238E27FC236}">
              <a16:creationId xmlns:a16="http://schemas.microsoft.com/office/drawing/2014/main" id="{D26247C0-FBF2-4211-BE66-9B9DBFA18F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72175" y="9991725"/>
          <a:ext cx="3752850" cy="1581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72</xdr:row>
      <xdr:rowOff>19050</xdr:rowOff>
    </xdr:from>
    <xdr:to>
      <xdr:col>13</xdr:col>
      <xdr:colOff>495300</xdr:colOff>
      <xdr:row>83</xdr:row>
      <xdr:rowOff>28575</xdr:rowOff>
    </xdr:to>
    <xdr:pic>
      <xdr:nvPicPr>
        <xdr:cNvPr id="56803" name="Picture 4">
          <a:extLst>
            <a:ext uri="{FF2B5EF4-FFF2-40B4-BE49-F238E27FC236}">
              <a16:creationId xmlns:a16="http://schemas.microsoft.com/office/drawing/2014/main" id="{56068BFB-CBA2-40A5-A04A-A22BB92F57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72175" y="11572875"/>
          <a:ext cx="3743325" cy="1790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83</xdr:row>
      <xdr:rowOff>19050</xdr:rowOff>
    </xdr:from>
    <xdr:to>
      <xdr:col>13</xdr:col>
      <xdr:colOff>495300</xdr:colOff>
      <xdr:row>91</xdr:row>
      <xdr:rowOff>57150</xdr:rowOff>
    </xdr:to>
    <xdr:pic>
      <xdr:nvPicPr>
        <xdr:cNvPr id="56804" name="Picture 5">
          <a:extLst>
            <a:ext uri="{FF2B5EF4-FFF2-40B4-BE49-F238E27FC236}">
              <a16:creationId xmlns:a16="http://schemas.microsoft.com/office/drawing/2014/main" id="{DEA2CD0A-7C1C-4689-93AD-9A235913BB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72175" y="13354050"/>
          <a:ext cx="3743325" cy="1333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51</xdr:row>
      <xdr:rowOff>9525</xdr:rowOff>
    </xdr:from>
    <xdr:to>
      <xdr:col>13</xdr:col>
      <xdr:colOff>504825</xdr:colOff>
      <xdr:row>62</xdr:row>
      <xdr:rowOff>57150</xdr:rowOff>
    </xdr:to>
    <xdr:pic>
      <xdr:nvPicPr>
        <xdr:cNvPr id="56805" name="Picture 6">
          <a:extLst>
            <a:ext uri="{FF2B5EF4-FFF2-40B4-BE49-F238E27FC236}">
              <a16:creationId xmlns:a16="http://schemas.microsoft.com/office/drawing/2014/main" id="{78043969-9F48-4184-840A-71C21C39D1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72175" y="8162925"/>
          <a:ext cx="3752850" cy="1828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91</xdr:row>
      <xdr:rowOff>57150</xdr:rowOff>
    </xdr:from>
    <xdr:to>
      <xdr:col>13</xdr:col>
      <xdr:colOff>495300</xdr:colOff>
      <xdr:row>101</xdr:row>
      <xdr:rowOff>104775</xdr:rowOff>
    </xdr:to>
    <xdr:pic>
      <xdr:nvPicPr>
        <xdr:cNvPr id="56806" name="Picture 7">
          <a:extLst>
            <a:ext uri="{FF2B5EF4-FFF2-40B4-BE49-F238E27FC236}">
              <a16:creationId xmlns:a16="http://schemas.microsoft.com/office/drawing/2014/main" id="{D3B85B1F-0569-42F1-AEFB-E4ACEAED8A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72175" y="14687550"/>
          <a:ext cx="3743325" cy="1666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22</xdr:row>
      <xdr:rowOff>19050</xdr:rowOff>
    </xdr:from>
    <xdr:to>
      <xdr:col>25</xdr:col>
      <xdr:colOff>57150</xdr:colOff>
      <xdr:row>41</xdr:row>
      <xdr:rowOff>9525</xdr:rowOff>
    </xdr:to>
    <xdr:pic>
      <xdr:nvPicPr>
        <xdr:cNvPr id="56807" name="Picture 8">
          <a:extLst>
            <a:ext uri="{FF2B5EF4-FFF2-40B4-BE49-F238E27FC236}">
              <a16:creationId xmlns:a16="http://schemas.microsoft.com/office/drawing/2014/main" id="{8DFDD83E-AEC3-49D0-9189-B02C85A536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06050" y="3476625"/>
          <a:ext cx="5734050" cy="3067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26</xdr:col>
      <xdr:colOff>9525</xdr:colOff>
      <xdr:row>22</xdr:row>
      <xdr:rowOff>0</xdr:rowOff>
    </xdr:from>
    <xdr:to>
      <xdr:col>30</xdr:col>
      <xdr:colOff>85725</xdr:colOff>
      <xdr:row>31</xdr:row>
      <xdr:rowOff>85725</xdr:rowOff>
    </xdr:to>
    <xdr:pic>
      <xdr:nvPicPr>
        <xdr:cNvPr id="56808" name="Picture 10">
          <a:extLst>
            <a:ext uri="{FF2B5EF4-FFF2-40B4-BE49-F238E27FC236}">
              <a16:creationId xmlns:a16="http://schemas.microsoft.com/office/drawing/2014/main" id="{9CD4A60D-B6F0-4D18-A7AF-CD1B6757FB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02075" y="3457575"/>
          <a:ext cx="2514600" cy="1543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63</xdr:row>
      <xdr:rowOff>28575</xdr:rowOff>
    </xdr:from>
    <xdr:to>
      <xdr:col>10</xdr:col>
      <xdr:colOff>381000</xdr:colOff>
      <xdr:row>75</xdr:row>
      <xdr:rowOff>152400</xdr:rowOff>
    </xdr:to>
    <xdr:pic>
      <xdr:nvPicPr>
        <xdr:cNvPr id="56811" name="Picture 1">
          <a:extLst>
            <a:ext uri="{FF2B5EF4-FFF2-40B4-BE49-F238E27FC236}">
              <a16:creationId xmlns:a16="http://schemas.microsoft.com/office/drawing/2014/main" id="{74966398-B7A3-417F-A165-B87DCA1868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10125075"/>
          <a:ext cx="4648200" cy="2066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1</xdr:row>
      <xdr:rowOff>31750</xdr:rowOff>
    </xdr:from>
    <xdr:to>
      <xdr:col>11</xdr:col>
      <xdr:colOff>859940</xdr:colOff>
      <xdr:row>14</xdr:row>
      <xdr:rowOff>117149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7F24E70-5AD6-400B-963B-11A41AA915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2905125" y="190500"/>
          <a:ext cx="3876190" cy="26095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19</xdr:row>
      <xdr:rowOff>0</xdr:rowOff>
    </xdr:from>
    <xdr:to>
      <xdr:col>11</xdr:col>
      <xdr:colOff>2299252</xdr:colOff>
      <xdr:row>25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378A20C-3D30-4D93-8681-0586579FDB61}"/>
            </a:ext>
          </a:extLst>
        </xdr:cNvPr>
        <xdr:cNvSpPr txBox="1"/>
      </xdr:nvSpPr>
      <xdr:spPr>
        <a:xfrm>
          <a:off x="6505575" y="3733800"/>
          <a:ext cx="4457700" cy="10477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coal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3-step domestic coal supply curve, along with and import and export option.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19</xdr:row>
      <xdr:rowOff>0</xdr:rowOff>
    </xdr:from>
    <xdr:to>
      <xdr:col>11</xdr:col>
      <xdr:colOff>2325972</xdr:colOff>
      <xdr:row>24</xdr:row>
      <xdr:rowOff>150514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61374E6-9579-438F-B883-46083DE5A063}"/>
            </a:ext>
          </a:extLst>
        </xdr:cNvPr>
        <xdr:cNvSpPr txBox="1"/>
      </xdr:nvSpPr>
      <xdr:spPr>
        <a:xfrm>
          <a:off x="6515100" y="3733800"/>
          <a:ext cx="4467225" cy="9620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gas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3-step domestic gas supply curve, along with and import and export option.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19</xdr:row>
      <xdr:rowOff>0</xdr:rowOff>
    </xdr:from>
    <xdr:to>
      <xdr:col>12</xdr:col>
      <xdr:colOff>0</xdr:colOff>
      <xdr:row>25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AE35C41-62F1-4AA2-ACF2-8AAA45CE3286}"/>
            </a:ext>
          </a:extLst>
        </xdr:cNvPr>
        <xdr:cNvSpPr txBox="1"/>
      </xdr:nvSpPr>
      <xdr:spPr>
        <a:xfrm>
          <a:off x="6457950" y="3733800"/>
          <a:ext cx="4486275" cy="10477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oil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3-step domestic oil supply curve, along with and import and export option.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13</xdr:row>
      <xdr:rowOff>9525</xdr:rowOff>
    </xdr:from>
    <xdr:to>
      <xdr:col>11</xdr:col>
      <xdr:colOff>2695515</xdr:colOff>
      <xdr:row>19</xdr:row>
      <xdr:rowOff>85725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CDC525A-B09C-4129-87F7-2E8603EDA2C2}"/>
            </a:ext>
          </a:extLst>
        </xdr:cNvPr>
        <xdr:cNvSpPr txBox="1"/>
      </xdr:nvSpPr>
      <xdr:spPr>
        <a:xfrm>
          <a:off x="6362700" y="2952750"/>
          <a:ext cx="4781550" cy="10477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reneable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make available the renewable commodity.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16</xdr:row>
      <xdr:rowOff>0</xdr:rowOff>
    </xdr:from>
    <xdr:to>
      <xdr:col>11</xdr:col>
      <xdr:colOff>2482215</xdr:colOff>
      <xdr:row>21</xdr:row>
      <xdr:rowOff>150512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02654BA-1035-46A7-96E1-F214E962E141}"/>
            </a:ext>
          </a:extLst>
        </xdr:cNvPr>
        <xdr:cNvSpPr txBox="1"/>
      </xdr:nvSpPr>
      <xdr:spPr>
        <a:xfrm>
          <a:off x="6353175" y="3124200"/>
          <a:ext cx="4791075" cy="10477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nuclear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make available the nuclear commodity.</a:t>
          </a:r>
          <a:endParaRPr lang="en-GB">
            <a:effectLst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9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1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12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P57"/>
  <sheetViews>
    <sheetView zoomScale="90" zoomScaleNormal="90" workbookViewId="0">
      <selection activeCell="F4" sqref="F4"/>
    </sheetView>
  </sheetViews>
  <sheetFormatPr defaultRowHeight="12.75" x14ac:dyDescent="0.35"/>
  <cols>
    <col min="1" max="1" width="3" bestFit="1" customWidth="1"/>
    <col min="2" max="2" width="18.3984375" bestFit="1" customWidth="1"/>
    <col min="3" max="3" width="41.1328125" bestFit="1" customWidth="1"/>
    <col min="4" max="18" width="10.86328125" customWidth="1"/>
    <col min="19" max="19" width="7.265625" bestFit="1" customWidth="1"/>
    <col min="20" max="20" width="2" bestFit="1" customWidth="1"/>
    <col min="21" max="21" width="12.59765625" bestFit="1" customWidth="1"/>
    <col min="23" max="23" width="6.73046875" bestFit="1" customWidth="1"/>
    <col min="24" max="24" width="9.265625" bestFit="1" customWidth="1"/>
    <col min="25" max="25" width="2" bestFit="1" customWidth="1"/>
    <col min="26" max="26" width="21.3984375" bestFit="1" customWidth="1"/>
    <col min="27" max="27" width="23.3984375" bestFit="1" customWidth="1"/>
    <col min="28" max="42" width="10.86328125" customWidth="1"/>
  </cols>
  <sheetData>
    <row r="1" spans="2:42" ht="13.15" x14ac:dyDescent="0.4">
      <c r="U1" s="22" t="s">
        <v>117</v>
      </c>
      <c r="V1" s="1" t="s">
        <v>118</v>
      </c>
      <c r="W1" s="1" t="s">
        <v>119</v>
      </c>
      <c r="X1" s="1" t="s">
        <v>135</v>
      </c>
    </row>
    <row r="2" spans="2:42" ht="15.75" x14ac:dyDescent="0.5">
      <c r="D2" s="67" t="s">
        <v>47</v>
      </c>
      <c r="E2" s="67" t="s">
        <v>48</v>
      </c>
      <c r="F2" s="67" t="s">
        <v>49</v>
      </c>
      <c r="G2" s="67" t="s">
        <v>181</v>
      </c>
      <c r="H2" s="67" t="s">
        <v>182</v>
      </c>
      <c r="I2" s="67" t="s">
        <v>183</v>
      </c>
      <c r="J2" s="67" t="s">
        <v>184</v>
      </c>
      <c r="K2" s="67" t="s">
        <v>185</v>
      </c>
      <c r="L2" s="67" t="s">
        <v>186</v>
      </c>
      <c r="M2" s="67" t="s">
        <v>187</v>
      </c>
      <c r="N2" s="67" t="s">
        <v>50</v>
      </c>
      <c r="O2" s="67" t="s">
        <v>51</v>
      </c>
      <c r="P2" s="67" t="s">
        <v>52</v>
      </c>
      <c r="Q2" s="67" t="s">
        <v>53</v>
      </c>
      <c r="R2" s="67" t="s">
        <v>54</v>
      </c>
      <c r="S2" s="31"/>
      <c r="V2" s="65" t="s">
        <v>207</v>
      </c>
      <c r="W2" s="12" t="s">
        <v>97</v>
      </c>
      <c r="X2" s="12" t="s">
        <v>136</v>
      </c>
      <c r="AB2" s="67" t="s">
        <v>47</v>
      </c>
      <c r="AC2" s="67" t="s">
        <v>48</v>
      </c>
      <c r="AD2" s="67" t="s">
        <v>49</v>
      </c>
      <c r="AE2" s="67" t="s">
        <v>181</v>
      </c>
      <c r="AF2" s="67" t="s">
        <v>182</v>
      </c>
      <c r="AG2" s="67" t="s">
        <v>183</v>
      </c>
      <c r="AH2" s="67" t="s">
        <v>184</v>
      </c>
      <c r="AI2" s="67" t="s">
        <v>185</v>
      </c>
      <c r="AJ2" s="67" t="s">
        <v>186</v>
      </c>
      <c r="AK2" s="67" t="s">
        <v>187</v>
      </c>
      <c r="AL2" s="67" t="s">
        <v>50</v>
      </c>
      <c r="AM2" s="67" t="s">
        <v>51</v>
      </c>
      <c r="AN2" s="67" t="s">
        <v>52</v>
      </c>
      <c r="AO2" s="67" t="s">
        <v>53</v>
      </c>
      <c r="AP2" s="67" t="s">
        <v>54</v>
      </c>
    </row>
    <row r="3" spans="2:42" ht="39.4" x14ac:dyDescent="0.4">
      <c r="C3" s="6"/>
      <c r="D3" s="68" t="s">
        <v>55</v>
      </c>
      <c r="E3" s="68" t="s">
        <v>56</v>
      </c>
      <c r="F3" s="68" t="s">
        <v>222</v>
      </c>
      <c r="G3" s="68" t="s">
        <v>196</v>
      </c>
      <c r="H3" s="68" t="s">
        <v>190</v>
      </c>
      <c r="I3" s="68" t="s">
        <v>183</v>
      </c>
      <c r="J3" s="68" t="s">
        <v>191</v>
      </c>
      <c r="K3" s="68" t="s">
        <v>192</v>
      </c>
      <c r="L3" s="68" t="s">
        <v>188</v>
      </c>
      <c r="M3" s="68" t="s">
        <v>189</v>
      </c>
      <c r="N3" s="68" t="s">
        <v>57</v>
      </c>
      <c r="O3" s="68" t="s">
        <v>58</v>
      </c>
      <c r="P3" s="68" t="s">
        <v>59</v>
      </c>
      <c r="Q3" s="68" t="s">
        <v>60</v>
      </c>
      <c r="R3" s="68" t="s">
        <v>110</v>
      </c>
      <c r="S3" s="63" t="s">
        <v>61</v>
      </c>
      <c r="Z3" s="22" t="s">
        <v>175</v>
      </c>
      <c r="AA3" s="6"/>
      <c r="AB3" s="68" t="s">
        <v>55</v>
      </c>
      <c r="AC3" s="68" t="s">
        <v>56</v>
      </c>
      <c r="AD3" s="68" t="s">
        <v>180</v>
      </c>
      <c r="AE3" s="68" t="s">
        <v>196</v>
      </c>
      <c r="AF3" s="68" t="s">
        <v>190</v>
      </c>
      <c r="AG3" s="68" t="s">
        <v>183</v>
      </c>
      <c r="AH3" s="68" t="s">
        <v>191</v>
      </c>
      <c r="AI3" s="68" t="s">
        <v>192</v>
      </c>
      <c r="AJ3" s="68" t="s">
        <v>188</v>
      </c>
      <c r="AK3" s="68" t="s">
        <v>189</v>
      </c>
      <c r="AL3" s="68" t="s">
        <v>57</v>
      </c>
      <c r="AM3" s="68" t="s">
        <v>58</v>
      </c>
      <c r="AN3" s="68" t="s">
        <v>59</v>
      </c>
      <c r="AO3" s="68" t="s">
        <v>60</v>
      </c>
      <c r="AP3" s="68" t="s">
        <v>110</v>
      </c>
    </row>
    <row r="4" spans="2:42" x14ac:dyDescent="0.35">
      <c r="C4" s="180" t="s">
        <v>62</v>
      </c>
      <c r="D4" s="181"/>
      <c r="E4" s="181"/>
      <c r="F4" s="181"/>
      <c r="G4" s="181"/>
      <c r="H4" s="181"/>
      <c r="I4" s="181"/>
      <c r="J4" s="181"/>
      <c r="K4" s="181"/>
      <c r="L4" s="181"/>
      <c r="M4" s="181"/>
      <c r="N4" s="182"/>
      <c r="O4" s="182"/>
      <c r="P4" s="182"/>
      <c r="Q4" s="182"/>
      <c r="R4" s="182"/>
      <c r="S4" s="183"/>
      <c r="AA4" s="7" t="s">
        <v>62</v>
      </c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</row>
    <row r="5" spans="2:42" ht="14.25" x14ac:dyDescent="0.45">
      <c r="B5" s="69" t="s">
        <v>63</v>
      </c>
      <c r="C5" s="184" t="s">
        <v>64</v>
      </c>
      <c r="D5" s="78">
        <v>8098.3580000000002</v>
      </c>
      <c r="E5" s="77">
        <v>7899.4970000000003</v>
      </c>
      <c r="F5" s="77">
        <v>5372.5039999999999</v>
      </c>
      <c r="G5" s="77">
        <v>0.128</v>
      </c>
      <c r="H5" s="77">
        <v>0</v>
      </c>
      <c r="I5" s="77">
        <v>0</v>
      </c>
      <c r="J5" s="77">
        <v>0</v>
      </c>
      <c r="K5" s="77">
        <v>0</v>
      </c>
      <c r="L5" s="77">
        <v>0</v>
      </c>
      <c r="M5" s="77">
        <v>0</v>
      </c>
      <c r="N5" s="66">
        <v>10775.148999999999</v>
      </c>
      <c r="O5" s="66">
        <v>5026.6000000000004</v>
      </c>
      <c r="P5" s="66">
        <v>0</v>
      </c>
      <c r="Q5" s="66">
        <v>0</v>
      </c>
      <c r="R5" s="66">
        <v>0</v>
      </c>
      <c r="S5" s="185">
        <f>SUM(D5:R5)</f>
        <v>37172.235999999997</v>
      </c>
      <c r="U5" s="8"/>
      <c r="Z5" s="69" t="s">
        <v>63</v>
      </c>
      <c r="AA5" s="140" t="s">
        <v>64</v>
      </c>
      <c r="AB5" s="135">
        <v>1</v>
      </c>
      <c r="AC5" s="117">
        <v>0</v>
      </c>
      <c r="AD5" s="117">
        <v>0.3</v>
      </c>
      <c r="AE5" s="117">
        <v>0.3</v>
      </c>
      <c r="AF5" s="117">
        <v>0.3</v>
      </c>
      <c r="AG5" s="117">
        <v>0.3</v>
      </c>
      <c r="AH5" s="117">
        <v>0.3</v>
      </c>
      <c r="AI5" s="117">
        <v>0.3</v>
      </c>
      <c r="AJ5" s="117">
        <v>0.3</v>
      </c>
      <c r="AK5" s="117">
        <v>0.3</v>
      </c>
      <c r="AL5" s="117">
        <v>0</v>
      </c>
      <c r="AM5" s="117">
        <v>1</v>
      </c>
      <c r="AN5" s="136">
        <v>0.5</v>
      </c>
      <c r="AO5" s="136">
        <v>0.5</v>
      </c>
      <c r="AP5" s="137">
        <v>0.5</v>
      </c>
    </row>
    <row r="6" spans="2:42" ht="14.25" x14ac:dyDescent="0.45">
      <c r="B6" s="69" t="s">
        <v>65</v>
      </c>
      <c r="C6" s="184" t="s">
        <v>66</v>
      </c>
      <c r="D6" s="79">
        <v>6462.6710000000003</v>
      </c>
      <c r="E6" s="75">
        <v>13291.728999999999</v>
      </c>
      <c r="F6" s="75">
        <v>27648.656000000003</v>
      </c>
      <c r="G6" s="75">
        <v>4409.6980000000003</v>
      </c>
      <c r="H6" s="75">
        <v>1209.9770000000001</v>
      </c>
      <c r="I6" s="75">
        <v>652.25900000000001</v>
      </c>
      <c r="J6" s="75">
        <v>1320</v>
      </c>
      <c r="K6" s="75">
        <v>1366.2</v>
      </c>
      <c r="L6" s="75">
        <v>2159.12</v>
      </c>
      <c r="M6" s="75">
        <v>1194.07</v>
      </c>
      <c r="N6" s="66">
        <v>0</v>
      </c>
      <c r="O6" s="66">
        <v>113.01900000000001</v>
      </c>
      <c r="P6" s="66">
        <v>7.0000000000000001E-3</v>
      </c>
      <c r="Q6" s="66">
        <v>0.153</v>
      </c>
      <c r="R6" s="66">
        <v>1167.52</v>
      </c>
      <c r="S6" s="185">
        <f>SUM(D6:R6)</f>
        <v>60995.078999999991</v>
      </c>
      <c r="Z6" s="69" t="s">
        <v>65</v>
      </c>
      <c r="AA6" s="141" t="s">
        <v>66</v>
      </c>
      <c r="AB6" s="129">
        <v>1</v>
      </c>
      <c r="AC6" s="108">
        <v>0</v>
      </c>
      <c r="AD6" s="108">
        <v>0.3</v>
      </c>
      <c r="AE6" s="108">
        <v>0.3</v>
      </c>
      <c r="AF6" s="108">
        <v>0.3</v>
      </c>
      <c r="AG6" s="108">
        <v>0.3</v>
      </c>
      <c r="AH6" s="108">
        <v>0.3</v>
      </c>
      <c r="AI6" s="108">
        <v>0.3</v>
      </c>
      <c r="AJ6" s="108">
        <v>0.3</v>
      </c>
      <c r="AK6" s="108">
        <v>0.3</v>
      </c>
      <c r="AL6" s="108">
        <v>0</v>
      </c>
      <c r="AM6" s="108">
        <v>1</v>
      </c>
      <c r="AN6" s="138">
        <v>0.5</v>
      </c>
      <c r="AO6" s="138">
        <v>0.5</v>
      </c>
      <c r="AP6" s="139">
        <v>0.5</v>
      </c>
    </row>
    <row r="7" spans="2:42" ht="14.25" x14ac:dyDescent="0.45">
      <c r="B7" s="69" t="s">
        <v>67</v>
      </c>
      <c r="C7" s="184" t="s">
        <v>68</v>
      </c>
      <c r="D7" s="79">
        <v>-1147.069</v>
      </c>
      <c r="E7" s="75">
        <v>-2516.3310000000001</v>
      </c>
      <c r="F7" s="75">
        <v>-3296.9709999999995</v>
      </c>
      <c r="G7" s="75">
        <v>-3366.2849999999999</v>
      </c>
      <c r="H7" s="75">
        <v>-590.77700000000004</v>
      </c>
      <c r="I7" s="75">
        <v>-389.03300000000002</v>
      </c>
      <c r="J7" s="75">
        <v>-3001.2840000000001</v>
      </c>
      <c r="K7" s="75">
        <v>-801.68</v>
      </c>
      <c r="L7" s="75">
        <v>-2478.56</v>
      </c>
      <c r="M7" s="75">
        <v>-906.072</v>
      </c>
      <c r="N7" s="66">
        <v>0</v>
      </c>
      <c r="O7" s="66">
        <v>-72.403999999999996</v>
      </c>
      <c r="P7" s="66">
        <v>0</v>
      </c>
      <c r="Q7" s="66">
        <v>-0.129</v>
      </c>
      <c r="R7" s="66">
        <v>-1126.8040000000001</v>
      </c>
      <c r="S7" s="185">
        <f>SUM(D7:R7)</f>
        <v>-19693.398999999998</v>
      </c>
      <c r="U7" s="8"/>
      <c r="Z7" s="69" t="s">
        <v>67</v>
      </c>
      <c r="AA7" s="142" t="s">
        <v>68</v>
      </c>
      <c r="AB7" s="129">
        <v>1</v>
      </c>
      <c r="AC7" s="108">
        <v>0</v>
      </c>
      <c r="AD7" s="108">
        <v>0.3</v>
      </c>
      <c r="AE7" s="108">
        <v>0.3</v>
      </c>
      <c r="AF7" s="108">
        <v>0.3</v>
      </c>
      <c r="AG7" s="108">
        <v>0.3</v>
      </c>
      <c r="AH7" s="108">
        <v>0.3</v>
      </c>
      <c r="AI7" s="108">
        <v>0.3</v>
      </c>
      <c r="AJ7" s="108">
        <v>0.3</v>
      </c>
      <c r="AK7" s="108">
        <v>0.3</v>
      </c>
      <c r="AL7" s="108">
        <v>0</v>
      </c>
      <c r="AM7" s="108">
        <v>1</v>
      </c>
      <c r="AN7" s="138">
        <v>0.5</v>
      </c>
      <c r="AO7" s="138">
        <v>0.5</v>
      </c>
      <c r="AP7" s="139">
        <v>0.5</v>
      </c>
    </row>
    <row r="8" spans="2:42" ht="14.25" x14ac:dyDescent="0.45">
      <c r="B8" s="177" t="s">
        <v>219</v>
      </c>
      <c r="C8" s="83" t="s">
        <v>220</v>
      </c>
      <c r="D8" s="84">
        <f>SUM(D5:D7)</f>
        <v>13413.960000000001</v>
      </c>
      <c r="E8" s="85">
        <f t="shared" ref="E8:R8" si="0">SUM(E5:E7)</f>
        <v>18674.894999999997</v>
      </c>
      <c r="F8" s="85">
        <f t="shared" si="0"/>
        <v>29724.189000000006</v>
      </c>
      <c r="G8" s="85">
        <f t="shared" si="0"/>
        <v>1043.5410000000002</v>
      </c>
      <c r="H8" s="85">
        <f t="shared" si="0"/>
        <v>619.20000000000005</v>
      </c>
      <c r="I8" s="85">
        <f t="shared" si="0"/>
        <v>263.226</v>
      </c>
      <c r="J8" s="85">
        <f t="shared" si="0"/>
        <v>-1681.2840000000001</v>
      </c>
      <c r="K8" s="85">
        <f t="shared" si="0"/>
        <v>564.5200000000001</v>
      </c>
      <c r="L8" s="85">
        <f t="shared" si="0"/>
        <v>-319.44000000000005</v>
      </c>
      <c r="M8" s="85">
        <f t="shared" si="0"/>
        <v>287.99799999999993</v>
      </c>
      <c r="N8" s="85">
        <f t="shared" si="0"/>
        <v>10775.148999999999</v>
      </c>
      <c r="O8" s="85">
        <f t="shared" si="0"/>
        <v>5067.2150000000001</v>
      </c>
      <c r="P8" s="85">
        <f t="shared" si="0"/>
        <v>7.0000000000000001E-3</v>
      </c>
      <c r="Q8" s="85">
        <f t="shared" si="0"/>
        <v>2.3999999999999994E-2</v>
      </c>
      <c r="R8" s="85">
        <f t="shared" si="0"/>
        <v>40.715999999999894</v>
      </c>
      <c r="S8" s="86">
        <f>SUM(S5:S7)</f>
        <v>78473.915999999997</v>
      </c>
      <c r="Z8" s="64"/>
      <c r="AA8" s="109"/>
      <c r="AB8" s="109"/>
      <c r="AC8" s="110"/>
      <c r="AD8" s="110"/>
      <c r="AE8" s="110"/>
      <c r="AF8" s="110"/>
      <c r="AG8" s="110"/>
      <c r="AH8" s="110"/>
      <c r="AI8" s="110"/>
      <c r="AJ8" s="110"/>
      <c r="AK8" s="110"/>
      <c r="AL8" s="110"/>
      <c r="AM8" s="110"/>
      <c r="AN8" s="110"/>
      <c r="AO8" s="110"/>
      <c r="AP8" s="111"/>
    </row>
    <row r="9" spans="2:42" ht="13.15" x14ac:dyDescent="0.4">
      <c r="B9" s="64"/>
      <c r="C9" s="186" t="s">
        <v>69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187"/>
      <c r="Z9" s="64"/>
      <c r="AA9" s="7" t="s">
        <v>69</v>
      </c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</row>
    <row r="10" spans="2:42" ht="13.15" x14ac:dyDescent="0.4">
      <c r="B10" s="69" t="s">
        <v>70</v>
      </c>
      <c r="C10" s="88" t="s">
        <v>71</v>
      </c>
      <c r="D10" s="71">
        <v>-57.637999999999998</v>
      </c>
      <c r="E10" s="71">
        <v>-792.98</v>
      </c>
      <c r="F10" s="71"/>
      <c r="G10" s="71">
        <v>-32.567999999999998</v>
      </c>
      <c r="H10" s="71">
        <v>-4.2999999999999997E-2</v>
      </c>
      <c r="I10" s="71">
        <v>-1057.5219999999999</v>
      </c>
      <c r="J10" s="71">
        <v>-329.01600000000002</v>
      </c>
      <c r="K10" s="71">
        <v>-1.232</v>
      </c>
      <c r="L10" s="71">
        <v>-411.76</v>
      </c>
      <c r="M10" s="71"/>
      <c r="N10" s="71">
        <v>0</v>
      </c>
      <c r="O10" s="71">
        <v>-4.2830000000000004</v>
      </c>
      <c r="P10" s="71">
        <v>-1.52</v>
      </c>
      <c r="Q10" s="72">
        <v>0</v>
      </c>
      <c r="R10" s="72">
        <v>0</v>
      </c>
      <c r="S10" s="188">
        <f>SUM(D10:R10)</f>
        <v>-2688.5619999999999</v>
      </c>
      <c r="Z10" s="69" t="s">
        <v>70</v>
      </c>
      <c r="AA10" s="88" t="s">
        <v>71</v>
      </c>
      <c r="AB10" s="126">
        <v>1</v>
      </c>
      <c r="AC10" s="127">
        <v>0</v>
      </c>
      <c r="AD10" s="127">
        <v>0.3</v>
      </c>
      <c r="AE10" s="127">
        <v>0.3</v>
      </c>
      <c r="AF10" s="127">
        <v>0.3</v>
      </c>
      <c r="AG10" s="127">
        <v>0.3</v>
      </c>
      <c r="AH10" s="127">
        <v>0.3</v>
      </c>
      <c r="AI10" s="127">
        <v>0.3</v>
      </c>
      <c r="AJ10" s="127">
        <v>0.3</v>
      </c>
      <c r="AK10" s="127">
        <v>0.3</v>
      </c>
      <c r="AL10" s="127">
        <v>0</v>
      </c>
      <c r="AM10" s="127">
        <v>1</v>
      </c>
      <c r="AN10" s="127">
        <v>0.5</v>
      </c>
      <c r="AO10" s="127">
        <v>0.5</v>
      </c>
      <c r="AP10" s="128"/>
    </row>
    <row r="11" spans="2:42" ht="14.25" x14ac:dyDescent="0.45">
      <c r="B11" s="69" t="s">
        <v>54</v>
      </c>
      <c r="C11" s="89" t="s">
        <v>72</v>
      </c>
      <c r="D11" s="75">
        <v>-9598.1200000000008</v>
      </c>
      <c r="E11" s="75">
        <v>-5635.5439999999999</v>
      </c>
      <c r="F11" s="75"/>
      <c r="G11" s="75">
        <v>-60.320999999999998</v>
      </c>
      <c r="H11" s="75"/>
      <c r="I11" s="75">
        <v>-47.67</v>
      </c>
      <c r="J11" s="75"/>
      <c r="K11" s="75"/>
      <c r="L11" s="75">
        <v>-1049.56</v>
      </c>
      <c r="M11" s="75">
        <v>-67.058000000000007</v>
      </c>
      <c r="N11" s="75">
        <v>-10775.148999999999</v>
      </c>
      <c r="O11" s="75">
        <v>-1255.692</v>
      </c>
      <c r="P11" s="71">
        <v>-32.948999999999998</v>
      </c>
      <c r="Q11" s="71">
        <v>1737.559</v>
      </c>
      <c r="R11" s="75">
        <v>11581.04</v>
      </c>
      <c r="S11" s="185">
        <f>SUM(D11:R11)</f>
        <v>-15203.463999999996</v>
      </c>
      <c r="Z11" s="69" t="s">
        <v>54</v>
      </c>
      <c r="AA11" s="89" t="s">
        <v>72</v>
      </c>
      <c r="AB11" s="129">
        <v>1</v>
      </c>
      <c r="AC11" s="108">
        <v>0</v>
      </c>
      <c r="AD11" s="108">
        <v>0.3</v>
      </c>
      <c r="AE11" s="108">
        <v>0.3</v>
      </c>
      <c r="AF11" s="108">
        <v>0.3</v>
      </c>
      <c r="AG11" s="108">
        <v>0.3</v>
      </c>
      <c r="AH11" s="108">
        <v>0.3</v>
      </c>
      <c r="AI11" s="108">
        <v>0.3</v>
      </c>
      <c r="AJ11" s="108">
        <v>0.3</v>
      </c>
      <c r="AK11" s="108">
        <v>0.3</v>
      </c>
      <c r="AL11" s="108">
        <v>0</v>
      </c>
      <c r="AM11" s="108">
        <v>1</v>
      </c>
      <c r="AN11" s="125">
        <v>0.5</v>
      </c>
      <c r="AO11" s="125">
        <v>0.5</v>
      </c>
      <c r="AP11" s="130">
        <v>0.5</v>
      </c>
    </row>
    <row r="12" spans="2:42" ht="13.15" x14ac:dyDescent="0.4">
      <c r="B12" s="69" t="s">
        <v>73</v>
      </c>
      <c r="C12" s="89" t="s">
        <v>74</v>
      </c>
      <c r="D12" s="71">
        <v>-161.39599999999999</v>
      </c>
      <c r="E12" s="71">
        <v>-301.30099999999999</v>
      </c>
      <c r="F12" s="71"/>
      <c r="G12" s="71">
        <v>-15.238</v>
      </c>
      <c r="H12" s="71"/>
      <c r="I12" s="71">
        <v>-0.46700000000000003</v>
      </c>
      <c r="J12" s="71"/>
      <c r="K12" s="71"/>
      <c r="L12" s="71">
        <v>-30.4</v>
      </c>
      <c r="M12" s="71">
        <v>-3.544</v>
      </c>
      <c r="N12" s="71">
        <v>0</v>
      </c>
      <c r="O12" s="71">
        <v>-140.20699999999999</v>
      </c>
      <c r="P12" s="71">
        <v>-1.569</v>
      </c>
      <c r="Q12" s="71">
        <v>658.74300000000005</v>
      </c>
      <c r="R12" s="71">
        <v>0</v>
      </c>
      <c r="S12" s="188">
        <f>SUM(D12:R12)</f>
        <v>4.6210000000000946</v>
      </c>
      <c r="Z12" s="69" t="s">
        <v>73</v>
      </c>
      <c r="AA12" s="89" t="s">
        <v>74</v>
      </c>
      <c r="AB12" s="131">
        <v>1</v>
      </c>
      <c r="AC12" s="125">
        <v>0</v>
      </c>
      <c r="AD12" s="125">
        <v>0.3</v>
      </c>
      <c r="AE12" s="125">
        <v>0.3</v>
      </c>
      <c r="AF12" s="125">
        <v>0.3</v>
      </c>
      <c r="AG12" s="125">
        <v>0.3</v>
      </c>
      <c r="AH12" s="125">
        <v>0.3</v>
      </c>
      <c r="AI12" s="125">
        <v>0.3</v>
      </c>
      <c r="AJ12" s="125">
        <v>0.3</v>
      </c>
      <c r="AK12" s="125">
        <v>0.3</v>
      </c>
      <c r="AL12" s="125">
        <v>0</v>
      </c>
      <c r="AM12" s="125">
        <v>1</v>
      </c>
      <c r="AN12" s="125">
        <v>0.5</v>
      </c>
      <c r="AO12" s="125">
        <v>0.5</v>
      </c>
      <c r="AP12" s="130"/>
    </row>
    <row r="13" spans="2:42" ht="13.15" x14ac:dyDescent="0.4">
      <c r="B13" s="69" t="s">
        <v>75</v>
      </c>
      <c r="C13" s="89" t="s">
        <v>76</v>
      </c>
      <c r="D13" s="72"/>
      <c r="E13" s="72"/>
      <c r="F13" s="71">
        <v>-31736.460999999999</v>
      </c>
      <c r="G13" s="71">
        <v>11402.68</v>
      </c>
      <c r="H13" s="71">
        <v>1938.9559999999999</v>
      </c>
      <c r="I13" s="71">
        <v>2172.6080000000002</v>
      </c>
      <c r="J13" s="71">
        <v>6709.8239999999996</v>
      </c>
      <c r="K13" s="71">
        <v>1940.576</v>
      </c>
      <c r="L13" s="71">
        <v>4570.2039999999997</v>
      </c>
      <c r="M13" s="71">
        <v>2599.89</v>
      </c>
      <c r="N13" s="72"/>
      <c r="O13" s="72"/>
      <c r="P13" s="72"/>
      <c r="Q13" s="72"/>
      <c r="R13" s="72"/>
      <c r="S13" s="188">
        <f>SUM(D13:R13)</f>
        <v>-401.72300000000041</v>
      </c>
      <c r="Z13" s="69" t="s">
        <v>75</v>
      </c>
      <c r="AA13" s="89" t="s">
        <v>76</v>
      </c>
      <c r="AB13" s="132">
        <v>1</v>
      </c>
      <c r="AC13" s="133">
        <v>0</v>
      </c>
      <c r="AD13" s="133">
        <v>0.3</v>
      </c>
      <c r="AE13" s="133">
        <v>0.3</v>
      </c>
      <c r="AF13" s="133">
        <v>0.3</v>
      </c>
      <c r="AG13" s="133">
        <v>0.3</v>
      </c>
      <c r="AH13" s="133">
        <v>0.3</v>
      </c>
      <c r="AI13" s="133">
        <v>0.3</v>
      </c>
      <c r="AJ13" s="133">
        <v>0.3</v>
      </c>
      <c r="AK13" s="133">
        <v>0.3</v>
      </c>
      <c r="AL13" s="133">
        <v>0</v>
      </c>
      <c r="AM13" s="133">
        <v>1</v>
      </c>
      <c r="AN13" s="133">
        <v>0.5</v>
      </c>
      <c r="AO13" s="133">
        <v>0.5</v>
      </c>
      <c r="AP13" s="134"/>
    </row>
    <row r="14" spans="2:42" ht="14.25" x14ac:dyDescent="0.45">
      <c r="B14" s="64"/>
      <c r="C14" s="83" t="s">
        <v>77</v>
      </c>
      <c r="D14" s="87">
        <f>SUM(D10:D13)</f>
        <v>-9817.1540000000023</v>
      </c>
      <c r="E14" s="85">
        <f t="shared" ref="E14:R14" si="1">SUM(E10:E13)</f>
        <v>-6729.8249999999998</v>
      </c>
      <c r="F14" s="85">
        <f t="shared" si="1"/>
        <v>-31736.460999999999</v>
      </c>
      <c r="G14" s="85">
        <f t="shared" si="1"/>
        <v>11294.553</v>
      </c>
      <c r="H14" s="85">
        <f t="shared" si="1"/>
        <v>1938.913</v>
      </c>
      <c r="I14" s="85">
        <f t="shared" si="1"/>
        <v>1066.9490000000001</v>
      </c>
      <c r="J14" s="85">
        <f t="shared" si="1"/>
        <v>6380.808</v>
      </c>
      <c r="K14" s="85">
        <f t="shared" si="1"/>
        <v>1939.3440000000001</v>
      </c>
      <c r="L14" s="85">
        <f t="shared" si="1"/>
        <v>3078.4839999999995</v>
      </c>
      <c r="M14" s="85">
        <f t="shared" si="1"/>
        <v>2529.288</v>
      </c>
      <c r="N14" s="85">
        <f t="shared" si="1"/>
        <v>-10775.148999999999</v>
      </c>
      <c r="O14" s="85">
        <f t="shared" si="1"/>
        <v>-1400.1819999999998</v>
      </c>
      <c r="P14" s="85">
        <f t="shared" si="1"/>
        <v>-36.038000000000004</v>
      </c>
      <c r="Q14" s="85">
        <f t="shared" si="1"/>
        <v>2396.3020000000001</v>
      </c>
      <c r="R14" s="85">
        <f t="shared" si="1"/>
        <v>11581.04</v>
      </c>
      <c r="S14" s="86">
        <f>SUM(S10:S13)</f>
        <v>-18289.128000000001</v>
      </c>
      <c r="Z14" s="64"/>
      <c r="AA14" s="109"/>
      <c r="AB14" s="109"/>
      <c r="AC14" s="110"/>
      <c r="AD14" s="110"/>
      <c r="AE14" s="110"/>
      <c r="AF14" s="110"/>
      <c r="AG14" s="110"/>
      <c r="AH14" s="110"/>
      <c r="AI14" s="110"/>
      <c r="AJ14" s="110"/>
      <c r="AK14" s="110"/>
      <c r="AL14" s="112">
        <v>0</v>
      </c>
      <c r="AM14" s="110"/>
      <c r="AN14" s="110"/>
      <c r="AO14" s="110"/>
      <c r="AP14" s="111"/>
    </row>
    <row r="15" spans="2:42" ht="13.15" x14ac:dyDescent="0.4">
      <c r="B15" s="64"/>
      <c r="C15" s="186" t="s">
        <v>78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187"/>
      <c r="Z15" s="64"/>
      <c r="AA15" s="7" t="s">
        <v>78</v>
      </c>
      <c r="AL15" s="39">
        <v>0</v>
      </c>
    </row>
    <row r="16" spans="2:42" ht="14.25" x14ac:dyDescent="0.45">
      <c r="B16" s="69" t="s">
        <v>79</v>
      </c>
      <c r="C16" s="90" t="s">
        <v>80</v>
      </c>
      <c r="D16" s="189">
        <v>356.55500000000001</v>
      </c>
      <c r="E16" s="75">
        <v>5159.7929999999997</v>
      </c>
      <c r="F16" s="189"/>
      <c r="G16" s="189">
        <v>1724.106</v>
      </c>
      <c r="H16" s="189">
        <v>145.899</v>
      </c>
      <c r="I16" s="189">
        <v>380.35199999999998</v>
      </c>
      <c r="J16" s="189">
        <v>6.3360000000000003</v>
      </c>
      <c r="K16" s="189">
        <v>0</v>
      </c>
      <c r="L16" s="189">
        <v>30.76</v>
      </c>
      <c r="M16" s="189">
        <v>1.84</v>
      </c>
      <c r="N16" s="190">
        <v>0</v>
      </c>
      <c r="O16" s="189">
        <v>1293.9269999999999</v>
      </c>
      <c r="P16" s="189">
        <v>0</v>
      </c>
      <c r="Q16" s="189">
        <v>865.48500000000001</v>
      </c>
      <c r="R16" s="189">
        <v>2871.7420000000002</v>
      </c>
      <c r="S16" s="191">
        <f>SUM(D16:R16)</f>
        <v>12836.795000000002</v>
      </c>
      <c r="Z16" s="69" t="s">
        <v>79</v>
      </c>
      <c r="AA16" s="93" t="s">
        <v>80</v>
      </c>
      <c r="AB16" s="116">
        <v>1</v>
      </c>
      <c r="AC16" s="117">
        <v>0</v>
      </c>
      <c r="AD16" s="118">
        <v>0.3</v>
      </c>
      <c r="AE16" s="118">
        <v>0.3</v>
      </c>
      <c r="AF16" s="118">
        <v>0.3</v>
      </c>
      <c r="AG16" s="118">
        <v>0.3</v>
      </c>
      <c r="AH16" s="118">
        <v>0.3</v>
      </c>
      <c r="AI16" s="118">
        <v>0.3</v>
      </c>
      <c r="AJ16" s="118">
        <v>0.3</v>
      </c>
      <c r="AK16" s="118">
        <v>0.3</v>
      </c>
      <c r="AL16" s="118">
        <v>0</v>
      </c>
      <c r="AM16" s="118">
        <v>1</v>
      </c>
      <c r="AN16" s="118">
        <v>0.5</v>
      </c>
      <c r="AO16" s="118">
        <v>0.5</v>
      </c>
      <c r="AP16" s="119">
        <v>0.5</v>
      </c>
    </row>
    <row r="17" spans="2:42" ht="13.15" x14ac:dyDescent="0.4">
      <c r="B17" s="69" t="s">
        <v>81</v>
      </c>
      <c r="C17" s="91" t="s">
        <v>82</v>
      </c>
      <c r="D17" s="189">
        <v>56.924999999999997</v>
      </c>
      <c r="E17" s="189">
        <v>1751.73</v>
      </c>
      <c r="F17" s="189"/>
      <c r="G17" s="189">
        <v>737.68799999999999</v>
      </c>
      <c r="H17" s="189">
        <v>3.3540000000000001</v>
      </c>
      <c r="I17" s="189">
        <v>63.204000000000001</v>
      </c>
      <c r="J17" s="189">
        <v>11.44</v>
      </c>
      <c r="K17" s="189">
        <v>0</v>
      </c>
      <c r="L17" s="189">
        <v>38.64</v>
      </c>
      <c r="M17" s="189">
        <v>0.48399999999999999</v>
      </c>
      <c r="N17" s="190">
        <v>0</v>
      </c>
      <c r="O17" s="189">
        <v>67.406000000000006</v>
      </c>
      <c r="P17" s="189">
        <v>1.2170000000000001</v>
      </c>
      <c r="Q17" s="189">
        <v>254.64599999999999</v>
      </c>
      <c r="R17" s="189">
        <v>2527.3910000000001</v>
      </c>
      <c r="S17" s="191">
        <f t="shared" ref="S17:S23" si="2">SUM(D17:R17)</f>
        <v>5514.125</v>
      </c>
      <c r="Z17" s="69" t="s">
        <v>81</v>
      </c>
      <c r="AA17" s="94" t="s">
        <v>82</v>
      </c>
      <c r="AB17" s="120">
        <v>1</v>
      </c>
      <c r="AC17" s="121">
        <v>0</v>
      </c>
      <c r="AD17" s="121">
        <v>0.3</v>
      </c>
      <c r="AE17" s="121">
        <v>0.3</v>
      </c>
      <c r="AF17" s="121">
        <v>0.3</v>
      </c>
      <c r="AG17" s="121">
        <v>0.3</v>
      </c>
      <c r="AH17" s="121">
        <v>0.3</v>
      </c>
      <c r="AI17" s="121">
        <v>0.3</v>
      </c>
      <c r="AJ17" s="121">
        <v>0.3</v>
      </c>
      <c r="AK17" s="121">
        <v>0.3</v>
      </c>
      <c r="AL17" s="121">
        <v>0</v>
      </c>
      <c r="AM17" s="121">
        <v>1</v>
      </c>
      <c r="AN17" s="121">
        <v>0.5</v>
      </c>
      <c r="AO17" s="121">
        <v>0.5</v>
      </c>
      <c r="AP17" s="122">
        <v>0.5</v>
      </c>
    </row>
    <row r="18" spans="2:42" ht="13.15" x14ac:dyDescent="0.4">
      <c r="B18" s="69" t="s">
        <v>83</v>
      </c>
      <c r="C18" s="91" t="s">
        <v>84</v>
      </c>
      <c r="D18" s="189">
        <v>1896.9860000000001</v>
      </c>
      <c r="E18" s="189">
        <v>4437.1610000000001</v>
      </c>
      <c r="F18" s="189"/>
      <c r="G18" s="189">
        <v>597.36</v>
      </c>
      <c r="H18" s="189">
        <v>72.712999999999994</v>
      </c>
      <c r="I18" s="189">
        <v>285.94299999999998</v>
      </c>
      <c r="J18" s="189">
        <v>15.532</v>
      </c>
      <c r="K18" s="189">
        <v>88.132000000000005</v>
      </c>
      <c r="L18" s="189">
        <v>572.101</v>
      </c>
      <c r="M18" s="189">
        <v>383.14600000000002</v>
      </c>
      <c r="N18" s="190">
        <v>0</v>
      </c>
      <c r="O18" s="189">
        <v>721.67100000000005</v>
      </c>
      <c r="P18" s="189">
        <v>117.19199999999999</v>
      </c>
      <c r="Q18" s="189">
        <v>633.58299999999997</v>
      </c>
      <c r="R18" s="189">
        <v>4088.444</v>
      </c>
      <c r="S18" s="191">
        <f t="shared" si="2"/>
        <v>13909.963999999998</v>
      </c>
      <c r="Z18" s="69" t="s">
        <v>83</v>
      </c>
      <c r="AA18" s="94" t="s">
        <v>84</v>
      </c>
      <c r="AB18" s="120">
        <v>1</v>
      </c>
      <c r="AC18" s="121">
        <v>0</v>
      </c>
      <c r="AD18" s="121">
        <v>0.3</v>
      </c>
      <c r="AE18" s="121">
        <v>0.3</v>
      </c>
      <c r="AF18" s="121">
        <v>0.3</v>
      </c>
      <c r="AG18" s="121">
        <v>0.3</v>
      </c>
      <c r="AH18" s="121">
        <v>0.3</v>
      </c>
      <c r="AI18" s="121">
        <v>0.3</v>
      </c>
      <c r="AJ18" s="121">
        <v>0.3</v>
      </c>
      <c r="AK18" s="121">
        <v>0.3</v>
      </c>
      <c r="AL18" s="121">
        <v>0</v>
      </c>
      <c r="AM18" s="121">
        <v>1</v>
      </c>
      <c r="AN18" s="121">
        <v>0.5</v>
      </c>
      <c r="AO18" s="121">
        <v>0.5</v>
      </c>
      <c r="AP18" s="122">
        <v>0.5</v>
      </c>
    </row>
    <row r="19" spans="2:42" ht="13.15" x14ac:dyDescent="0.4">
      <c r="B19" s="69" t="s">
        <v>85</v>
      </c>
      <c r="C19" s="91" t="s">
        <v>86</v>
      </c>
      <c r="D19" s="189">
        <v>44.1</v>
      </c>
      <c r="E19" s="189">
        <v>201.20599999999999</v>
      </c>
      <c r="F19" s="189"/>
      <c r="G19" s="189">
        <v>733.17600000000004</v>
      </c>
      <c r="H19" s="189">
        <v>0.94599999999999995</v>
      </c>
      <c r="I19" s="189">
        <v>32.338000000000001</v>
      </c>
      <c r="J19" s="189">
        <v>3.4319999999999999</v>
      </c>
      <c r="K19" s="189">
        <v>0</v>
      </c>
      <c r="L19" s="189">
        <v>27.48</v>
      </c>
      <c r="M19" s="189">
        <v>0</v>
      </c>
      <c r="N19" s="190">
        <v>0</v>
      </c>
      <c r="O19" s="189">
        <v>63.085999999999999</v>
      </c>
      <c r="P19" s="189">
        <v>1E-3</v>
      </c>
      <c r="Q19" s="189">
        <v>15.574</v>
      </c>
      <c r="R19" s="189">
        <v>19.386000000000003</v>
      </c>
      <c r="S19" s="191">
        <f t="shared" si="2"/>
        <v>1140.7249999999999</v>
      </c>
      <c r="Z19" s="69" t="s">
        <v>85</v>
      </c>
      <c r="AA19" s="94" t="s">
        <v>86</v>
      </c>
      <c r="AB19" s="120">
        <v>1</v>
      </c>
      <c r="AC19" s="121">
        <v>0</v>
      </c>
      <c r="AD19" s="121">
        <v>0.3</v>
      </c>
      <c r="AE19" s="121">
        <v>0.3</v>
      </c>
      <c r="AF19" s="121">
        <v>0.3</v>
      </c>
      <c r="AG19" s="121">
        <v>0.3</v>
      </c>
      <c r="AH19" s="121">
        <v>0.3</v>
      </c>
      <c r="AI19" s="121">
        <v>0.3</v>
      </c>
      <c r="AJ19" s="121">
        <v>0.3</v>
      </c>
      <c r="AK19" s="121">
        <v>0.3</v>
      </c>
      <c r="AL19" s="121">
        <v>0</v>
      </c>
      <c r="AM19" s="121">
        <v>1</v>
      </c>
      <c r="AN19" s="121">
        <v>0.5</v>
      </c>
      <c r="AO19" s="121">
        <v>0.5</v>
      </c>
      <c r="AP19" s="122">
        <v>0.5</v>
      </c>
    </row>
    <row r="20" spans="2:42" ht="14.25" x14ac:dyDescent="0.45">
      <c r="B20" s="69" t="s">
        <v>87</v>
      </c>
      <c r="C20" s="91" t="s">
        <v>88</v>
      </c>
      <c r="D20" s="189">
        <v>0.55600000000000005</v>
      </c>
      <c r="E20" s="189">
        <v>21.248999999999999</v>
      </c>
      <c r="F20" s="189"/>
      <c r="G20" s="75">
        <v>7712.5709999999999</v>
      </c>
      <c r="H20" s="75">
        <v>2095.3040000000001</v>
      </c>
      <c r="I20" s="75">
        <v>188.46199999999999</v>
      </c>
      <c r="J20" s="75">
        <v>4788.4319999999998</v>
      </c>
      <c r="K20" s="75">
        <v>0</v>
      </c>
      <c r="L20" s="75">
        <v>66.48</v>
      </c>
      <c r="M20" s="75">
        <v>0</v>
      </c>
      <c r="N20" s="190">
        <v>0</v>
      </c>
      <c r="O20" s="189">
        <v>130.685</v>
      </c>
      <c r="P20" s="189">
        <v>0</v>
      </c>
      <c r="Q20" s="189">
        <v>0</v>
      </c>
      <c r="R20" s="189">
        <v>265.97199999999998</v>
      </c>
      <c r="S20" s="191">
        <f t="shared" si="2"/>
        <v>15269.710999999999</v>
      </c>
      <c r="Z20" s="69" t="s">
        <v>87</v>
      </c>
      <c r="AA20" s="94" t="s">
        <v>88</v>
      </c>
      <c r="AB20" s="120">
        <v>1</v>
      </c>
      <c r="AC20" s="121">
        <v>0</v>
      </c>
      <c r="AD20" s="108">
        <v>0.3</v>
      </c>
      <c r="AE20" s="108">
        <v>0.3</v>
      </c>
      <c r="AF20" s="108">
        <v>0.3</v>
      </c>
      <c r="AG20" s="108">
        <v>0.3</v>
      </c>
      <c r="AH20" s="108">
        <v>0.3</v>
      </c>
      <c r="AI20" s="108">
        <v>0.3</v>
      </c>
      <c r="AJ20" s="108">
        <v>0.3</v>
      </c>
      <c r="AK20" s="108">
        <v>0.3</v>
      </c>
      <c r="AL20" s="121">
        <v>0</v>
      </c>
      <c r="AM20" s="121">
        <v>1</v>
      </c>
      <c r="AN20" s="121">
        <v>0.5</v>
      </c>
      <c r="AO20" s="121">
        <v>0.5</v>
      </c>
      <c r="AP20" s="122">
        <v>0.5</v>
      </c>
    </row>
    <row r="21" spans="2:42" ht="13.15" x14ac:dyDescent="0.4">
      <c r="B21" s="69" t="s">
        <v>89</v>
      </c>
      <c r="C21" s="92" t="s">
        <v>90</v>
      </c>
      <c r="D21" s="74">
        <f>IF((SUM(D16:D20,D22:D23)-SUM(D10:D12))&gt;D8,0,(D8-SUM(D16:D20,D22:D23)+SUM(D10:D12)))</f>
        <v>1189.2309999999979</v>
      </c>
      <c r="E21" s="74">
        <f>IF((SUM(E16:E20,E22:E23)-SUM(E10:E12))&gt;E8,0,(E8-SUM(E16:E20,E22:E23)+SUM(E10:E12)))</f>
        <v>0</v>
      </c>
      <c r="F21" s="74"/>
      <c r="G21" s="74">
        <f t="shared" ref="G21:P21" si="3">IF((SUM(G16:G20,G22:G23)-SUM(G10:G12))&gt;G8,0,(G8-SUM(G16:G20,G22:G23)+SUM(G10:G12)))</f>
        <v>0</v>
      </c>
      <c r="H21" s="74">
        <f t="shared" si="3"/>
        <v>0</v>
      </c>
      <c r="I21" s="74">
        <f t="shared" si="3"/>
        <v>0</v>
      </c>
      <c r="J21" s="74">
        <f t="shared" si="3"/>
        <v>0</v>
      </c>
      <c r="K21" s="74">
        <f t="shared" si="3"/>
        <v>0</v>
      </c>
      <c r="L21" s="74">
        <f t="shared" si="3"/>
        <v>0</v>
      </c>
      <c r="M21" s="74">
        <f t="shared" si="3"/>
        <v>0</v>
      </c>
      <c r="N21" s="74">
        <f t="shared" si="3"/>
        <v>0</v>
      </c>
      <c r="O21" s="74">
        <f>IF((SUM(O16:O20,O22:O23)-SUM(O10:O12))&gt;O8,0,(O8-SUM(O16:O20,O22:O23)+SUM(O10:O12)))</f>
        <v>1390.2580000000007</v>
      </c>
      <c r="P21" s="74">
        <f t="shared" si="3"/>
        <v>0</v>
      </c>
      <c r="Q21" s="74">
        <f>IF((SUM(Q16:Q20,Q22:Q23)-SUM(Q10:Q12))&gt;Q8,0,(Q8-SUM(Q16:Q20,Q22:Q23)+SUM(Q10:Q12)))</f>
        <v>627.03800000000001</v>
      </c>
      <c r="R21" s="74">
        <v>650</v>
      </c>
      <c r="S21" s="192">
        <f t="shared" si="2"/>
        <v>3856.5269999999987</v>
      </c>
      <c r="Z21" s="69" t="s">
        <v>89</v>
      </c>
      <c r="AA21" s="98" t="s">
        <v>90</v>
      </c>
      <c r="AB21" s="114">
        <v>1</v>
      </c>
      <c r="AC21" s="115">
        <v>0</v>
      </c>
      <c r="AD21" s="115">
        <v>0.3</v>
      </c>
      <c r="AE21" s="115">
        <v>0.3</v>
      </c>
      <c r="AF21" s="115">
        <v>0.3</v>
      </c>
      <c r="AG21" s="115">
        <v>0.3</v>
      </c>
      <c r="AH21" s="115">
        <v>0.3</v>
      </c>
      <c r="AI21" s="115">
        <v>0.3</v>
      </c>
      <c r="AJ21" s="115">
        <v>0.3</v>
      </c>
      <c r="AK21" s="115">
        <v>0.3</v>
      </c>
      <c r="AL21" s="115">
        <v>0</v>
      </c>
      <c r="AM21" s="115">
        <v>1</v>
      </c>
      <c r="AN21" s="115">
        <v>0.5</v>
      </c>
      <c r="AO21" s="115">
        <v>0.5</v>
      </c>
      <c r="AP21" s="123">
        <v>0.5</v>
      </c>
    </row>
    <row r="22" spans="2:42" ht="13.15" x14ac:dyDescent="0.4">
      <c r="B22" s="69" t="s">
        <v>108</v>
      </c>
      <c r="C22" s="91" t="s">
        <v>91</v>
      </c>
      <c r="D22" s="189">
        <v>52.453000000000003</v>
      </c>
      <c r="E22" s="189">
        <v>633.82299999999998</v>
      </c>
      <c r="F22" s="189"/>
      <c r="G22" s="189">
        <v>152.93</v>
      </c>
      <c r="H22" s="189">
        <v>9.5890000000000004</v>
      </c>
      <c r="I22" s="189">
        <v>399.74700000000001</v>
      </c>
      <c r="J22" s="189">
        <v>6.2919999999999998</v>
      </c>
      <c r="K22" s="189">
        <v>1798.412</v>
      </c>
      <c r="L22" s="189">
        <v>104.08</v>
      </c>
      <c r="M22" s="189">
        <v>1601.4580000000001</v>
      </c>
      <c r="N22" s="190"/>
      <c r="O22" s="189">
        <v>0</v>
      </c>
      <c r="P22" s="189">
        <v>0</v>
      </c>
      <c r="Q22" s="189">
        <v>0</v>
      </c>
      <c r="R22" s="189">
        <v>0</v>
      </c>
      <c r="S22" s="191">
        <f t="shared" si="2"/>
        <v>4758.7839999999997</v>
      </c>
      <c r="Z22" s="69" t="s">
        <v>108</v>
      </c>
      <c r="AA22" s="94" t="s">
        <v>91</v>
      </c>
      <c r="AB22" s="120">
        <v>1</v>
      </c>
      <c r="AC22" s="121">
        <v>0</v>
      </c>
      <c r="AD22" s="121">
        <v>0.3</v>
      </c>
      <c r="AE22" s="121">
        <v>0.3</v>
      </c>
      <c r="AF22" s="121">
        <v>0.3</v>
      </c>
      <c r="AG22" s="121">
        <v>0.3</v>
      </c>
      <c r="AH22" s="121">
        <v>0.3</v>
      </c>
      <c r="AI22" s="121">
        <v>0.3</v>
      </c>
      <c r="AJ22" s="121">
        <v>0.3</v>
      </c>
      <c r="AK22" s="121">
        <v>0.3</v>
      </c>
      <c r="AL22" s="121">
        <v>0</v>
      </c>
      <c r="AM22" s="121">
        <v>1</v>
      </c>
      <c r="AN22" s="121">
        <v>0.5</v>
      </c>
      <c r="AO22" s="121">
        <v>0.5</v>
      </c>
      <c r="AP22" s="122">
        <v>0.5</v>
      </c>
    </row>
    <row r="23" spans="2:42" ht="13.15" x14ac:dyDescent="0.4">
      <c r="B23" s="69" t="s">
        <v>109</v>
      </c>
      <c r="C23" s="91" t="s">
        <v>92</v>
      </c>
      <c r="D23" s="189">
        <v>0</v>
      </c>
      <c r="E23" s="189">
        <v>0</v>
      </c>
      <c r="F23" s="189"/>
      <c r="G23" s="189">
        <v>293.81200000000001</v>
      </c>
      <c r="H23" s="189">
        <v>0</v>
      </c>
      <c r="I23" s="189">
        <v>0</v>
      </c>
      <c r="J23" s="189">
        <v>0</v>
      </c>
      <c r="K23" s="189">
        <v>0</v>
      </c>
      <c r="L23" s="189">
        <v>1804.28</v>
      </c>
      <c r="M23" s="189">
        <v>13</v>
      </c>
      <c r="N23" s="190"/>
      <c r="O23" s="189">
        <v>0</v>
      </c>
      <c r="P23" s="189">
        <v>0</v>
      </c>
      <c r="Q23" s="189">
        <v>0</v>
      </c>
      <c r="R23" s="189">
        <v>0</v>
      </c>
      <c r="S23" s="191">
        <f t="shared" si="2"/>
        <v>2111.0920000000001</v>
      </c>
      <c r="Z23" s="69" t="s">
        <v>109</v>
      </c>
      <c r="AA23" s="94" t="s">
        <v>92</v>
      </c>
      <c r="AB23" s="120">
        <v>1</v>
      </c>
      <c r="AC23" s="121">
        <v>0</v>
      </c>
      <c r="AD23" s="121">
        <v>0.3</v>
      </c>
      <c r="AE23" s="121">
        <v>0.3</v>
      </c>
      <c r="AF23" s="121">
        <v>0.3</v>
      </c>
      <c r="AG23" s="121">
        <v>0.3</v>
      </c>
      <c r="AH23" s="121">
        <v>0.3</v>
      </c>
      <c r="AI23" s="121">
        <v>0.3</v>
      </c>
      <c r="AJ23" s="121">
        <v>0.3</v>
      </c>
      <c r="AK23" s="121">
        <v>0.3</v>
      </c>
      <c r="AL23" s="121">
        <v>0</v>
      </c>
      <c r="AM23" s="121">
        <v>1</v>
      </c>
      <c r="AN23" s="121">
        <v>0.5</v>
      </c>
      <c r="AO23" s="121">
        <v>0.5</v>
      </c>
      <c r="AP23" s="122">
        <v>0.5</v>
      </c>
    </row>
    <row r="24" spans="2:42" ht="14.25" x14ac:dyDescent="0.45">
      <c r="B24" s="177" t="s">
        <v>111</v>
      </c>
      <c r="C24" s="83" t="s">
        <v>218</v>
      </c>
      <c r="D24" s="81">
        <f t="shared" ref="D24:S24" si="4">SUM(D16:D23)</f>
        <v>3596.8059999999982</v>
      </c>
      <c r="E24" s="80">
        <f t="shared" si="4"/>
        <v>12204.962</v>
      </c>
      <c r="F24" s="80"/>
      <c r="G24" s="80">
        <f t="shared" si="4"/>
        <v>11951.643</v>
      </c>
      <c r="H24" s="80">
        <f t="shared" si="4"/>
        <v>2327.8049999999998</v>
      </c>
      <c r="I24" s="80">
        <f t="shared" si="4"/>
        <v>1350.046</v>
      </c>
      <c r="J24" s="80">
        <f t="shared" si="4"/>
        <v>4831.4639999999999</v>
      </c>
      <c r="K24" s="80">
        <f t="shared" si="4"/>
        <v>1886.5440000000001</v>
      </c>
      <c r="L24" s="80">
        <f t="shared" si="4"/>
        <v>2643.8209999999999</v>
      </c>
      <c r="M24" s="80">
        <f t="shared" si="4"/>
        <v>1999.9280000000001</v>
      </c>
      <c r="N24" s="80">
        <f t="shared" si="4"/>
        <v>0</v>
      </c>
      <c r="O24" s="80">
        <f t="shared" si="4"/>
        <v>3667.0330000000004</v>
      </c>
      <c r="P24" s="80">
        <f t="shared" si="4"/>
        <v>118.41</v>
      </c>
      <c r="Q24" s="80">
        <f t="shared" si="4"/>
        <v>2396.326</v>
      </c>
      <c r="R24" s="81">
        <f>SUM(R16:R23)</f>
        <v>10422.934999999999</v>
      </c>
      <c r="S24" s="82">
        <f t="shared" si="4"/>
        <v>59397.722999999991</v>
      </c>
      <c r="Z24" s="69" t="s">
        <v>111</v>
      </c>
      <c r="AA24" s="109"/>
      <c r="AB24" s="124">
        <v>1</v>
      </c>
      <c r="AC24" s="110"/>
      <c r="AD24" s="110"/>
      <c r="AE24" s="110"/>
      <c r="AF24" s="110"/>
      <c r="AG24" s="110"/>
      <c r="AH24" s="110"/>
      <c r="AI24" s="110"/>
      <c r="AJ24" s="110"/>
      <c r="AK24" s="110"/>
      <c r="AL24" s="110"/>
      <c r="AM24" s="110"/>
      <c r="AN24" s="110"/>
      <c r="AO24" s="110"/>
      <c r="AP24" s="113">
        <v>0.5</v>
      </c>
    </row>
    <row r="25" spans="2:42" x14ac:dyDescent="0.35">
      <c r="D25" s="8"/>
      <c r="F25" s="8"/>
      <c r="G25" s="8"/>
      <c r="H25" s="8"/>
      <c r="I25" s="8"/>
      <c r="J25" s="8"/>
      <c r="K25" s="8"/>
      <c r="L25" s="8"/>
      <c r="M25" s="8"/>
    </row>
    <row r="26" spans="2:42" x14ac:dyDescent="0.35">
      <c r="D26" s="8"/>
      <c r="F26" s="8"/>
      <c r="G26" s="8"/>
      <c r="H26" s="8"/>
      <c r="I26" s="8"/>
      <c r="J26" s="8"/>
      <c r="K26" s="8"/>
      <c r="L26" s="8"/>
      <c r="M26" s="8"/>
    </row>
    <row r="27" spans="2:42" ht="14.25" x14ac:dyDescent="0.45">
      <c r="C27" s="75" t="s">
        <v>208</v>
      </c>
      <c r="D27" s="75"/>
      <c r="E27" s="75"/>
      <c r="F27" s="8"/>
      <c r="G27" s="8"/>
      <c r="H27" s="8"/>
      <c r="I27" s="8"/>
      <c r="J27" s="8"/>
      <c r="K27" s="8"/>
      <c r="L27" s="8"/>
      <c r="M27" s="8"/>
    </row>
    <row r="28" spans="2:42" x14ac:dyDescent="0.35">
      <c r="D28" s="8"/>
      <c r="F28" s="8"/>
      <c r="G28" s="8"/>
      <c r="H28" s="8"/>
      <c r="I28" s="8"/>
      <c r="J28" s="8"/>
      <c r="K28" s="8"/>
      <c r="L28" s="8"/>
      <c r="M28" s="8"/>
    </row>
    <row r="29" spans="2:42" x14ac:dyDescent="0.35">
      <c r="D29" s="8"/>
      <c r="F29" s="8"/>
      <c r="G29" s="8"/>
      <c r="H29" s="8"/>
      <c r="I29" s="8"/>
      <c r="J29" s="8"/>
      <c r="K29" s="8"/>
      <c r="L29" s="8"/>
      <c r="M29" s="8"/>
    </row>
    <row r="30" spans="2:42" x14ac:dyDescent="0.35">
      <c r="D30" s="8"/>
      <c r="F30" s="8"/>
      <c r="G30" s="8"/>
      <c r="H30" s="8"/>
      <c r="I30" s="8"/>
      <c r="J30" s="8"/>
      <c r="K30" s="8"/>
      <c r="L30" s="8"/>
      <c r="M30" s="8"/>
    </row>
    <row r="31" spans="2:42" x14ac:dyDescent="0.35">
      <c r="D31" s="8"/>
      <c r="F31" s="8"/>
      <c r="G31" s="8"/>
      <c r="H31" s="8"/>
      <c r="I31" s="8"/>
      <c r="J31" s="8"/>
      <c r="K31" s="8"/>
      <c r="L31" s="8"/>
      <c r="M31" s="8"/>
    </row>
    <row r="32" spans="2:42" x14ac:dyDescent="0.35">
      <c r="D32" s="8"/>
      <c r="F32" s="8"/>
      <c r="G32" s="8"/>
      <c r="H32" s="8"/>
      <c r="I32" s="8"/>
      <c r="J32" s="8"/>
      <c r="K32" s="8"/>
      <c r="L32" s="8"/>
      <c r="M32" s="8"/>
    </row>
    <row r="33" spans="2:21" x14ac:dyDescent="0.35">
      <c r="D33" s="8"/>
      <c r="F33" s="8"/>
      <c r="G33" s="8"/>
      <c r="H33" s="8"/>
      <c r="I33" s="8"/>
      <c r="J33" s="8"/>
      <c r="K33" s="8"/>
      <c r="L33" s="8"/>
      <c r="M33" s="8"/>
    </row>
    <row r="34" spans="2:21" x14ac:dyDescent="0.35">
      <c r="D34" s="8"/>
      <c r="F34" s="8"/>
      <c r="G34" s="8"/>
      <c r="H34" s="8"/>
      <c r="I34" s="8"/>
      <c r="J34" s="8"/>
      <c r="K34" s="8"/>
      <c r="L34" s="8"/>
      <c r="M34" s="8"/>
    </row>
    <row r="35" spans="2:21" x14ac:dyDescent="0.35">
      <c r="D35" s="8"/>
      <c r="F35" s="8"/>
      <c r="G35" s="8"/>
      <c r="H35" s="8"/>
      <c r="I35" s="8"/>
      <c r="J35" s="8"/>
      <c r="K35" s="8"/>
      <c r="L35" s="8"/>
      <c r="M35" s="8"/>
    </row>
    <row r="36" spans="2:21" x14ac:dyDescent="0.35">
      <c r="D36" s="23" t="s">
        <v>47</v>
      </c>
      <c r="E36" s="23" t="s">
        <v>48</v>
      </c>
      <c r="F36" s="23" t="s">
        <v>49</v>
      </c>
      <c r="G36" s="1"/>
      <c r="H36" s="1"/>
      <c r="I36" s="1"/>
      <c r="J36" s="1"/>
      <c r="K36" s="1"/>
      <c r="L36" s="1"/>
      <c r="M36" s="1"/>
    </row>
    <row r="37" spans="2:21" x14ac:dyDescent="0.35">
      <c r="C37" s="24" t="s">
        <v>148</v>
      </c>
      <c r="D37" s="25">
        <v>0.75</v>
      </c>
      <c r="E37" s="25">
        <v>0.5</v>
      </c>
      <c r="F37" s="25">
        <v>0.8</v>
      </c>
      <c r="G37" s="28"/>
      <c r="H37" s="28"/>
      <c r="I37" s="28"/>
      <c r="J37" s="28"/>
      <c r="K37" s="28"/>
      <c r="L37" s="28"/>
      <c r="M37" s="28"/>
    </row>
    <row r="38" spans="2:21" x14ac:dyDescent="0.35">
      <c r="C38" s="26" t="s">
        <v>149</v>
      </c>
      <c r="D38" s="27">
        <v>0.25</v>
      </c>
      <c r="E38" s="27">
        <v>0.5</v>
      </c>
      <c r="F38" s="27">
        <v>0.2</v>
      </c>
      <c r="G38" s="28"/>
      <c r="H38" s="28"/>
      <c r="I38" s="28"/>
      <c r="J38" s="28"/>
      <c r="K38" s="28"/>
      <c r="L38" s="28"/>
      <c r="M38" s="28"/>
    </row>
    <row r="39" spans="2:21" x14ac:dyDescent="0.35">
      <c r="C39" s="1"/>
      <c r="D39" s="28"/>
    </row>
    <row r="40" spans="2:21" x14ac:dyDescent="0.35">
      <c r="C40" s="1"/>
      <c r="D40" s="28"/>
    </row>
    <row r="41" spans="2:21" ht="39.4" x14ac:dyDescent="0.4">
      <c r="B41" s="31" t="s">
        <v>125</v>
      </c>
      <c r="C41" s="101" t="s">
        <v>150</v>
      </c>
      <c r="D41" s="68" t="s">
        <v>55</v>
      </c>
      <c r="E41" s="68" t="s">
        <v>56</v>
      </c>
      <c r="F41" s="68" t="s">
        <v>180</v>
      </c>
      <c r="G41" s="68" t="s">
        <v>196</v>
      </c>
      <c r="H41" s="68" t="s">
        <v>190</v>
      </c>
      <c r="I41" s="68" t="s">
        <v>183</v>
      </c>
      <c r="J41" s="68" t="s">
        <v>191</v>
      </c>
      <c r="K41" s="68" t="s">
        <v>192</v>
      </c>
      <c r="L41" s="68" t="s">
        <v>188</v>
      </c>
      <c r="M41" s="68" t="s">
        <v>189</v>
      </c>
      <c r="N41" s="68" t="s">
        <v>57</v>
      </c>
      <c r="O41" s="68" t="s">
        <v>58</v>
      </c>
      <c r="P41" s="68" t="s">
        <v>59</v>
      </c>
      <c r="Q41" s="68" t="s">
        <v>60</v>
      </c>
      <c r="R41" s="68" t="s">
        <v>110</v>
      </c>
      <c r="S41" s="32"/>
    </row>
    <row r="42" spans="2:21" ht="13.15" x14ac:dyDescent="0.4">
      <c r="B42" s="69" t="s">
        <v>79</v>
      </c>
      <c r="C42" s="90" t="s">
        <v>126</v>
      </c>
      <c r="D42" s="93"/>
      <c r="E42" s="95"/>
      <c r="F42" s="95"/>
      <c r="G42" s="95"/>
      <c r="H42" s="95"/>
      <c r="I42" s="95"/>
      <c r="J42" s="95"/>
      <c r="K42" s="95"/>
      <c r="L42" s="95"/>
      <c r="M42" s="95"/>
      <c r="N42" s="95"/>
      <c r="O42" s="95"/>
      <c r="P42" s="95"/>
      <c r="Q42" s="95"/>
      <c r="R42" s="96"/>
      <c r="U42" s="90" t="s">
        <v>129</v>
      </c>
    </row>
    <row r="43" spans="2:21" ht="13.15" x14ac:dyDescent="0.4">
      <c r="B43" s="69" t="s">
        <v>79</v>
      </c>
      <c r="C43" s="91" t="s">
        <v>127</v>
      </c>
      <c r="D43" s="94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97"/>
      <c r="U43" s="91" t="s">
        <v>130</v>
      </c>
    </row>
    <row r="44" spans="2:21" ht="14.25" x14ac:dyDescent="0.45">
      <c r="B44" s="69" t="s">
        <v>79</v>
      </c>
      <c r="C44" s="91" t="s">
        <v>128</v>
      </c>
      <c r="D44" s="94"/>
      <c r="E44" s="75">
        <v>1</v>
      </c>
      <c r="F44" s="70"/>
      <c r="G44" s="70"/>
      <c r="H44" s="70"/>
      <c r="I44" s="70"/>
      <c r="J44" s="70"/>
      <c r="K44" s="70"/>
      <c r="L44" s="70"/>
      <c r="M44" s="70"/>
      <c r="N44" s="70"/>
      <c r="O44" s="70"/>
      <c r="P44" s="70"/>
      <c r="Q44" s="70"/>
      <c r="R44" s="97"/>
      <c r="U44" s="91" t="s">
        <v>90</v>
      </c>
    </row>
    <row r="45" spans="2:21" ht="13.15" x14ac:dyDescent="0.4">
      <c r="B45" s="69"/>
      <c r="C45" s="91"/>
      <c r="D45" s="94"/>
      <c r="E45" s="70"/>
      <c r="F45" s="70"/>
      <c r="G45" s="70"/>
      <c r="H45" s="70"/>
      <c r="I45" s="70"/>
      <c r="J45" s="70"/>
      <c r="K45" s="70"/>
      <c r="L45" s="70"/>
      <c r="M45" s="70"/>
      <c r="N45" s="70"/>
      <c r="O45" s="70"/>
      <c r="P45" s="70"/>
      <c r="Q45" s="70"/>
      <c r="R45" s="97"/>
      <c r="U45" s="91"/>
    </row>
    <row r="46" spans="2:21" ht="13.15" x14ac:dyDescent="0.4">
      <c r="B46" s="69" t="s">
        <v>81</v>
      </c>
      <c r="C46" s="91" t="s">
        <v>131</v>
      </c>
      <c r="D46" s="94"/>
      <c r="E46" s="70"/>
      <c r="F46" s="70"/>
      <c r="G46" s="70"/>
      <c r="H46" s="70"/>
      <c r="I46" s="70"/>
      <c r="J46" s="70"/>
      <c r="K46" s="70"/>
      <c r="L46" s="70"/>
      <c r="M46" s="70"/>
      <c r="N46" s="70"/>
      <c r="O46" s="70"/>
      <c r="P46" s="70"/>
      <c r="Q46" s="70"/>
      <c r="R46" s="97"/>
      <c r="U46" s="91" t="s">
        <v>133</v>
      </c>
    </row>
    <row r="47" spans="2:21" ht="13.15" x14ac:dyDescent="0.4">
      <c r="B47" s="69" t="s">
        <v>81</v>
      </c>
      <c r="C47" s="91" t="s">
        <v>132</v>
      </c>
      <c r="D47" s="94"/>
      <c r="E47" s="70"/>
      <c r="F47" s="70"/>
      <c r="G47" s="70"/>
      <c r="H47" s="70"/>
      <c r="I47" s="70"/>
      <c r="J47" s="70"/>
      <c r="K47" s="70"/>
      <c r="L47" s="70"/>
      <c r="M47" s="70"/>
      <c r="N47" s="70"/>
      <c r="O47" s="70"/>
      <c r="P47" s="70"/>
      <c r="Q47" s="70"/>
      <c r="R47" s="97"/>
      <c r="U47" s="91" t="s">
        <v>134</v>
      </c>
    </row>
    <row r="48" spans="2:21" ht="13.15" x14ac:dyDescent="0.4">
      <c r="B48" s="69"/>
      <c r="C48" s="91"/>
      <c r="D48" s="94"/>
      <c r="E48" s="70"/>
      <c r="F48" s="70"/>
      <c r="G48" s="70"/>
      <c r="H48" s="70"/>
      <c r="I48" s="70"/>
      <c r="J48" s="70"/>
      <c r="K48" s="70"/>
      <c r="L48" s="70"/>
      <c r="M48" s="70"/>
      <c r="N48" s="70"/>
      <c r="O48" s="70"/>
      <c r="P48" s="70"/>
      <c r="Q48" s="70"/>
      <c r="R48" s="97"/>
      <c r="U48" s="91"/>
    </row>
    <row r="49" spans="2:21" ht="14.25" x14ac:dyDescent="0.45">
      <c r="B49" s="69" t="s">
        <v>87</v>
      </c>
      <c r="C49" s="92" t="s">
        <v>198</v>
      </c>
      <c r="D49" s="98"/>
      <c r="E49" s="73"/>
      <c r="F49" s="73"/>
      <c r="G49" s="76">
        <v>1</v>
      </c>
      <c r="H49" s="76"/>
      <c r="I49" s="76"/>
      <c r="J49" s="76"/>
      <c r="K49" s="76"/>
      <c r="L49" s="76"/>
      <c r="M49" s="76"/>
      <c r="N49" s="73"/>
      <c r="O49" s="73"/>
      <c r="P49" s="73"/>
      <c r="Q49" s="73"/>
      <c r="R49" s="99"/>
      <c r="U49" s="92" t="s">
        <v>199</v>
      </c>
    </row>
    <row r="52" spans="2:21" ht="13.15" x14ac:dyDescent="0.4">
      <c r="C52" s="105" t="s">
        <v>138</v>
      </c>
      <c r="D52" s="107" t="s">
        <v>139</v>
      </c>
      <c r="E52" s="106" t="s">
        <v>140</v>
      </c>
    </row>
    <row r="53" spans="2:21" ht="13.15" x14ac:dyDescent="0.4">
      <c r="B53" s="22" t="s">
        <v>151</v>
      </c>
      <c r="C53" s="100" t="s">
        <v>141</v>
      </c>
      <c r="D53" s="100" t="s">
        <v>142</v>
      </c>
      <c r="E53" s="103" t="s">
        <v>140</v>
      </c>
    </row>
    <row r="54" spans="2:21" ht="13.15" x14ac:dyDescent="0.4">
      <c r="B54" s="69" t="s">
        <v>79</v>
      </c>
      <c r="C54" s="102">
        <v>1</v>
      </c>
      <c r="D54" s="102"/>
      <c r="E54" s="102"/>
    </row>
    <row r="55" spans="2:21" ht="13.15" x14ac:dyDescent="0.4">
      <c r="B55" s="69" t="s">
        <v>87</v>
      </c>
      <c r="C55" s="102">
        <v>1</v>
      </c>
      <c r="D55" s="102"/>
      <c r="E55" s="102"/>
    </row>
    <row r="56" spans="2:21" ht="13.15" x14ac:dyDescent="0.4">
      <c r="B56" s="69" t="s">
        <v>89</v>
      </c>
      <c r="C56" s="102">
        <v>1</v>
      </c>
      <c r="D56" s="102"/>
      <c r="E56" s="102"/>
    </row>
    <row r="57" spans="2:21" ht="13.15" x14ac:dyDescent="0.4">
      <c r="B57" s="69" t="s">
        <v>54</v>
      </c>
      <c r="C57" s="104">
        <v>1</v>
      </c>
      <c r="D57" s="104"/>
      <c r="E57" s="104"/>
    </row>
  </sheetData>
  <pageMargins left="0.7" right="0.7" top="0.75" bottom="0.75" header="0.3" footer="0.3"/>
  <drawing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X46"/>
  <sheetViews>
    <sheetView zoomScaleNormal="100" workbookViewId="0"/>
  </sheetViews>
  <sheetFormatPr defaultRowHeight="12.75" x14ac:dyDescent="0.35"/>
  <cols>
    <col min="1" max="1" width="2" bestFit="1" customWidth="1"/>
    <col min="2" max="2" width="13.265625" bestFit="1" customWidth="1"/>
    <col min="3" max="3" width="11.86328125" bestFit="1" customWidth="1"/>
    <col min="4" max="4" width="27.3984375" bestFit="1" customWidth="1"/>
    <col min="5" max="5" width="7.59765625" bestFit="1" customWidth="1"/>
    <col min="6" max="6" width="8.265625" customWidth="1"/>
    <col min="7" max="7" width="13.3984375" customWidth="1"/>
    <col min="8" max="8" width="8.3984375" bestFit="1" customWidth="1"/>
    <col min="9" max="9" width="2" bestFit="1" customWidth="1"/>
    <col min="10" max="10" width="11.86328125" bestFit="1" customWidth="1"/>
    <col min="11" max="11" width="7.1328125" customWidth="1"/>
    <col min="12" max="12" width="11.3984375" bestFit="1" customWidth="1"/>
    <col min="13" max="13" width="37.3984375" bestFit="1" customWidth="1"/>
    <col min="14" max="14" width="6.1328125" bestFit="1" customWidth="1"/>
    <col min="15" max="15" width="11" customWidth="1"/>
    <col min="16" max="16" width="12.86328125" bestFit="1" customWidth="1"/>
    <col min="17" max="17" width="14.1328125" bestFit="1" customWidth="1"/>
    <col min="18" max="18" width="8" bestFit="1" customWidth="1"/>
  </cols>
  <sheetData>
    <row r="1" spans="2:18" ht="28.5" x14ac:dyDescent="0.45">
      <c r="B1" s="29" t="s">
        <v>94</v>
      </c>
      <c r="C1" s="29" t="s">
        <v>95</v>
      </c>
      <c r="D1" s="29" t="s">
        <v>96</v>
      </c>
      <c r="E1" s="29" t="s">
        <v>98</v>
      </c>
      <c r="F1" s="20"/>
      <c r="G1" s="29" t="s">
        <v>99</v>
      </c>
    </row>
    <row r="2" spans="2:18" ht="15.75" x14ac:dyDescent="0.5">
      <c r="B2" s="12" t="s">
        <v>197</v>
      </c>
      <c r="C2" s="12" t="str">
        <f>EnergyBalance!G$2</f>
        <v>DSL</v>
      </c>
      <c r="D2" s="12" t="str">
        <f>EnergyBalance!G$3</f>
        <v>Diesel oil</v>
      </c>
      <c r="E2" s="12" t="str">
        <f>EnergyBalance!$W$2</f>
        <v>PJ</v>
      </c>
      <c r="G2" s="12" t="str">
        <f>EnergyBalance!V2</f>
        <v>M€2005</v>
      </c>
      <c r="J2" s="195" t="s">
        <v>14</v>
      </c>
      <c r="K2" s="195"/>
      <c r="L2" s="196"/>
      <c r="M2" s="196"/>
      <c r="N2" s="196"/>
      <c r="O2" s="196"/>
      <c r="P2" s="196"/>
      <c r="Q2" s="196"/>
      <c r="R2" s="196"/>
    </row>
    <row r="3" spans="2:18" ht="15.75" x14ac:dyDescent="0.5">
      <c r="C3" s="12" t="str">
        <f>EnergyBalance!H$2</f>
        <v>KER</v>
      </c>
      <c r="D3" s="12" t="str">
        <f>EnergyBalance!H$3</f>
        <v>Kerosenes</v>
      </c>
      <c r="E3" s="12" t="str">
        <f>EnergyBalance!$W$2</f>
        <v>PJ</v>
      </c>
      <c r="J3" s="197" t="s">
        <v>7</v>
      </c>
      <c r="K3" s="198" t="s">
        <v>30</v>
      </c>
      <c r="L3" s="197" t="s">
        <v>0</v>
      </c>
      <c r="M3" s="197" t="s">
        <v>3</v>
      </c>
      <c r="N3" s="197" t="s">
        <v>4</v>
      </c>
      <c r="O3" s="197" t="s">
        <v>8</v>
      </c>
      <c r="P3" s="197" t="s">
        <v>9</v>
      </c>
      <c r="Q3" s="197" t="s">
        <v>10</v>
      </c>
      <c r="R3" s="197" t="s">
        <v>12</v>
      </c>
    </row>
    <row r="4" spans="2:18" ht="22.15" thickBot="1" x14ac:dyDescent="0.55000000000000004">
      <c r="C4" s="12" t="str">
        <f>EnergyBalance!I$2</f>
        <v>LPG</v>
      </c>
      <c r="D4" s="12" t="str">
        <f>EnergyBalance!I$3</f>
        <v>LPG</v>
      </c>
      <c r="E4" s="12" t="str">
        <f>EnergyBalance!$W$2</f>
        <v>PJ</v>
      </c>
      <c r="J4" s="199" t="s">
        <v>40</v>
      </c>
      <c r="K4" s="199" t="s">
        <v>31</v>
      </c>
      <c r="L4" s="199" t="s">
        <v>26</v>
      </c>
      <c r="M4" s="199" t="s">
        <v>27</v>
      </c>
      <c r="N4" s="199" t="s">
        <v>4</v>
      </c>
      <c r="O4" s="199" t="s">
        <v>43</v>
      </c>
      <c r="P4" s="199" t="s">
        <v>44</v>
      </c>
      <c r="Q4" s="199" t="s">
        <v>28</v>
      </c>
      <c r="R4" s="199" t="s">
        <v>29</v>
      </c>
    </row>
    <row r="5" spans="2:18" ht="15.75" x14ac:dyDescent="0.5">
      <c r="C5" s="12" t="str">
        <f>EnergyBalance!J$2</f>
        <v>GSL</v>
      </c>
      <c r="D5" s="12" t="str">
        <f>EnergyBalance!J$3</f>
        <v>Motor spirit</v>
      </c>
      <c r="E5" s="12" t="str">
        <f>EnergyBalance!$W$2</f>
        <v>PJ</v>
      </c>
      <c r="J5" s="196" t="s">
        <v>93</v>
      </c>
      <c r="K5" s="200"/>
      <c r="L5" s="196" t="str">
        <f t="shared" ref="L5:M11" si="0">C2</f>
        <v>DSL</v>
      </c>
      <c r="M5" s="196" t="str">
        <f t="shared" si="0"/>
        <v>Diesel oil</v>
      </c>
      <c r="N5" s="196" t="str">
        <f>$E$2</f>
        <v>PJ</v>
      </c>
      <c r="O5" s="196"/>
      <c r="P5" s="196"/>
      <c r="Q5" s="196"/>
      <c r="R5" s="196"/>
    </row>
    <row r="6" spans="2:18" ht="15.75" x14ac:dyDescent="0.5">
      <c r="C6" s="12" t="str">
        <f>EnergyBalance!K$2</f>
        <v>NAP</v>
      </c>
      <c r="D6" s="12" t="str">
        <f>EnergyBalance!K$3</f>
        <v>Naphtha</v>
      </c>
      <c r="E6" s="12" t="str">
        <f>EnergyBalance!$W$2</f>
        <v>PJ</v>
      </c>
      <c r="J6" s="196"/>
      <c r="K6" s="200"/>
      <c r="L6" s="196" t="str">
        <f t="shared" si="0"/>
        <v>KER</v>
      </c>
      <c r="M6" s="196" t="str">
        <f t="shared" si="0"/>
        <v>Kerosenes</v>
      </c>
      <c r="N6" s="196" t="str">
        <f t="shared" ref="N6:N11" si="1">$E$2</f>
        <v>PJ</v>
      </c>
      <c r="O6" s="196"/>
      <c r="P6" s="196"/>
      <c r="Q6" s="196"/>
      <c r="R6" s="196"/>
    </row>
    <row r="7" spans="2:18" ht="15.75" x14ac:dyDescent="0.5">
      <c r="C7" s="12" t="str">
        <f>EnergyBalance!L$2</f>
        <v>HFO</v>
      </c>
      <c r="D7" s="12" t="str">
        <f>EnergyBalance!L$3</f>
        <v>Heavy Fuel Oil</v>
      </c>
      <c r="E7" s="12" t="str">
        <f>EnergyBalance!$W$2</f>
        <v>PJ</v>
      </c>
      <c r="J7" s="196"/>
      <c r="K7" s="200"/>
      <c r="L7" s="196" t="str">
        <f t="shared" si="0"/>
        <v>LPG</v>
      </c>
      <c r="M7" s="196" t="str">
        <f t="shared" si="0"/>
        <v>LPG</v>
      </c>
      <c r="N7" s="196" t="str">
        <f t="shared" si="1"/>
        <v>PJ</v>
      </c>
      <c r="O7" s="196"/>
      <c r="P7" s="196"/>
      <c r="Q7" s="196"/>
      <c r="R7" s="196"/>
    </row>
    <row r="8" spans="2:18" ht="15.75" x14ac:dyDescent="0.5">
      <c r="C8" s="12" t="str">
        <f>EnergyBalance!M$2</f>
        <v>OPP</v>
      </c>
      <c r="D8" s="12" t="str">
        <f>EnergyBalance!M$3</f>
        <v>Other Petroleum Products</v>
      </c>
      <c r="E8" s="12" t="str">
        <f>EnergyBalance!$W$2</f>
        <v>PJ</v>
      </c>
      <c r="J8" s="196"/>
      <c r="K8" s="200"/>
      <c r="L8" s="196" t="str">
        <f t="shared" si="0"/>
        <v>GSL</v>
      </c>
      <c r="M8" s="196" t="str">
        <f t="shared" si="0"/>
        <v>Motor spirit</v>
      </c>
      <c r="N8" s="196" t="str">
        <f t="shared" si="1"/>
        <v>PJ</v>
      </c>
      <c r="O8" s="196"/>
      <c r="P8" s="196"/>
      <c r="Q8" s="196"/>
      <c r="R8" s="196"/>
    </row>
    <row r="9" spans="2:18" x14ac:dyDescent="0.35">
      <c r="J9" s="196"/>
      <c r="K9" s="200"/>
      <c r="L9" s="196" t="str">
        <f t="shared" si="0"/>
        <v>NAP</v>
      </c>
      <c r="M9" s="196" t="str">
        <f t="shared" si="0"/>
        <v>Naphtha</v>
      </c>
      <c r="N9" s="196" t="str">
        <f t="shared" si="1"/>
        <v>PJ</v>
      </c>
      <c r="O9" s="196"/>
      <c r="P9" s="196"/>
      <c r="Q9" s="196"/>
      <c r="R9" s="196"/>
    </row>
    <row r="10" spans="2:18" x14ac:dyDescent="0.35">
      <c r="J10" s="196"/>
      <c r="K10" s="200"/>
      <c r="L10" s="196" t="str">
        <f t="shared" si="0"/>
        <v>HFO</v>
      </c>
      <c r="M10" s="196" t="str">
        <f t="shared" si="0"/>
        <v>Heavy Fuel Oil</v>
      </c>
      <c r="N10" s="196" t="str">
        <f t="shared" si="1"/>
        <v>PJ</v>
      </c>
      <c r="O10" s="196"/>
      <c r="P10" s="196"/>
      <c r="Q10" s="196"/>
      <c r="R10" s="196"/>
    </row>
    <row r="11" spans="2:18" x14ac:dyDescent="0.35">
      <c r="J11" s="196"/>
      <c r="K11" s="200"/>
      <c r="L11" s="196" t="str">
        <f t="shared" si="0"/>
        <v>OPP</v>
      </c>
      <c r="M11" s="196" t="str">
        <f t="shared" si="0"/>
        <v>Other Petroleum Products</v>
      </c>
      <c r="N11" s="196" t="str">
        <f t="shared" si="1"/>
        <v>PJ</v>
      </c>
      <c r="O11" s="196"/>
      <c r="P11" s="196"/>
      <c r="Q11" s="196"/>
      <c r="R11" s="196"/>
    </row>
    <row r="13" spans="2:18" ht="13.15" x14ac:dyDescent="0.4">
      <c r="C13" s="5" t="s">
        <v>13</v>
      </c>
      <c r="H13" s="5"/>
      <c r="J13" s="195" t="s">
        <v>15</v>
      </c>
      <c r="K13" s="195"/>
      <c r="L13" s="200"/>
      <c r="M13" s="200"/>
      <c r="N13" s="200"/>
      <c r="O13" s="200"/>
      <c r="P13" s="200"/>
      <c r="Q13" s="200"/>
      <c r="R13" s="200"/>
    </row>
    <row r="14" spans="2:18" ht="26.25" x14ac:dyDescent="0.4">
      <c r="B14" s="218" t="s">
        <v>234</v>
      </c>
      <c r="C14" s="218" t="s">
        <v>235</v>
      </c>
      <c r="D14" s="218" t="s">
        <v>5</v>
      </c>
      <c r="E14" s="219" t="s">
        <v>6</v>
      </c>
      <c r="F14" s="235">
        <v>0</v>
      </c>
      <c r="G14" s="235">
        <v>2005</v>
      </c>
      <c r="H14" s="229"/>
      <c r="J14" s="197" t="s">
        <v>11</v>
      </c>
      <c r="K14" s="198" t="s">
        <v>30</v>
      </c>
      <c r="L14" s="197" t="s">
        <v>1</v>
      </c>
      <c r="M14" s="197" t="s">
        <v>2</v>
      </c>
      <c r="N14" s="197" t="s">
        <v>16</v>
      </c>
      <c r="O14" s="197" t="s">
        <v>17</v>
      </c>
      <c r="P14" s="197" t="s">
        <v>18</v>
      </c>
      <c r="Q14" s="197" t="s">
        <v>19</v>
      </c>
      <c r="R14" s="197" t="s">
        <v>20</v>
      </c>
    </row>
    <row r="15" spans="2:18" ht="21" thickBot="1" x14ac:dyDescent="0.4">
      <c r="B15" s="223" t="s">
        <v>42</v>
      </c>
      <c r="C15" s="223"/>
      <c r="D15" s="223" t="s">
        <v>32</v>
      </c>
      <c r="E15" s="223" t="s">
        <v>33</v>
      </c>
      <c r="F15" s="223"/>
      <c r="G15" s="223"/>
      <c r="H15" s="193"/>
      <c r="J15" s="199" t="s">
        <v>41</v>
      </c>
      <c r="K15" s="199" t="s">
        <v>31</v>
      </c>
      <c r="L15" s="199" t="s">
        <v>21</v>
      </c>
      <c r="M15" s="199" t="s">
        <v>22</v>
      </c>
      <c r="N15" s="199" t="s">
        <v>23</v>
      </c>
      <c r="O15" s="199" t="s">
        <v>24</v>
      </c>
      <c r="P15" s="199" t="s">
        <v>46</v>
      </c>
      <c r="Q15" s="199" t="s">
        <v>45</v>
      </c>
      <c r="R15" s="199" t="s">
        <v>25</v>
      </c>
    </row>
    <row r="16" spans="2:18" ht="13.15" thickBot="1" x14ac:dyDescent="0.4">
      <c r="B16" s="224" t="s">
        <v>284</v>
      </c>
      <c r="C16" s="224" t="s">
        <v>101</v>
      </c>
      <c r="D16" s="224"/>
      <c r="E16" s="224"/>
      <c r="F16" s="232">
        <v>5</v>
      </c>
      <c r="G16" s="230">
        <f>-'EB1'!G$7</f>
        <v>1009.8854999999999</v>
      </c>
      <c r="H16" s="194"/>
      <c r="J16" s="199" t="s">
        <v>104</v>
      </c>
      <c r="K16" s="199"/>
      <c r="L16" s="199"/>
      <c r="M16" s="199"/>
      <c r="N16" s="199"/>
      <c r="O16" s="199"/>
      <c r="P16" s="199"/>
      <c r="Q16" s="199"/>
      <c r="R16" s="199"/>
    </row>
    <row r="17" spans="2:24" x14ac:dyDescent="0.35">
      <c r="B17" s="224" t="s">
        <v>284</v>
      </c>
      <c r="C17" s="224" t="s">
        <v>38</v>
      </c>
      <c r="D17" s="224" t="s">
        <v>181</v>
      </c>
      <c r="E17" s="224"/>
      <c r="F17" s="228"/>
      <c r="G17" s="233">
        <f>G30*0.99</f>
        <v>10.295999999999999</v>
      </c>
      <c r="H17" s="234"/>
      <c r="J17" s="200" t="str">
        <f>EnergyBalance!$B$6</f>
        <v>IMP</v>
      </c>
      <c r="K17" s="200"/>
      <c r="L17" s="200" t="str">
        <f t="shared" ref="L17:L23" si="2">$J$17&amp;C2&amp;1</f>
        <v>IMPDSL1</v>
      </c>
      <c r="M17" s="202" t="str">
        <f t="shared" ref="M17:M23" si="3">"Import of "&amp;D2&amp; " Step "&amp;RIGHT(L17,1)</f>
        <v>Import of Diesel oil Step 1</v>
      </c>
      <c r="N17" s="200" t="str">
        <f>$E$2</f>
        <v>PJ</v>
      </c>
      <c r="O17" s="200"/>
      <c r="P17" s="200"/>
      <c r="Q17" s="200"/>
      <c r="R17" s="200"/>
    </row>
    <row r="18" spans="2:24" x14ac:dyDescent="0.35">
      <c r="B18" s="224" t="s">
        <v>285</v>
      </c>
      <c r="C18" s="224" t="s">
        <v>101</v>
      </c>
      <c r="D18" s="224"/>
      <c r="E18" s="224"/>
      <c r="F18" s="232">
        <v>5</v>
      </c>
      <c r="G18" s="230">
        <f>-'EB1'!J$7</f>
        <v>900.38520000000005</v>
      </c>
      <c r="H18" s="234"/>
      <c r="J18" s="200"/>
      <c r="K18" s="200"/>
      <c r="L18" s="200" t="str">
        <f t="shared" si="2"/>
        <v>IMPKER1</v>
      </c>
      <c r="M18" s="202" t="str">
        <f t="shared" si="3"/>
        <v>Import of Kerosenes Step 1</v>
      </c>
      <c r="N18" s="200" t="str">
        <f t="shared" ref="N18:N23" si="4">$E$2</f>
        <v>PJ</v>
      </c>
      <c r="O18" s="200"/>
      <c r="P18" s="200"/>
      <c r="Q18" s="200"/>
      <c r="R18" s="200"/>
      <c r="V18" s="1"/>
    </row>
    <row r="19" spans="2:24" x14ac:dyDescent="0.35">
      <c r="B19" s="224" t="s">
        <v>285</v>
      </c>
      <c r="C19" s="224" t="s">
        <v>38</v>
      </c>
      <c r="D19" s="224" t="s">
        <v>184</v>
      </c>
      <c r="E19" s="224"/>
      <c r="F19" s="228"/>
      <c r="G19" s="233">
        <f>G31*0.99</f>
        <v>11.087999999999999</v>
      </c>
      <c r="H19" s="234"/>
      <c r="J19" s="200"/>
      <c r="K19" s="200"/>
      <c r="L19" s="200" t="str">
        <f t="shared" si="2"/>
        <v>IMPLPG1</v>
      </c>
      <c r="M19" s="202" t="str">
        <f t="shared" si="3"/>
        <v>Import of LPG Step 1</v>
      </c>
      <c r="N19" s="200" t="str">
        <f t="shared" si="4"/>
        <v>PJ</v>
      </c>
      <c r="O19" s="200"/>
      <c r="P19" s="200"/>
      <c r="Q19" s="200"/>
      <c r="R19" s="200"/>
      <c r="W19" s="1"/>
      <c r="X19" s="1"/>
    </row>
    <row r="20" spans="2:24" x14ac:dyDescent="0.35">
      <c r="B20" s="224" t="s">
        <v>286</v>
      </c>
      <c r="C20" s="224" t="s">
        <v>101</v>
      </c>
      <c r="D20" s="224"/>
      <c r="E20" s="224"/>
      <c r="F20" s="232">
        <v>5</v>
      </c>
      <c r="G20" s="230">
        <f>-'EB1'!L$7</f>
        <v>743.56799999999998</v>
      </c>
      <c r="H20" s="234"/>
      <c r="J20" s="200"/>
      <c r="K20" s="200"/>
      <c r="L20" s="200" t="str">
        <f t="shared" si="2"/>
        <v>IMPGSL1</v>
      </c>
      <c r="M20" s="202" t="str">
        <f t="shared" si="3"/>
        <v>Import of Motor spirit Step 1</v>
      </c>
      <c r="N20" s="200" t="str">
        <f t="shared" si="4"/>
        <v>PJ</v>
      </c>
      <c r="O20" s="200"/>
      <c r="P20" s="200"/>
      <c r="Q20" s="200"/>
      <c r="R20" s="200"/>
    </row>
    <row r="21" spans="2:24" x14ac:dyDescent="0.35">
      <c r="B21" s="224" t="s">
        <v>286</v>
      </c>
      <c r="C21" s="224" t="s">
        <v>38</v>
      </c>
      <c r="D21" s="224" t="s">
        <v>186</v>
      </c>
      <c r="E21" s="224"/>
      <c r="F21" s="228"/>
      <c r="G21" s="233">
        <f>G32*0.99</f>
        <v>8.3160000000000007</v>
      </c>
      <c r="H21" s="234"/>
      <c r="J21" s="200"/>
      <c r="K21" s="200"/>
      <c r="L21" s="200" t="str">
        <f t="shared" si="2"/>
        <v>IMPNAP1</v>
      </c>
      <c r="M21" s="202" t="str">
        <f t="shared" si="3"/>
        <v>Import of Naphtha Step 1</v>
      </c>
      <c r="N21" s="200" t="str">
        <f t="shared" si="4"/>
        <v>PJ</v>
      </c>
      <c r="O21" s="200"/>
      <c r="P21" s="200"/>
      <c r="Q21" s="200"/>
      <c r="R21" s="200"/>
    </row>
    <row r="22" spans="2:24" x14ac:dyDescent="0.35">
      <c r="B22" s="224" t="s">
        <v>287</v>
      </c>
      <c r="C22" s="224" t="s">
        <v>101</v>
      </c>
      <c r="D22" s="224"/>
      <c r="E22" s="224"/>
      <c r="F22" s="232">
        <v>5</v>
      </c>
      <c r="G22" s="230">
        <f>-'EB1'!H$7</f>
        <v>177.23310000000001</v>
      </c>
      <c r="H22" s="234"/>
      <c r="J22" s="200"/>
      <c r="K22" s="200"/>
      <c r="L22" s="200" t="str">
        <f t="shared" si="2"/>
        <v>IMPHFO1</v>
      </c>
      <c r="M22" s="202" t="str">
        <f t="shared" si="3"/>
        <v>Import of Heavy Fuel Oil Step 1</v>
      </c>
      <c r="N22" s="200" t="str">
        <f t="shared" si="4"/>
        <v>PJ</v>
      </c>
      <c r="O22" s="200"/>
      <c r="P22" s="200"/>
      <c r="Q22" s="200"/>
      <c r="R22" s="200"/>
    </row>
    <row r="23" spans="2:24" x14ac:dyDescent="0.35">
      <c r="B23" s="224" t="s">
        <v>287</v>
      </c>
      <c r="C23" s="224" t="s">
        <v>38</v>
      </c>
      <c r="D23" s="224" t="s">
        <v>182</v>
      </c>
      <c r="E23" s="224"/>
      <c r="F23" s="228"/>
      <c r="G23" s="233">
        <f>G33*0.99</f>
        <v>11.087999999999999</v>
      </c>
      <c r="H23" s="234"/>
      <c r="J23" s="200"/>
      <c r="K23" s="200"/>
      <c r="L23" s="200" t="str">
        <f t="shared" si="2"/>
        <v>IMPOPP1</v>
      </c>
      <c r="M23" s="202" t="str">
        <f t="shared" si="3"/>
        <v>Import of Other Petroleum Products Step 1</v>
      </c>
      <c r="N23" s="200" t="str">
        <f t="shared" si="4"/>
        <v>PJ</v>
      </c>
      <c r="O23" s="200"/>
      <c r="P23" s="200"/>
      <c r="Q23" s="200"/>
      <c r="R23" s="200"/>
    </row>
    <row r="24" spans="2:24" x14ac:dyDescent="0.35">
      <c r="B24" s="224" t="s">
        <v>288</v>
      </c>
      <c r="C24" s="224" t="s">
        <v>101</v>
      </c>
      <c r="D24" s="224"/>
      <c r="E24" s="224"/>
      <c r="F24" s="232">
        <v>5</v>
      </c>
      <c r="G24" s="230">
        <f>-'EB1'!I$7</f>
        <v>116.7099</v>
      </c>
      <c r="H24" s="234"/>
      <c r="J24" s="200" t="str">
        <f>EnergyBalance!B7</f>
        <v>EXP</v>
      </c>
      <c r="K24" s="200"/>
      <c r="L24" s="200" t="str">
        <f t="shared" ref="L24:L30" si="5">$J$24&amp;C2&amp;1</f>
        <v>EXPDSL1</v>
      </c>
      <c r="M24" s="202" t="str">
        <f t="shared" ref="M24:M30" si="6">"Export of "&amp;D2&amp; " Step "&amp;RIGHT(L24,1)</f>
        <v>Export of Diesel oil Step 1</v>
      </c>
      <c r="N24" s="200" t="str">
        <f>$E$2</f>
        <v>PJ</v>
      </c>
      <c r="O24" s="200"/>
      <c r="P24" s="200"/>
      <c r="Q24" s="200"/>
      <c r="R24" s="200"/>
      <c r="U24" s="1"/>
    </row>
    <row r="25" spans="2:24" x14ac:dyDescent="0.35">
      <c r="B25" s="224" t="s">
        <v>288</v>
      </c>
      <c r="C25" s="224" t="s">
        <v>38</v>
      </c>
      <c r="D25" s="224" t="s">
        <v>183</v>
      </c>
      <c r="E25" s="224"/>
      <c r="F25" s="228"/>
      <c r="G25" s="233">
        <f>G34*0.99</f>
        <v>8.7119999999999997</v>
      </c>
      <c r="H25" s="234"/>
      <c r="J25" s="200"/>
      <c r="K25" s="200"/>
      <c r="L25" s="200" t="str">
        <f t="shared" si="5"/>
        <v>EXPKER1</v>
      </c>
      <c r="M25" s="202" t="str">
        <f t="shared" si="6"/>
        <v>Export of Kerosenes Step 1</v>
      </c>
      <c r="N25" s="200" t="str">
        <f t="shared" ref="N25:N30" si="7">$E$2</f>
        <v>PJ</v>
      </c>
      <c r="O25" s="200"/>
      <c r="P25" s="200"/>
      <c r="Q25" s="200"/>
      <c r="R25" s="200"/>
      <c r="T25" s="1"/>
    </row>
    <row r="26" spans="2:24" x14ac:dyDescent="0.35">
      <c r="B26" s="224" t="s">
        <v>289</v>
      </c>
      <c r="C26" s="224" t="s">
        <v>101</v>
      </c>
      <c r="D26" s="224"/>
      <c r="E26" s="224"/>
      <c r="F26" s="232">
        <v>5</v>
      </c>
      <c r="G26" s="230">
        <f>-'EB1'!K$7</f>
        <v>240.50399999999996</v>
      </c>
      <c r="H26" s="234"/>
      <c r="J26" s="200"/>
      <c r="K26" s="200"/>
      <c r="L26" s="200" t="str">
        <f t="shared" si="5"/>
        <v>EXPLPG1</v>
      </c>
      <c r="M26" s="202" t="str">
        <f t="shared" si="6"/>
        <v>Export of LPG Step 1</v>
      </c>
      <c r="N26" s="200" t="str">
        <f t="shared" si="7"/>
        <v>PJ</v>
      </c>
      <c r="O26" s="200"/>
      <c r="P26" s="200"/>
      <c r="Q26" s="200"/>
      <c r="R26" s="200"/>
    </row>
    <row r="27" spans="2:24" x14ac:dyDescent="0.35">
      <c r="B27" s="224" t="s">
        <v>289</v>
      </c>
      <c r="C27" s="224" t="s">
        <v>38</v>
      </c>
      <c r="D27" s="224" t="s">
        <v>185</v>
      </c>
      <c r="E27" s="224"/>
      <c r="F27" s="228"/>
      <c r="G27" s="233">
        <f>G35*0.99</f>
        <v>8.3160000000000007</v>
      </c>
      <c r="H27" s="234"/>
      <c r="J27" s="200"/>
      <c r="K27" s="200"/>
      <c r="L27" s="200" t="str">
        <f t="shared" si="5"/>
        <v>EXPGSL1</v>
      </c>
      <c r="M27" s="202" t="str">
        <f t="shared" si="6"/>
        <v>Export of Motor spirit Step 1</v>
      </c>
      <c r="N27" s="200" t="str">
        <f t="shared" si="7"/>
        <v>PJ</v>
      </c>
      <c r="O27" s="200"/>
      <c r="P27" s="200"/>
      <c r="Q27" s="200"/>
      <c r="R27" s="200"/>
    </row>
    <row r="28" spans="2:24" x14ac:dyDescent="0.35">
      <c r="B28" s="224" t="s">
        <v>290</v>
      </c>
      <c r="C28" s="224" t="s">
        <v>101</v>
      </c>
      <c r="D28" s="224"/>
      <c r="E28" s="224"/>
      <c r="F28" s="232">
        <v>5</v>
      </c>
      <c r="G28" s="230">
        <f>-'EB1'!M$7</f>
        <v>271.82159999999999</v>
      </c>
      <c r="H28" s="234"/>
      <c r="J28" s="200"/>
      <c r="K28" s="200"/>
      <c r="L28" s="200" t="str">
        <f t="shared" si="5"/>
        <v>EXPNAP1</v>
      </c>
      <c r="M28" s="202" t="str">
        <f t="shared" si="6"/>
        <v>Export of Naphtha Step 1</v>
      </c>
      <c r="N28" s="200" t="str">
        <f t="shared" si="7"/>
        <v>PJ</v>
      </c>
      <c r="O28" s="200"/>
      <c r="P28" s="200"/>
      <c r="Q28" s="200"/>
      <c r="R28" s="200"/>
    </row>
    <row r="29" spans="2:24" x14ac:dyDescent="0.35">
      <c r="B29" s="224" t="s">
        <v>290</v>
      </c>
      <c r="C29" s="224" t="s">
        <v>38</v>
      </c>
      <c r="D29" s="224" t="s">
        <v>187</v>
      </c>
      <c r="E29" s="224"/>
      <c r="F29" s="228"/>
      <c r="G29" s="233">
        <f>G36*0.99</f>
        <v>8.3160000000000007</v>
      </c>
      <c r="H29" s="234"/>
      <c r="J29" s="200"/>
      <c r="K29" s="200"/>
      <c r="L29" s="200" t="str">
        <f t="shared" si="5"/>
        <v>EXPHFO1</v>
      </c>
      <c r="M29" s="202" t="str">
        <f t="shared" si="6"/>
        <v>Export of Heavy Fuel Oil Step 1</v>
      </c>
      <c r="N29" s="200" t="str">
        <f t="shared" si="7"/>
        <v>PJ</v>
      </c>
      <c r="O29" s="200"/>
      <c r="P29" s="200"/>
      <c r="Q29" s="200"/>
      <c r="R29" s="200"/>
    </row>
    <row r="30" spans="2:24" ht="14.25" x14ac:dyDescent="0.45">
      <c r="B30" s="224" t="s">
        <v>291</v>
      </c>
      <c r="C30" s="224" t="s">
        <v>38</v>
      </c>
      <c r="D30" s="209"/>
      <c r="E30" s="224" t="s">
        <v>181</v>
      </c>
      <c r="F30" s="228"/>
      <c r="G30" s="233">
        <f>Pri_OIL!$G$19*1.3</f>
        <v>10.4</v>
      </c>
      <c r="H30" s="234"/>
      <c r="J30" s="200"/>
      <c r="K30" s="200"/>
      <c r="L30" s="200" t="str">
        <f t="shared" si="5"/>
        <v>EXPOPP1</v>
      </c>
      <c r="M30" s="202" t="str">
        <f t="shared" si="6"/>
        <v>Export of Other Petroleum Products Step 1</v>
      </c>
      <c r="N30" s="200" t="str">
        <f t="shared" si="7"/>
        <v>PJ</v>
      </c>
      <c r="O30" s="200"/>
      <c r="P30" s="200"/>
      <c r="Q30" s="200"/>
      <c r="R30" s="200"/>
    </row>
    <row r="31" spans="2:24" ht="14.25" x14ac:dyDescent="0.45">
      <c r="B31" s="224" t="s">
        <v>292</v>
      </c>
      <c r="C31" s="224" t="s">
        <v>38</v>
      </c>
      <c r="D31" s="209"/>
      <c r="E31" s="224" t="s">
        <v>184</v>
      </c>
      <c r="F31" s="228"/>
      <c r="G31" s="233">
        <f>Pri_OIL!$G$19*1.4</f>
        <v>11.2</v>
      </c>
    </row>
    <row r="32" spans="2:24" ht="14.25" x14ac:dyDescent="0.45">
      <c r="B32" s="224" t="s">
        <v>293</v>
      </c>
      <c r="C32" s="224" t="s">
        <v>38</v>
      </c>
      <c r="D32" s="209"/>
      <c r="E32" s="224" t="s">
        <v>186</v>
      </c>
      <c r="F32" s="228"/>
      <c r="G32" s="72">
        <f>Pri_OIL!$G$19*1.05</f>
        <v>8.4</v>
      </c>
    </row>
    <row r="33" spans="2:7" ht="14.25" x14ac:dyDescent="0.45">
      <c r="B33" s="224" t="s">
        <v>294</v>
      </c>
      <c r="C33" s="224" t="s">
        <v>38</v>
      </c>
      <c r="D33" s="209"/>
      <c r="E33" s="224" t="s">
        <v>182</v>
      </c>
      <c r="F33" s="228"/>
      <c r="G33" s="72">
        <f>Pri_OIL!$G$19*1.4</f>
        <v>11.2</v>
      </c>
    </row>
    <row r="34" spans="2:7" ht="14.25" x14ac:dyDescent="0.45">
      <c r="B34" s="224" t="s">
        <v>295</v>
      </c>
      <c r="C34" s="224" t="s">
        <v>38</v>
      </c>
      <c r="D34" s="209"/>
      <c r="E34" s="224" t="s">
        <v>183</v>
      </c>
      <c r="F34" s="228"/>
      <c r="G34" s="72">
        <f>Pri_OIL!$G$19*1.1</f>
        <v>8.8000000000000007</v>
      </c>
    </row>
    <row r="35" spans="2:7" ht="14.25" x14ac:dyDescent="0.45">
      <c r="B35" s="224" t="s">
        <v>296</v>
      </c>
      <c r="C35" s="224" t="s">
        <v>38</v>
      </c>
      <c r="D35" s="209"/>
      <c r="E35" s="224" t="s">
        <v>185</v>
      </c>
      <c r="F35" s="228"/>
      <c r="G35" s="72">
        <f>Pri_OIL!$G$19*1.05</f>
        <v>8.4</v>
      </c>
    </row>
    <row r="36" spans="2:7" ht="14.25" x14ac:dyDescent="0.45">
      <c r="B36" s="224" t="s">
        <v>297</v>
      </c>
      <c r="C36" s="224" t="s">
        <v>38</v>
      </c>
      <c r="D36" s="209"/>
      <c r="E36" s="224" t="s">
        <v>187</v>
      </c>
      <c r="F36" s="228"/>
      <c r="G36" s="72">
        <f>Pri_OIL!$G$19*1.05</f>
        <v>8.4</v>
      </c>
    </row>
    <row r="45" spans="2:7" x14ac:dyDescent="0.35">
      <c r="B45" s="72"/>
      <c r="C45" s="1" t="s">
        <v>210</v>
      </c>
    </row>
    <row r="46" spans="2:7" x14ac:dyDescent="0.35">
      <c r="B46" s="146"/>
      <c r="C46" s="1" t="s">
        <v>211</v>
      </c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R43"/>
  <sheetViews>
    <sheetView zoomScaleNormal="100" workbookViewId="0"/>
  </sheetViews>
  <sheetFormatPr defaultRowHeight="12.75" x14ac:dyDescent="0.35"/>
  <cols>
    <col min="1" max="1" width="3" customWidth="1"/>
    <col min="2" max="2" width="13.59765625" bestFit="1" customWidth="1"/>
    <col min="3" max="3" width="13.1328125" bestFit="1" customWidth="1"/>
    <col min="4" max="4" width="11.86328125" bestFit="1" customWidth="1"/>
    <col min="5" max="5" width="11.59765625" bestFit="1" customWidth="1"/>
    <col min="6" max="6" width="13" bestFit="1" customWidth="1"/>
    <col min="7" max="7" width="8.265625" bestFit="1" customWidth="1"/>
    <col min="8" max="8" width="9" customWidth="1"/>
    <col min="9" max="9" width="2.1328125" bestFit="1" customWidth="1"/>
    <col min="10" max="10" width="12.3984375" customWidth="1"/>
    <col min="11" max="11" width="7.1328125" customWidth="1"/>
    <col min="12" max="12" width="14.59765625" bestFit="1" customWidth="1"/>
    <col min="13" max="13" width="63" customWidth="1"/>
    <col min="14" max="14" width="6.1328125" customWidth="1"/>
    <col min="15" max="15" width="10.3984375" bestFit="1" customWidth="1"/>
    <col min="16" max="16" width="12.86328125" bestFit="1" customWidth="1"/>
    <col min="17" max="17" width="14.1328125" bestFit="1" customWidth="1"/>
    <col min="18" max="18" width="8.1328125" customWidth="1"/>
  </cols>
  <sheetData>
    <row r="1" spans="2:18" ht="14.25" x14ac:dyDescent="0.45">
      <c r="B1" s="9" t="s">
        <v>94</v>
      </c>
      <c r="C1" s="9" t="s">
        <v>95</v>
      </c>
      <c r="D1" s="9" t="s">
        <v>96</v>
      </c>
      <c r="E1" s="9" t="s">
        <v>145</v>
      </c>
      <c r="F1" s="9" t="s">
        <v>118</v>
      </c>
      <c r="G1" s="9" t="s">
        <v>121</v>
      </c>
      <c r="H1" s="52"/>
    </row>
    <row r="2" spans="2:18" ht="15.75" x14ac:dyDescent="0.5">
      <c r="B2" s="12"/>
      <c r="C2" s="12"/>
      <c r="D2" s="12" t="s">
        <v>143</v>
      </c>
      <c r="E2" s="12" t="str">
        <f>EnergyBalance!W2</f>
        <v>PJ</v>
      </c>
      <c r="F2" s="12" t="str">
        <f>EnergyBalance!V2</f>
        <v>M€2005</v>
      </c>
      <c r="G2" s="12" t="s">
        <v>122</v>
      </c>
      <c r="H2" s="10"/>
      <c r="J2" s="195" t="s">
        <v>14</v>
      </c>
      <c r="K2" s="195"/>
      <c r="L2" s="196"/>
      <c r="M2" s="196"/>
      <c r="N2" s="196"/>
      <c r="O2" s="196"/>
      <c r="P2" s="196"/>
      <c r="Q2" s="196"/>
      <c r="R2" s="196"/>
    </row>
    <row r="3" spans="2:18" ht="13.15" x14ac:dyDescent="0.4">
      <c r="J3" s="197" t="s">
        <v>7</v>
      </c>
      <c r="K3" s="198" t="s">
        <v>30</v>
      </c>
      <c r="L3" s="197" t="s">
        <v>0</v>
      </c>
      <c r="M3" s="197" t="s">
        <v>3</v>
      </c>
      <c r="N3" s="197" t="s">
        <v>4</v>
      </c>
      <c r="O3" s="197" t="s">
        <v>8</v>
      </c>
      <c r="P3" s="197" t="s">
        <v>9</v>
      </c>
      <c r="Q3" s="197" t="s">
        <v>10</v>
      </c>
      <c r="R3" s="197" t="s">
        <v>12</v>
      </c>
    </row>
    <row r="4" spans="2:18" ht="22.15" thickBot="1" x14ac:dyDescent="0.55000000000000004">
      <c r="B4" s="10"/>
      <c r="C4" s="10"/>
      <c r="D4" s="10"/>
      <c r="E4" s="10"/>
      <c r="G4" s="10"/>
      <c r="J4" s="199" t="s">
        <v>40</v>
      </c>
      <c r="K4" s="199" t="s">
        <v>31</v>
      </c>
      <c r="L4" s="199" t="s">
        <v>26</v>
      </c>
      <c r="M4" s="199" t="s">
        <v>27</v>
      </c>
      <c r="N4" s="199" t="s">
        <v>4</v>
      </c>
      <c r="O4" s="199" t="s">
        <v>43</v>
      </c>
      <c r="P4" s="199" t="s">
        <v>44</v>
      </c>
      <c r="Q4" s="199" t="s">
        <v>28</v>
      </c>
      <c r="R4" s="199" t="s">
        <v>29</v>
      </c>
    </row>
    <row r="5" spans="2:18" x14ac:dyDescent="0.35">
      <c r="E5" s="14"/>
      <c r="F5" s="14"/>
      <c r="G5" s="159"/>
      <c r="H5" s="13"/>
      <c r="J5" s="200" t="s">
        <v>93</v>
      </c>
      <c r="K5" s="200"/>
      <c r="L5" s="200" t="str">
        <f>EnergyBalance!$B$16&amp;EnergyBalance!$E$2</f>
        <v>RSDGAS</v>
      </c>
      <c r="M5" s="202" t="str">
        <f>EnergyBalance!$C$16&amp;" "&amp;EnergyBalance!$E$3</f>
        <v>Residential Natural Gas</v>
      </c>
      <c r="N5" s="200" t="str">
        <f t="shared" ref="N5:N17" si="0">$E$2</f>
        <v>PJ</v>
      </c>
      <c r="O5" s="200"/>
      <c r="P5" s="200"/>
      <c r="Q5" s="200"/>
      <c r="R5" s="200"/>
    </row>
    <row r="6" spans="2:18" x14ac:dyDescent="0.35">
      <c r="E6" s="14"/>
      <c r="F6" s="14"/>
      <c r="G6" s="159"/>
      <c r="H6" s="13"/>
      <c r="J6" s="200"/>
      <c r="K6" s="200"/>
      <c r="L6" s="200" t="str">
        <f>EnergyBalance!$B$20&amp;EnergyBalance!G$2</f>
        <v>TRADSL</v>
      </c>
      <c r="M6" s="202" t="str">
        <f>EnergyBalance!$C$20&amp;" "&amp;EnergyBalance!G$3</f>
        <v>Transport Diesel oil</v>
      </c>
      <c r="N6" s="200" t="str">
        <f t="shared" si="0"/>
        <v>PJ</v>
      </c>
      <c r="O6" s="200"/>
      <c r="P6" s="200"/>
      <c r="Q6" s="200"/>
      <c r="R6" s="200"/>
    </row>
    <row r="7" spans="2:18" x14ac:dyDescent="0.35">
      <c r="E7" s="14"/>
      <c r="F7" s="14"/>
      <c r="G7" s="159"/>
      <c r="H7" s="13"/>
      <c r="J7" s="200"/>
      <c r="K7" s="200"/>
      <c r="L7" s="200" t="str">
        <f>EnergyBalance!$B$20&amp;EnergyBalance!H$2</f>
        <v>TRAKER</v>
      </c>
      <c r="M7" s="202" t="str">
        <f>EnergyBalance!$C$20&amp;" "&amp;EnergyBalance!H$3</f>
        <v>Transport Kerosenes</v>
      </c>
      <c r="N7" s="200" t="str">
        <f t="shared" si="0"/>
        <v>PJ</v>
      </c>
      <c r="O7" s="200"/>
      <c r="P7" s="200"/>
      <c r="Q7" s="200"/>
      <c r="R7" s="200"/>
    </row>
    <row r="8" spans="2:18" x14ac:dyDescent="0.35">
      <c r="E8" s="14"/>
      <c r="F8" s="14"/>
      <c r="G8" s="159"/>
      <c r="H8" s="13"/>
      <c r="J8" s="200"/>
      <c r="K8" s="200"/>
      <c r="L8" s="200" t="str">
        <f>EnergyBalance!$B$20&amp;EnergyBalance!I$2</f>
        <v>TRALPG</v>
      </c>
      <c r="M8" s="202" t="str">
        <f>EnergyBalance!$C$20&amp;" "&amp;EnergyBalance!I$3</f>
        <v>Transport LPG</v>
      </c>
      <c r="N8" s="200" t="str">
        <f t="shared" si="0"/>
        <v>PJ</v>
      </c>
      <c r="O8" s="200"/>
      <c r="P8" s="200"/>
      <c r="Q8" s="200"/>
      <c r="R8" s="200"/>
    </row>
    <row r="9" spans="2:18" x14ac:dyDescent="0.35">
      <c r="E9" s="14"/>
      <c r="F9" s="14"/>
      <c r="G9" s="159"/>
      <c r="H9" s="13"/>
      <c r="J9" s="200"/>
      <c r="K9" s="200"/>
      <c r="L9" s="200" t="str">
        <f>EnergyBalance!$B$20&amp;EnergyBalance!J$2</f>
        <v>TRAGSL</v>
      </c>
      <c r="M9" s="202" t="str">
        <f>EnergyBalance!$C$20&amp;" "&amp;EnergyBalance!J$3</f>
        <v>Transport Motor spirit</v>
      </c>
      <c r="N9" s="200" t="str">
        <f t="shared" si="0"/>
        <v>PJ</v>
      </c>
      <c r="O9" s="200"/>
      <c r="P9" s="200"/>
      <c r="Q9" s="200"/>
      <c r="R9" s="200"/>
    </row>
    <row r="10" spans="2:18" x14ac:dyDescent="0.35">
      <c r="E10" s="14"/>
      <c r="F10" s="14"/>
      <c r="G10" s="159"/>
      <c r="H10" s="13"/>
      <c r="J10" s="200"/>
      <c r="K10" s="200"/>
      <c r="L10" s="200" t="str">
        <f>EnergyBalance!$B$20&amp;EnergyBalance!L$2</f>
        <v>TRAHFO</v>
      </c>
      <c r="M10" s="202" t="str">
        <f>EnergyBalance!$C$20&amp;" "&amp;EnergyBalance!L$3</f>
        <v>Transport Heavy Fuel Oil</v>
      </c>
      <c r="N10" s="200" t="str">
        <f t="shared" si="0"/>
        <v>PJ</v>
      </c>
      <c r="O10" s="200"/>
      <c r="P10" s="200"/>
      <c r="Q10" s="200"/>
      <c r="R10" s="200"/>
    </row>
    <row r="11" spans="2:18" x14ac:dyDescent="0.35">
      <c r="E11" s="14"/>
      <c r="F11" s="14"/>
      <c r="G11" s="159"/>
      <c r="H11" s="13"/>
      <c r="J11" s="200"/>
      <c r="K11" s="200"/>
      <c r="L11" s="200" t="str">
        <f>EnergyBalance!$B$20&amp;EnergyBalance!R$2</f>
        <v>TRAELC</v>
      </c>
      <c r="M11" s="202" t="str">
        <f>EnergyBalance!$C$20&amp;" "&amp;EnergyBalance!R$3</f>
        <v>Transport Electricity</v>
      </c>
      <c r="N11" s="200" t="str">
        <f t="shared" si="0"/>
        <v>PJ</v>
      </c>
      <c r="O11" s="200"/>
      <c r="P11" s="200"/>
      <c r="Q11" s="200"/>
      <c r="R11" s="200"/>
    </row>
    <row r="12" spans="2:18" x14ac:dyDescent="0.35">
      <c r="E12" s="14"/>
      <c r="F12" s="14"/>
      <c r="G12" s="159"/>
      <c r="H12" s="13"/>
      <c r="J12" s="200"/>
      <c r="K12" s="200"/>
      <c r="L12" s="200" t="str">
        <f>EnergyBalance!$B$20&amp;EnergyBalance!E$2</f>
        <v>TRAGAS</v>
      </c>
      <c r="M12" s="202" t="str">
        <f>EnergyBalance!$C$20&amp;" "&amp;EnergyBalance!E$3</f>
        <v>Transport Natural Gas</v>
      </c>
      <c r="N12" s="200" t="str">
        <f t="shared" si="0"/>
        <v>PJ</v>
      </c>
      <c r="O12" s="200"/>
      <c r="P12" s="200"/>
      <c r="Q12" s="200"/>
      <c r="R12" s="200"/>
    </row>
    <row r="13" spans="2:18" x14ac:dyDescent="0.35">
      <c r="E13" s="14"/>
      <c r="F13" s="14"/>
      <c r="G13" s="159"/>
      <c r="H13" s="13"/>
      <c r="J13" s="200"/>
      <c r="K13" s="200"/>
      <c r="L13" s="200" t="str">
        <f>Con_ELC!$B$2&amp;EnergyBalance!$D$2</f>
        <v>ELCCOA</v>
      </c>
      <c r="M13" s="202" t="str">
        <f>Con_ELC!$C$2&amp;" "&amp;EnergyBalance!$D$3</f>
        <v>Electricity Plants Solid Fuels</v>
      </c>
      <c r="N13" s="200" t="str">
        <f t="shared" si="0"/>
        <v>PJ</v>
      </c>
      <c r="O13" s="200"/>
      <c r="P13" s="200"/>
      <c r="Q13" s="200"/>
      <c r="R13" s="200"/>
    </row>
    <row r="14" spans="2:18" x14ac:dyDescent="0.35">
      <c r="E14" s="14"/>
      <c r="F14" s="14"/>
      <c r="G14" s="159"/>
      <c r="H14" s="13"/>
      <c r="J14" s="200"/>
      <c r="K14" s="200"/>
      <c r="L14" s="200" t="str">
        <f>Con_ELC!$B$2&amp;EnergyBalance!$E$2</f>
        <v>ELCGAS</v>
      </c>
      <c r="M14" s="202" t="str">
        <f>Con_ELC!$C$2&amp;" "&amp;EnergyBalance!$E$3</f>
        <v>Electricity Plants Natural Gas</v>
      </c>
      <c r="N14" s="200" t="str">
        <f t="shared" si="0"/>
        <v>PJ</v>
      </c>
      <c r="O14" s="200"/>
      <c r="P14" s="200"/>
      <c r="Q14" s="200"/>
      <c r="R14" s="200"/>
    </row>
    <row r="15" spans="2:18" x14ac:dyDescent="0.35">
      <c r="E15" s="14"/>
      <c r="F15" s="14"/>
      <c r="G15" s="159"/>
      <c r="H15" s="13"/>
      <c r="J15" s="200"/>
      <c r="K15" s="200"/>
      <c r="L15" s="200" t="str">
        <f>Con_ELC!$B$2&amp;EnergyBalance!$F$2</f>
        <v>ELCOIL</v>
      </c>
      <c r="M15" s="202" t="str">
        <f>Con_ELC!$C$2&amp;" "&amp;EnergyBalance!$F$3</f>
        <v>Electricity Plants Crude Oil</v>
      </c>
      <c r="N15" s="200" t="str">
        <f t="shared" si="0"/>
        <v>PJ</v>
      </c>
      <c r="O15" s="200"/>
      <c r="P15" s="200"/>
      <c r="Q15" s="200"/>
      <c r="R15" s="200"/>
    </row>
    <row r="16" spans="2:18" x14ac:dyDescent="0.35">
      <c r="E16" s="14"/>
      <c r="F16" s="14"/>
      <c r="G16" s="159"/>
      <c r="H16" s="13"/>
      <c r="J16" s="200"/>
      <c r="K16" s="200"/>
      <c r="L16" s="200" t="str">
        <f>Con_ELC!$B$2&amp;EnergyBalance!$O$2</f>
        <v>ELCRNW</v>
      </c>
      <c r="M16" s="202" t="str">
        <f>Con_ELC!$C$2&amp;" "&amp;EnergyBalance!$O$3</f>
        <v>Electricity Plants Renewable Energies</v>
      </c>
      <c r="N16" s="200" t="str">
        <f t="shared" si="0"/>
        <v>PJ</v>
      </c>
      <c r="O16" s="200"/>
      <c r="P16" s="200"/>
      <c r="Q16" s="200"/>
      <c r="R16" s="200"/>
    </row>
    <row r="17" spans="2:18" x14ac:dyDescent="0.35">
      <c r="E17" s="14"/>
      <c r="F17" s="14"/>
      <c r="G17" s="159"/>
      <c r="H17" s="13"/>
      <c r="J17" s="200"/>
      <c r="K17" s="200"/>
      <c r="L17" s="200" t="str">
        <f>Con_ELC!$B$2&amp;EnergyBalance!$N$2</f>
        <v>ELCNUC</v>
      </c>
      <c r="M17" s="202" t="str">
        <f>Con_ELC!$C$2&amp;" "&amp;EnergyBalance!$N$3</f>
        <v>Electricity Plants Nuclear Energy</v>
      </c>
      <c r="N17" s="200" t="str">
        <f t="shared" si="0"/>
        <v>PJ</v>
      </c>
      <c r="O17" s="200"/>
      <c r="P17" s="200"/>
      <c r="Q17" s="200"/>
      <c r="R17" s="200"/>
    </row>
    <row r="18" spans="2:18" x14ac:dyDescent="0.35">
      <c r="L18" s="33"/>
      <c r="M18" s="34"/>
    </row>
    <row r="19" spans="2:18" ht="13.15" x14ac:dyDescent="0.4">
      <c r="D19" s="5" t="s">
        <v>13</v>
      </c>
      <c r="E19" s="5"/>
      <c r="F19" s="5"/>
      <c r="J19" s="195" t="s">
        <v>15</v>
      </c>
      <c r="K19" s="195"/>
      <c r="L19" s="200"/>
      <c r="M19" s="200"/>
      <c r="N19" s="200"/>
      <c r="O19" s="200"/>
      <c r="P19" s="200"/>
      <c r="Q19" s="200"/>
      <c r="R19" s="200"/>
    </row>
    <row r="20" spans="2:18" ht="13.15" x14ac:dyDescent="0.4">
      <c r="B20" s="18" t="s">
        <v>1</v>
      </c>
      <c r="C20" s="18" t="s">
        <v>5</v>
      </c>
      <c r="D20" s="18" t="s">
        <v>6</v>
      </c>
      <c r="E20" s="171" t="s">
        <v>206</v>
      </c>
      <c r="F20" s="166" t="s">
        <v>179</v>
      </c>
      <c r="G20" s="166" t="s">
        <v>107</v>
      </c>
      <c r="H20" s="166" t="s">
        <v>102</v>
      </c>
      <c r="J20" s="197" t="s">
        <v>11</v>
      </c>
      <c r="K20" s="198" t="s">
        <v>30</v>
      </c>
      <c r="L20" s="197" t="s">
        <v>1</v>
      </c>
      <c r="M20" s="197" t="s">
        <v>2</v>
      </c>
      <c r="N20" s="197" t="s">
        <v>16</v>
      </c>
      <c r="O20" s="197" t="s">
        <v>17</v>
      </c>
      <c r="P20" s="197" t="s">
        <v>18</v>
      </c>
      <c r="Q20" s="197" t="s">
        <v>19</v>
      </c>
      <c r="R20" s="197" t="s">
        <v>20</v>
      </c>
    </row>
    <row r="21" spans="2:18" ht="21" thickBot="1" x14ac:dyDescent="0.4">
      <c r="B21" s="17" t="s">
        <v>42</v>
      </c>
      <c r="C21" s="17" t="s">
        <v>32</v>
      </c>
      <c r="D21" s="17" t="s">
        <v>33</v>
      </c>
      <c r="E21" s="17" t="s">
        <v>205</v>
      </c>
      <c r="F21" s="17" t="s">
        <v>34</v>
      </c>
      <c r="G21" s="17" t="s">
        <v>112</v>
      </c>
      <c r="H21" s="17" t="s">
        <v>221</v>
      </c>
      <c r="J21" s="199" t="s">
        <v>41</v>
      </c>
      <c r="K21" s="199" t="s">
        <v>31</v>
      </c>
      <c r="L21" s="199" t="s">
        <v>21</v>
      </c>
      <c r="M21" s="199" t="s">
        <v>22</v>
      </c>
      <c r="N21" s="199" t="s">
        <v>23</v>
      </c>
      <c r="O21" s="199" t="s">
        <v>24</v>
      </c>
      <c r="P21" s="199" t="s">
        <v>46</v>
      </c>
      <c r="Q21" s="199" t="s">
        <v>45</v>
      </c>
      <c r="R21" s="199" t="s">
        <v>25</v>
      </c>
    </row>
    <row r="22" spans="2:18" ht="13.15" thickBot="1" x14ac:dyDescent="0.4">
      <c r="B22" s="16" t="s">
        <v>113</v>
      </c>
      <c r="C22" s="16"/>
      <c r="D22" s="16"/>
      <c r="E22" s="15"/>
      <c r="F22" s="15" t="str">
        <f>E2&amp;"a"</f>
        <v>PJa</v>
      </c>
      <c r="G22" s="15"/>
      <c r="H22" s="15" t="s">
        <v>114</v>
      </c>
      <c r="J22" s="199" t="s">
        <v>104</v>
      </c>
      <c r="K22" s="201"/>
      <c r="L22" s="201"/>
      <c r="M22" s="201"/>
      <c r="N22" s="201"/>
      <c r="O22" s="201"/>
      <c r="P22" s="201"/>
      <c r="Q22" s="201"/>
      <c r="R22" s="201"/>
    </row>
    <row r="23" spans="2:18" x14ac:dyDescent="0.35">
      <c r="B23" t="str">
        <f>L23</f>
        <v>FTE-RSDGAS</v>
      </c>
      <c r="C23" t="str">
        <f>RIGHT(D23,3)</f>
        <v>GAS</v>
      </c>
      <c r="D23" t="str">
        <f>$L$5</f>
        <v>RSDGAS</v>
      </c>
      <c r="E23" s="14"/>
      <c r="F23" s="14"/>
      <c r="G23" s="149">
        <v>1</v>
      </c>
      <c r="H23" s="150">
        <v>50</v>
      </c>
      <c r="J23" s="196" t="s">
        <v>144</v>
      </c>
      <c r="K23" s="200"/>
      <c r="L23" s="200" t="str">
        <f>"FT"&amp;$G$2&amp;"-"&amp;L5</f>
        <v>FTE-RSDGAS</v>
      </c>
      <c r="M23" s="202" t="str">
        <f>$D$2&amp;" Technology"&amp;" "&amp;$G$1&amp;" "&amp;M5</f>
        <v>Sector Fuel Technology Existing Residential Natural Gas</v>
      </c>
      <c r="N23" s="200" t="str">
        <f t="shared" ref="N23:N35" si="1">$E$2</f>
        <v>PJ</v>
      </c>
      <c r="O23" s="200" t="str">
        <f t="shared" ref="O23:O35" si="2">$E$2&amp;"a"</f>
        <v>PJa</v>
      </c>
      <c r="P23" s="200"/>
      <c r="Q23" s="200"/>
      <c r="R23" s="200"/>
    </row>
    <row r="24" spans="2:18" x14ac:dyDescent="0.35">
      <c r="B24" t="str">
        <f>L24</f>
        <v>FTE-TRADSL</v>
      </c>
      <c r="C24" t="str">
        <f t="shared" ref="C24:C30" si="3">RIGHT(L6,3)</f>
        <v>DSL</v>
      </c>
      <c r="D24" t="str">
        <f t="shared" ref="D24:D29" si="4">L6</f>
        <v>TRADSL</v>
      </c>
      <c r="E24" s="14"/>
      <c r="F24" s="14"/>
      <c r="G24" s="149">
        <v>1</v>
      </c>
      <c r="H24" s="150">
        <v>50</v>
      </c>
      <c r="J24" s="200"/>
      <c r="K24" s="200"/>
      <c r="L24" s="200" t="str">
        <f t="shared" ref="L24:L35" si="5">"FT"&amp;$G$2&amp;"-"&amp;L6</f>
        <v>FTE-TRADSL</v>
      </c>
      <c r="M24" s="202" t="str">
        <f t="shared" ref="M24:M35" si="6">$D$2&amp;" Technology"&amp;" "&amp;$G$1&amp;" "&amp;M6</f>
        <v>Sector Fuel Technology Existing Transport Diesel oil</v>
      </c>
      <c r="N24" s="200" t="str">
        <f t="shared" si="1"/>
        <v>PJ</v>
      </c>
      <c r="O24" s="200" t="str">
        <f t="shared" si="2"/>
        <v>PJa</v>
      </c>
      <c r="P24" s="200"/>
      <c r="Q24" s="200"/>
      <c r="R24" s="200"/>
    </row>
    <row r="25" spans="2:18" x14ac:dyDescent="0.35">
      <c r="B25" t="str">
        <f t="shared" ref="B25:B30" si="7">L25</f>
        <v>FTE-TRAKER</v>
      </c>
      <c r="C25" t="str">
        <f t="shared" si="3"/>
        <v>KER</v>
      </c>
      <c r="D25" t="str">
        <f t="shared" si="4"/>
        <v>TRAKER</v>
      </c>
      <c r="E25" s="14"/>
      <c r="F25" s="14"/>
      <c r="G25" s="149">
        <v>1</v>
      </c>
      <c r="H25" s="150">
        <v>50</v>
      </c>
      <c r="J25" s="200"/>
      <c r="K25" s="200"/>
      <c r="L25" s="200" t="str">
        <f t="shared" si="5"/>
        <v>FTE-TRAKER</v>
      </c>
      <c r="M25" s="202" t="str">
        <f t="shared" si="6"/>
        <v>Sector Fuel Technology Existing Transport Kerosenes</v>
      </c>
      <c r="N25" s="200" t="str">
        <f t="shared" si="1"/>
        <v>PJ</v>
      </c>
      <c r="O25" s="200" t="str">
        <f t="shared" si="2"/>
        <v>PJa</v>
      </c>
      <c r="P25" s="200"/>
      <c r="Q25" s="200"/>
      <c r="R25" s="200"/>
    </row>
    <row r="26" spans="2:18" x14ac:dyDescent="0.35">
      <c r="B26" t="str">
        <f t="shared" si="7"/>
        <v>FTE-TRALPG</v>
      </c>
      <c r="C26" t="str">
        <f t="shared" si="3"/>
        <v>LPG</v>
      </c>
      <c r="D26" t="str">
        <f t="shared" si="4"/>
        <v>TRALPG</v>
      </c>
      <c r="E26" s="14"/>
      <c r="F26" s="14"/>
      <c r="G26" s="149">
        <v>1</v>
      </c>
      <c r="H26" s="150">
        <v>50</v>
      </c>
      <c r="J26" s="200"/>
      <c r="K26" s="200"/>
      <c r="L26" s="200" t="str">
        <f t="shared" si="5"/>
        <v>FTE-TRALPG</v>
      </c>
      <c r="M26" s="202" t="str">
        <f t="shared" si="6"/>
        <v>Sector Fuel Technology Existing Transport LPG</v>
      </c>
      <c r="N26" s="200" t="str">
        <f t="shared" si="1"/>
        <v>PJ</v>
      </c>
      <c r="O26" s="200" t="str">
        <f t="shared" si="2"/>
        <v>PJa</v>
      </c>
      <c r="P26" s="200"/>
      <c r="Q26" s="200"/>
      <c r="R26" s="200"/>
    </row>
    <row r="27" spans="2:18" x14ac:dyDescent="0.35">
      <c r="B27" t="str">
        <f t="shared" si="7"/>
        <v>FTE-TRAGSL</v>
      </c>
      <c r="C27" t="str">
        <f t="shared" si="3"/>
        <v>GSL</v>
      </c>
      <c r="D27" t="str">
        <f t="shared" si="4"/>
        <v>TRAGSL</v>
      </c>
      <c r="E27" s="14"/>
      <c r="F27" s="14"/>
      <c r="G27" s="149">
        <v>1</v>
      </c>
      <c r="H27" s="150">
        <v>50</v>
      </c>
      <c r="J27" s="200"/>
      <c r="K27" s="200"/>
      <c r="L27" s="200" t="str">
        <f t="shared" si="5"/>
        <v>FTE-TRAGSL</v>
      </c>
      <c r="M27" s="202" t="str">
        <f t="shared" si="6"/>
        <v>Sector Fuel Technology Existing Transport Motor spirit</v>
      </c>
      <c r="N27" s="200" t="str">
        <f t="shared" si="1"/>
        <v>PJ</v>
      </c>
      <c r="O27" s="200" t="str">
        <f t="shared" si="2"/>
        <v>PJa</v>
      </c>
      <c r="P27" s="200"/>
      <c r="Q27" s="200"/>
      <c r="R27" s="200"/>
    </row>
    <row r="28" spans="2:18" x14ac:dyDescent="0.35">
      <c r="B28" t="str">
        <f t="shared" si="7"/>
        <v>FTE-TRAHFO</v>
      </c>
      <c r="C28" t="str">
        <f t="shared" si="3"/>
        <v>HFO</v>
      </c>
      <c r="D28" t="str">
        <f t="shared" si="4"/>
        <v>TRAHFO</v>
      </c>
      <c r="E28" s="14"/>
      <c r="F28" s="14"/>
      <c r="G28" s="149">
        <v>1</v>
      </c>
      <c r="H28" s="150">
        <v>50</v>
      </c>
      <c r="J28" s="200"/>
      <c r="K28" s="200"/>
      <c r="L28" s="200" t="str">
        <f t="shared" si="5"/>
        <v>FTE-TRAHFO</v>
      </c>
      <c r="M28" s="202" t="str">
        <f t="shared" si="6"/>
        <v>Sector Fuel Technology Existing Transport Heavy Fuel Oil</v>
      </c>
      <c r="N28" s="200" t="str">
        <f t="shared" si="1"/>
        <v>PJ</v>
      </c>
      <c r="O28" s="200" t="str">
        <f t="shared" si="2"/>
        <v>PJa</v>
      </c>
      <c r="P28" s="200"/>
      <c r="Q28" s="200"/>
      <c r="R28" s="200"/>
    </row>
    <row r="29" spans="2:18" x14ac:dyDescent="0.35">
      <c r="B29" t="str">
        <f t="shared" si="7"/>
        <v>FTE-TRAELC</v>
      </c>
      <c r="C29" t="str">
        <f t="shared" si="3"/>
        <v>ELC</v>
      </c>
      <c r="D29" t="str">
        <f t="shared" si="4"/>
        <v>TRAELC</v>
      </c>
      <c r="E29" s="14"/>
      <c r="F29" s="14"/>
      <c r="G29" s="149">
        <v>1</v>
      </c>
      <c r="H29" s="150">
        <v>50</v>
      </c>
      <c r="J29" s="200"/>
      <c r="K29" s="200"/>
      <c r="L29" s="200" t="str">
        <f t="shared" si="5"/>
        <v>FTE-TRAELC</v>
      </c>
      <c r="M29" s="202" t="str">
        <f t="shared" si="6"/>
        <v>Sector Fuel Technology Existing Transport Electricity</v>
      </c>
      <c r="N29" s="200" t="str">
        <f t="shared" si="1"/>
        <v>PJ</v>
      </c>
      <c r="O29" s="200" t="str">
        <f t="shared" si="2"/>
        <v>PJa</v>
      </c>
      <c r="P29" s="200"/>
      <c r="Q29" s="200"/>
      <c r="R29" s="200"/>
    </row>
    <row r="30" spans="2:18" x14ac:dyDescent="0.35">
      <c r="B30" t="str">
        <f t="shared" si="7"/>
        <v>FTE-TRAGAS</v>
      </c>
      <c r="C30" t="str">
        <f t="shared" si="3"/>
        <v>GAS</v>
      </c>
      <c r="D30" t="str">
        <f>L12</f>
        <v>TRAGAS</v>
      </c>
      <c r="E30" s="14"/>
      <c r="F30" s="14"/>
      <c r="G30" s="149">
        <v>1</v>
      </c>
      <c r="H30" s="150">
        <v>50</v>
      </c>
      <c r="J30" s="200"/>
      <c r="K30" s="200"/>
      <c r="L30" s="200" t="str">
        <f t="shared" si="5"/>
        <v>FTE-TRAGAS</v>
      </c>
      <c r="M30" s="202" t="str">
        <f t="shared" si="6"/>
        <v>Sector Fuel Technology Existing Transport Natural Gas</v>
      </c>
      <c r="N30" s="200" t="str">
        <f t="shared" si="1"/>
        <v>PJ</v>
      </c>
      <c r="O30" s="200" t="str">
        <f t="shared" si="2"/>
        <v>PJa</v>
      </c>
      <c r="P30" s="200"/>
      <c r="Q30" s="200"/>
      <c r="R30" s="200"/>
    </row>
    <row r="31" spans="2:18" x14ac:dyDescent="0.35">
      <c r="B31" s="33" t="str">
        <f>Sector_Fuels!L31</f>
        <v>FTE-ELCCOA</v>
      </c>
      <c r="C31" t="str">
        <f>RIGHT(D31,3)</f>
        <v>COA</v>
      </c>
      <c r="D31" s="33" t="str">
        <f>L13</f>
        <v>ELCCOA</v>
      </c>
      <c r="E31" s="14"/>
      <c r="F31" s="14"/>
      <c r="G31" s="149">
        <v>1</v>
      </c>
      <c r="H31" s="150">
        <v>50</v>
      </c>
      <c r="J31" s="203"/>
      <c r="K31" s="203"/>
      <c r="L31" s="200" t="str">
        <f t="shared" si="5"/>
        <v>FTE-ELCCOA</v>
      </c>
      <c r="M31" s="202" t="str">
        <f t="shared" si="6"/>
        <v>Sector Fuel Technology Existing Electricity Plants Solid Fuels</v>
      </c>
      <c r="N31" s="200" t="str">
        <f t="shared" si="1"/>
        <v>PJ</v>
      </c>
      <c r="O31" s="200" t="str">
        <f t="shared" si="2"/>
        <v>PJa</v>
      </c>
      <c r="P31" s="200"/>
      <c r="Q31" s="200"/>
      <c r="R31" s="200"/>
    </row>
    <row r="32" spans="2:18" x14ac:dyDescent="0.35">
      <c r="B32" s="33" t="str">
        <f>Sector_Fuels!L32</f>
        <v>FTE-ELCGAS</v>
      </c>
      <c r="C32" t="str">
        <f>RIGHT(D32,3)</f>
        <v>GAS</v>
      </c>
      <c r="D32" s="33" t="str">
        <f>L14</f>
        <v>ELCGAS</v>
      </c>
      <c r="E32" s="14"/>
      <c r="F32" s="14"/>
      <c r="G32" s="149">
        <v>1</v>
      </c>
      <c r="H32" s="150">
        <v>50</v>
      </c>
      <c r="J32" s="203"/>
      <c r="K32" s="203"/>
      <c r="L32" s="200" t="str">
        <f t="shared" si="5"/>
        <v>FTE-ELCGAS</v>
      </c>
      <c r="M32" s="202" t="str">
        <f t="shared" si="6"/>
        <v>Sector Fuel Technology Existing Electricity Plants Natural Gas</v>
      </c>
      <c r="N32" s="200" t="str">
        <f t="shared" si="1"/>
        <v>PJ</v>
      </c>
      <c r="O32" s="200" t="str">
        <f t="shared" si="2"/>
        <v>PJa</v>
      </c>
      <c r="P32" s="200"/>
      <c r="Q32" s="200"/>
      <c r="R32" s="200"/>
    </row>
    <row r="33" spans="2:18" x14ac:dyDescent="0.35">
      <c r="B33" s="33" t="str">
        <f>Sector_Fuels!L33</f>
        <v>FTE-ELCOIL</v>
      </c>
      <c r="C33" t="str">
        <f>EnergyBalance!G$2</f>
        <v>DSL</v>
      </c>
      <c r="D33" s="33" t="str">
        <f>L15</f>
        <v>ELCOIL</v>
      </c>
      <c r="E33" s="148">
        <f>-'EB1'!G$11/-SUM('EB1'!$G$11:$M$11)</f>
        <v>4.9257354796510555E-2</v>
      </c>
      <c r="F33" s="14"/>
      <c r="G33" s="149">
        <v>1</v>
      </c>
      <c r="H33" s="150">
        <v>50</v>
      </c>
      <c r="J33" s="203"/>
      <c r="K33" s="203"/>
      <c r="L33" s="200" t="str">
        <f t="shared" si="5"/>
        <v>FTE-ELCOIL</v>
      </c>
      <c r="M33" s="202" t="str">
        <f t="shared" si="6"/>
        <v>Sector Fuel Technology Existing Electricity Plants Crude Oil</v>
      </c>
      <c r="N33" s="200" t="str">
        <f t="shared" si="1"/>
        <v>PJ</v>
      </c>
      <c r="O33" s="200" t="str">
        <f t="shared" si="2"/>
        <v>PJa</v>
      </c>
      <c r="P33" s="200"/>
      <c r="Q33" s="200"/>
      <c r="R33" s="200"/>
    </row>
    <row r="34" spans="2:18" x14ac:dyDescent="0.35">
      <c r="B34" s="33"/>
      <c r="C34" t="str">
        <f>EnergyBalance!I$2</f>
        <v>LPG</v>
      </c>
      <c r="D34" s="33"/>
      <c r="E34" s="148">
        <f>-'EB1'!I$11/-SUM('EB1'!$G$11:$M$11)</f>
        <v>3.8926710484734312E-2</v>
      </c>
      <c r="F34" s="14"/>
      <c r="G34" s="149"/>
      <c r="H34" s="150"/>
      <c r="J34" s="203"/>
      <c r="K34" s="203"/>
      <c r="L34" s="200" t="str">
        <f t="shared" si="5"/>
        <v>FTE-ELCRNW</v>
      </c>
      <c r="M34" s="202" t="str">
        <f t="shared" si="6"/>
        <v>Sector Fuel Technology Existing Electricity Plants Renewable Energies</v>
      </c>
      <c r="N34" s="200" t="str">
        <f t="shared" si="1"/>
        <v>PJ</v>
      </c>
      <c r="O34" s="200" t="str">
        <f t="shared" si="2"/>
        <v>PJa</v>
      </c>
      <c r="P34" s="200"/>
      <c r="Q34" s="200"/>
      <c r="R34" s="200"/>
    </row>
    <row r="35" spans="2:18" x14ac:dyDescent="0.35">
      <c r="B35" s="33"/>
      <c r="C35" t="str">
        <f>EnergyBalance!L$2</f>
        <v>HFO</v>
      </c>
      <c r="D35" s="33"/>
      <c r="E35" s="148">
        <f>-'EB1'!L$11/-SUM('EB1'!$G$11:$M$11)</f>
        <v>0.85705723214511731</v>
      </c>
      <c r="F35" s="14"/>
      <c r="G35" s="149"/>
      <c r="H35" s="150"/>
      <c r="J35" s="200"/>
      <c r="K35" s="200"/>
      <c r="L35" s="200" t="str">
        <f t="shared" si="5"/>
        <v>FTE-ELCNUC</v>
      </c>
      <c r="M35" s="202" t="str">
        <f t="shared" si="6"/>
        <v>Sector Fuel Technology Existing Electricity Plants Nuclear Energy</v>
      </c>
      <c r="N35" s="200" t="str">
        <f t="shared" si="1"/>
        <v>PJ</v>
      </c>
      <c r="O35" s="200" t="str">
        <f t="shared" si="2"/>
        <v>PJa</v>
      </c>
      <c r="P35" s="200"/>
      <c r="Q35" s="200"/>
      <c r="R35" s="200"/>
    </row>
    <row r="36" spans="2:18" x14ac:dyDescent="0.35">
      <c r="B36" s="33"/>
      <c r="C36" t="str">
        <f>EnergyBalance!M$2</f>
        <v>OPP</v>
      </c>
      <c r="D36" s="33"/>
      <c r="E36" s="148">
        <f>-'EB1'!M$11/-SUM('EB1'!$G$11:$M$11)</f>
        <v>5.4758702573637789E-2</v>
      </c>
      <c r="F36" s="14"/>
      <c r="G36" s="149"/>
      <c r="H36" s="150"/>
    </row>
    <row r="37" spans="2:18" x14ac:dyDescent="0.35">
      <c r="B37" s="33" t="str">
        <f>Sector_Fuels!L34</f>
        <v>FTE-ELCRNW</v>
      </c>
      <c r="C37" t="str">
        <f>RIGHT(D37,3)</f>
        <v>RNW</v>
      </c>
      <c r="D37" s="33" t="str">
        <f>L16</f>
        <v>ELCRNW</v>
      </c>
      <c r="E37" s="14"/>
      <c r="F37" s="14"/>
      <c r="G37" s="149">
        <v>1</v>
      </c>
      <c r="H37" s="150">
        <v>50</v>
      </c>
    </row>
    <row r="38" spans="2:18" x14ac:dyDescent="0.35">
      <c r="B38" s="33" t="str">
        <f>Sector_Fuels!L35</f>
        <v>FTE-ELCNUC</v>
      </c>
      <c r="C38" t="str">
        <f>RIGHT(D38,3)</f>
        <v>NUC</v>
      </c>
      <c r="D38" s="33" t="str">
        <f>L17</f>
        <v>ELCNUC</v>
      </c>
      <c r="E38" s="14"/>
      <c r="F38" s="14"/>
      <c r="G38" s="149">
        <v>1</v>
      </c>
      <c r="H38" s="150">
        <v>50</v>
      </c>
    </row>
    <row r="42" spans="2:18" x14ac:dyDescent="0.35">
      <c r="B42" s="72"/>
      <c r="C42" s="1" t="s">
        <v>210</v>
      </c>
    </row>
    <row r="43" spans="2:18" x14ac:dyDescent="0.35">
      <c r="B43" s="146"/>
      <c r="C43" s="1" t="s">
        <v>211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1:W24"/>
  <sheetViews>
    <sheetView zoomScaleNormal="100" workbookViewId="0">
      <selection activeCell="L12" sqref="L12"/>
    </sheetView>
  </sheetViews>
  <sheetFormatPr defaultColWidth="8.86328125" defaultRowHeight="12.75" x14ac:dyDescent="0.35"/>
  <cols>
    <col min="1" max="1" width="3" style="33" customWidth="1"/>
    <col min="2" max="2" width="16.59765625" style="33" bestFit="1" customWidth="1"/>
    <col min="3" max="3" width="10.3984375" style="33" customWidth="1"/>
    <col min="4" max="4" width="17.59765625" style="33" bestFit="1" customWidth="1"/>
    <col min="5" max="5" width="12.59765625" style="33" customWidth="1"/>
    <col min="6" max="6" width="12.1328125" style="33" bestFit="1" customWidth="1"/>
    <col min="7" max="7" width="15.1328125" style="33" bestFit="1" customWidth="1"/>
    <col min="8" max="9" width="15.1328125" style="33" customWidth="1"/>
    <col min="10" max="10" width="3.3984375" style="33" bestFit="1" customWidth="1"/>
    <col min="11" max="11" width="7.9296875" style="33" bestFit="1" customWidth="1"/>
    <col min="12" max="12" width="7.9296875" style="33" customWidth="1"/>
    <col min="13" max="13" width="7.86328125" style="33" bestFit="1" customWidth="1"/>
    <col min="14" max="14" width="2" style="33" bestFit="1" customWidth="1"/>
    <col min="15" max="15" width="11.86328125" customWidth="1"/>
    <col min="16" max="16" width="7.59765625" customWidth="1"/>
    <col min="17" max="17" width="13.59765625" bestFit="1" customWidth="1"/>
    <col min="18" max="18" width="20.86328125" bestFit="1" customWidth="1"/>
    <col min="19" max="19" width="6.1328125" customWidth="1"/>
    <col min="20" max="20" width="10.86328125" customWidth="1"/>
    <col min="21" max="21" width="13.59765625" customWidth="1"/>
    <col min="22" max="22" width="13.73046875" customWidth="1"/>
    <col min="23" max="23" width="7.59765625" bestFit="1" customWidth="1"/>
    <col min="24" max="16384" width="8.86328125" style="33"/>
  </cols>
  <sheetData>
    <row r="1" spans="2:23" ht="14.25" x14ac:dyDescent="0.45">
      <c r="B1" s="29" t="s">
        <v>94</v>
      </c>
      <c r="C1" s="9" t="s">
        <v>96</v>
      </c>
      <c r="D1" s="9" t="s">
        <v>146</v>
      </c>
      <c r="E1" s="29" t="s">
        <v>23</v>
      </c>
      <c r="F1" s="29" t="s">
        <v>152</v>
      </c>
      <c r="G1" s="29" t="s">
        <v>99</v>
      </c>
      <c r="H1" s="29"/>
      <c r="I1" s="29"/>
      <c r="J1" s="29"/>
      <c r="K1" s="29"/>
      <c r="L1" s="29"/>
      <c r="M1" s="29" t="s">
        <v>121</v>
      </c>
    </row>
    <row r="2" spans="2:23" ht="15.75" x14ac:dyDescent="0.5">
      <c r="B2" s="12" t="s">
        <v>75</v>
      </c>
      <c r="C2" s="12" t="s">
        <v>193</v>
      </c>
      <c r="D2" s="21" t="s">
        <v>193</v>
      </c>
      <c r="E2" s="12" t="str">
        <f>EnergyBalance!W2</f>
        <v>PJ</v>
      </c>
      <c r="F2" s="12" t="s">
        <v>194</v>
      </c>
      <c r="G2" s="12" t="str">
        <f>EnergyBalance!V2</f>
        <v>M€2005</v>
      </c>
      <c r="H2" s="12"/>
      <c r="I2" s="12"/>
      <c r="J2" s="12"/>
      <c r="K2" s="12"/>
      <c r="L2" s="12"/>
      <c r="M2" s="12" t="s">
        <v>122</v>
      </c>
      <c r="O2" s="195" t="s">
        <v>14</v>
      </c>
      <c r="P2" s="195"/>
      <c r="Q2" s="196"/>
      <c r="R2" s="196"/>
      <c r="S2" s="196"/>
      <c r="T2" s="196"/>
      <c r="U2" s="196"/>
      <c r="V2" s="196"/>
      <c r="W2" s="196"/>
    </row>
    <row r="3" spans="2:23" ht="13.15" x14ac:dyDescent="0.4">
      <c r="O3" s="197" t="s">
        <v>7</v>
      </c>
      <c r="P3" s="198" t="s">
        <v>30</v>
      </c>
      <c r="Q3" s="197" t="s">
        <v>0</v>
      </c>
      <c r="R3" s="197" t="s">
        <v>3</v>
      </c>
      <c r="S3" s="197" t="s">
        <v>4</v>
      </c>
      <c r="T3" s="197" t="s">
        <v>8</v>
      </c>
      <c r="U3" s="197" t="s">
        <v>9</v>
      </c>
      <c r="V3" s="197" t="s">
        <v>10</v>
      </c>
      <c r="W3" s="197" t="s">
        <v>12</v>
      </c>
    </row>
    <row r="4" spans="2:23" ht="21.75" thickBot="1" x14ac:dyDescent="0.5">
      <c r="B4" s="38"/>
      <c r="C4" s="52"/>
      <c r="D4" s="52"/>
      <c r="E4" s="52"/>
      <c r="M4" s="51"/>
      <c r="O4" s="199" t="s">
        <v>40</v>
      </c>
      <c r="P4" s="199" t="s">
        <v>31</v>
      </c>
      <c r="Q4" s="199" t="s">
        <v>26</v>
      </c>
      <c r="R4" s="199" t="s">
        <v>27</v>
      </c>
      <c r="S4" s="199" t="s">
        <v>4</v>
      </c>
      <c r="T4" s="199" t="s">
        <v>43</v>
      </c>
      <c r="U4" s="199" t="s">
        <v>44</v>
      </c>
      <c r="V4" s="199" t="s">
        <v>28</v>
      </c>
      <c r="W4" s="199" t="s">
        <v>29</v>
      </c>
    </row>
    <row r="5" spans="2:23" ht="15.75" x14ac:dyDescent="0.5">
      <c r="B5" s="37"/>
      <c r="C5" s="10"/>
      <c r="D5" s="10"/>
      <c r="E5" s="10"/>
      <c r="M5" s="10"/>
      <c r="O5" s="200"/>
      <c r="P5" s="200"/>
      <c r="Q5" s="200"/>
      <c r="R5" s="200"/>
      <c r="S5" s="200"/>
      <c r="T5" s="200"/>
      <c r="U5" s="200"/>
      <c r="V5" s="200"/>
      <c r="W5" s="200"/>
    </row>
    <row r="6" spans="2:23" x14ac:dyDescent="0.35">
      <c r="M6"/>
    </row>
    <row r="7" spans="2:23" ht="13.15" x14ac:dyDescent="0.4">
      <c r="M7"/>
      <c r="O7" s="2"/>
      <c r="P7" s="2"/>
    </row>
    <row r="8" spans="2:23" ht="13.15" x14ac:dyDescent="0.4">
      <c r="D8" s="5" t="s">
        <v>13</v>
      </c>
      <c r="M8"/>
      <c r="O8" s="195" t="s">
        <v>15</v>
      </c>
      <c r="P8" s="195"/>
      <c r="Q8" s="196"/>
      <c r="R8" s="196"/>
      <c r="S8" s="196"/>
      <c r="T8" s="196"/>
      <c r="U8" s="196"/>
      <c r="V8" s="196"/>
      <c r="W8" s="196"/>
    </row>
    <row r="9" spans="2:23" ht="25.15" customHeight="1" x14ac:dyDescent="0.4">
      <c r="B9" s="218" t="s">
        <v>234</v>
      </c>
      <c r="C9" s="218" t="s">
        <v>235</v>
      </c>
      <c r="D9" s="218" t="s">
        <v>253</v>
      </c>
      <c r="E9" s="218" t="s">
        <v>5</v>
      </c>
      <c r="F9" s="219" t="s">
        <v>6</v>
      </c>
      <c r="G9" s="222" t="s">
        <v>254</v>
      </c>
      <c r="H9" s="222" t="s">
        <v>255</v>
      </c>
      <c r="I9" s="222" t="s">
        <v>256</v>
      </c>
      <c r="J9" s="222">
        <v>0</v>
      </c>
      <c r="K9" s="219" t="s">
        <v>176</v>
      </c>
      <c r="L9" s="219" t="s">
        <v>177</v>
      </c>
      <c r="M9"/>
      <c r="N9" s="35"/>
      <c r="O9" s="197" t="s">
        <v>11</v>
      </c>
      <c r="P9" s="198" t="s">
        <v>30</v>
      </c>
      <c r="Q9" s="197" t="s">
        <v>1</v>
      </c>
      <c r="R9" s="197" t="s">
        <v>2</v>
      </c>
      <c r="S9" s="197" t="s">
        <v>16</v>
      </c>
      <c r="T9" s="197" t="s">
        <v>17</v>
      </c>
      <c r="U9" s="197" t="s">
        <v>18</v>
      </c>
      <c r="V9" s="197" t="s">
        <v>19</v>
      </c>
      <c r="W9" s="197" t="s">
        <v>20</v>
      </c>
    </row>
    <row r="10" spans="2:23" ht="21" thickBot="1" x14ac:dyDescent="0.4">
      <c r="B10" s="223" t="s">
        <v>42</v>
      </c>
      <c r="C10" s="223"/>
      <c r="D10" s="223"/>
      <c r="E10" s="223" t="s">
        <v>32</v>
      </c>
      <c r="F10" s="223" t="s">
        <v>33</v>
      </c>
      <c r="G10" s="223"/>
      <c r="H10" s="223"/>
      <c r="I10" s="223"/>
      <c r="J10" s="223"/>
      <c r="K10" s="223"/>
      <c r="L10" s="223"/>
      <c r="M10"/>
      <c r="O10" s="199" t="s">
        <v>41</v>
      </c>
      <c r="P10" s="199" t="s">
        <v>31</v>
      </c>
      <c r="Q10" s="199" t="s">
        <v>21</v>
      </c>
      <c r="R10" s="199" t="s">
        <v>22</v>
      </c>
      <c r="S10" s="199" t="s">
        <v>23</v>
      </c>
      <c r="T10" s="199" t="s">
        <v>24</v>
      </c>
      <c r="U10" s="199" t="s">
        <v>46</v>
      </c>
      <c r="V10" s="199" t="s">
        <v>45</v>
      </c>
      <c r="W10" s="199" t="s">
        <v>25</v>
      </c>
    </row>
    <row r="11" spans="2:23" ht="13.15" thickBot="1" x14ac:dyDescent="0.4">
      <c r="B11" s="224" t="s">
        <v>281</v>
      </c>
      <c r="C11" s="224" t="s">
        <v>101</v>
      </c>
      <c r="D11" s="224"/>
      <c r="E11" s="224" t="s">
        <v>49</v>
      </c>
      <c r="F11" s="224"/>
      <c r="G11" s="224" t="s">
        <v>265</v>
      </c>
      <c r="H11" s="224"/>
      <c r="I11" s="224" t="s">
        <v>260</v>
      </c>
      <c r="J11" s="232">
        <v>5</v>
      </c>
      <c r="K11" s="232">
        <f>SUM('EB1'!G13:M13)</f>
        <v>9400.4213999999993</v>
      </c>
      <c r="L11" s="232">
        <f>SUM('EB2'!G13:M13)</f>
        <v>21934.316600000002</v>
      </c>
      <c r="M11"/>
      <c r="O11" s="199" t="s">
        <v>104</v>
      </c>
      <c r="P11" s="199"/>
      <c r="Q11" s="199"/>
      <c r="R11" s="199"/>
      <c r="S11" s="199"/>
      <c r="T11" s="199"/>
      <c r="U11" s="199"/>
      <c r="V11" s="199"/>
      <c r="W11" s="199"/>
    </row>
    <row r="12" spans="2:23" x14ac:dyDescent="0.35">
      <c r="B12" s="224" t="s">
        <v>281</v>
      </c>
      <c r="C12" s="224" t="s">
        <v>258</v>
      </c>
      <c r="D12" s="224" t="s">
        <v>259</v>
      </c>
      <c r="E12" s="224" t="s">
        <v>49</v>
      </c>
      <c r="F12" s="224"/>
      <c r="G12" s="224"/>
      <c r="H12" s="224"/>
      <c r="I12" s="224" t="s">
        <v>260</v>
      </c>
      <c r="J12" s="228"/>
      <c r="K12" s="232">
        <f>-SUM('EB1'!F13)/SUM('EB1'!G13:M13)</f>
        <v>1.0128203720739584</v>
      </c>
      <c r="L12" s="232">
        <f>-SUM('EB2'!F13)/SUM('EB2'!G13:M13)</f>
        <v>1.0128203720739584</v>
      </c>
      <c r="M12"/>
      <c r="O12" s="196" t="s">
        <v>144</v>
      </c>
      <c r="P12" s="200"/>
      <c r="Q12" s="200" t="str">
        <f>$B$2&amp;$M$2&amp;EnergyBalance!F2&amp;"00"</f>
        <v>REFEOIL00</v>
      </c>
      <c r="R12" s="202" t="str">
        <f>$D$2&amp;" "&amp;$M$1&amp;RIGHT(Q12,2)</f>
        <v>Refinery Existing00</v>
      </c>
      <c r="S12" s="200" t="str">
        <f>$E$2</f>
        <v>PJ</v>
      </c>
      <c r="T12" s="200" t="str">
        <f>$F$2</f>
        <v>Pja</v>
      </c>
      <c r="U12" s="196"/>
      <c r="V12" s="196" t="s">
        <v>195</v>
      </c>
      <c r="W12" s="200"/>
    </row>
    <row r="13" spans="2:23" x14ac:dyDescent="0.35">
      <c r="B13" s="224" t="s">
        <v>281</v>
      </c>
      <c r="C13" s="224" t="s">
        <v>282</v>
      </c>
      <c r="D13" s="224" t="s">
        <v>283</v>
      </c>
      <c r="E13" s="224" t="s">
        <v>49</v>
      </c>
      <c r="F13" s="224" t="s">
        <v>181</v>
      </c>
      <c r="G13" s="224" t="s">
        <v>265</v>
      </c>
      <c r="H13" s="224"/>
      <c r="I13" s="224" t="s">
        <v>260</v>
      </c>
      <c r="J13" s="232">
        <v>5</v>
      </c>
      <c r="K13" s="242">
        <f>'EB1'!G$13/SUM('EB1'!$G$13:$M$13)</f>
        <v>0.36389900563393895</v>
      </c>
      <c r="L13" s="242">
        <f>'EB2'!G$13/SUM('EB2'!$G$13:$M$13)</f>
        <v>0.3638990056339389</v>
      </c>
      <c r="M13"/>
      <c r="R13" s="20"/>
    </row>
    <row r="14" spans="2:23" x14ac:dyDescent="0.35">
      <c r="B14" s="224" t="s">
        <v>281</v>
      </c>
      <c r="C14" s="224" t="s">
        <v>282</v>
      </c>
      <c r="D14" s="224" t="s">
        <v>283</v>
      </c>
      <c r="E14" s="224"/>
      <c r="F14" s="224" t="s">
        <v>184</v>
      </c>
      <c r="G14" s="224" t="s">
        <v>265</v>
      </c>
      <c r="H14" s="224"/>
      <c r="I14" s="224" t="s">
        <v>260</v>
      </c>
      <c r="J14" s="232">
        <v>5</v>
      </c>
      <c r="K14" s="242">
        <f>'EB1'!J$13/SUM('EB1'!$G$13:$M$13)</f>
        <v>0.21413371957984778</v>
      </c>
      <c r="L14" s="242">
        <f>'EB2'!J$13/SUM('EB2'!$G$13:$M$13)</f>
        <v>0.21413371957984775</v>
      </c>
      <c r="M14"/>
      <c r="R14" s="20"/>
    </row>
    <row r="15" spans="2:23" x14ac:dyDescent="0.35">
      <c r="B15" s="224" t="s">
        <v>281</v>
      </c>
      <c r="C15" s="224" t="s">
        <v>282</v>
      </c>
      <c r="D15" s="224" t="s">
        <v>283</v>
      </c>
      <c r="E15" s="224"/>
      <c r="F15" s="224" t="s">
        <v>186</v>
      </c>
      <c r="G15" s="224" t="s">
        <v>265</v>
      </c>
      <c r="H15" s="224"/>
      <c r="I15" s="224" t="s">
        <v>260</v>
      </c>
      <c r="J15" s="232">
        <v>5</v>
      </c>
      <c r="K15" s="242">
        <f>'EB1'!L$13/SUM('EB1'!$G$13:$M$13)</f>
        <v>0.14585103599717347</v>
      </c>
      <c r="L15" s="242">
        <f>'EB2'!L$13/SUM('EB2'!$G$13:$M$13)</f>
        <v>0.14585103599717344</v>
      </c>
      <c r="M15"/>
      <c r="R15" s="20"/>
    </row>
    <row r="16" spans="2:23" x14ac:dyDescent="0.35">
      <c r="B16" s="224" t="s">
        <v>281</v>
      </c>
      <c r="C16" s="224" t="s">
        <v>282</v>
      </c>
      <c r="D16" s="224" t="s">
        <v>283</v>
      </c>
      <c r="E16" s="224"/>
      <c r="F16" s="224" t="s">
        <v>182</v>
      </c>
      <c r="G16" s="224" t="s">
        <v>265</v>
      </c>
      <c r="H16" s="224"/>
      <c r="I16" s="224" t="s">
        <v>260</v>
      </c>
      <c r="J16" s="232">
        <v>5</v>
      </c>
      <c r="K16" s="242">
        <f>'EB1'!H$13/SUM('EB1'!$G$13:$M$13)</f>
        <v>6.1878800454626424E-2</v>
      </c>
      <c r="L16" s="242">
        <f>'EB2'!H$13/SUM('EB2'!$G$13:$M$13)</f>
        <v>6.1878800454626418E-2</v>
      </c>
      <c r="M16"/>
      <c r="R16" s="20"/>
      <c r="U16" s="1"/>
    </row>
    <row r="17" spans="2:21" x14ac:dyDescent="0.35">
      <c r="B17" s="224" t="s">
        <v>281</v>
      </c>
      <c r="C17" s="224" t="s">
        <v>282</v>
      </c>
      <c r="D17" s="224" t="s">
        <v>283</v>
      </c>
      <c r="E17" s="224"/>
      <c r="F17" s="224" t="s">
        <v>183</v>
      </c>
      <c r="G17" s="224" t="s">
        <v>265</v>
      </c>
      <c r="H17" s="224"/>
      <c r="I17" s="224" t="s">
        <v>260</v>
      </c>
      <c r="J17" s="232">
        <v>5</v>
      </c>
      <c r="K17" s="242">
        <f>'EB1'!I$13/SUM('EB1'!$G$13:$M$13)</f>
        <v>6.9335444898246806E-2</v>
      </c>
      <c r="L17" s="242">
        <f>'EB2'!I$13/SUM('EB2'!$G$13:$M$13)</f>
        <v>6.9335444898246792E-2</v>
      </c>
      <c r="M17"/>
      <c r="U17" s="1"/>
    </row>
    <row r="18" spans="2:21" x14ac:dyDescent="0.35">
      <c r="B18" s="224" t="s">
        <v>281</v>
      </c>
      <c r="C18" s="224" t="s">
        <v>282</v>
      </c>
      <c r="D18" s="224" t="s">
        <v>283</v>
      </c>
      <c r="E18" s="224"/>
      <c r="F18" s="224" t="s">
        <v>185</v>
      </c>
      <c r="G18" s="224" t="s">
        <v>265</v>
      </c>
      <c r="H18" s="224"/>
      <c r="I18" s="224" t="s">
        <v>260</v>
      </c>
      <c r="J18" s="232">
        <v>5</v>
      </c>
      <c r="K18" s="242">
        <f>'EB1'!K$13/SUM('EB1'!$G$13:$M$13)</f>
        <v>6.1930500264594519E-2</v>
      </c>
      <c r="L18" s="242">
        <f>'EB2'!K$13/SUM('EB2'!$G$13:$M$13)</f>
        <v>6.1930500264594526E-2</v>
      </c>
      <c r="M18"/>
    </row>
    <row r="19" spans="2:21" x14ac:dyDescent="0.35">
      <c r="B19" s="224" t="s">
        <v>281</v>
      </c>
      <c r="C19" s="224" t="s">
        <v>282</v>
      </c>
      <c r="D19" s="224" t="s">
        <v>283</v>
      </c>
      <c r="E19" s="224"/>
      <c r="F19" s="224" t="s">
        <v>187</v>
      </c>
      <c r="G19" s="224" t="s">
        <v>265</v>
      </c>
      <c r="H19" s="224"/>
      <c r="I19" s="224" t="s">
        <v>260</v>
      </c>
      <c r="J19" s="232">
        <v>5</v>
      </c>
      <c r="K19" s="242">
        <f>'EB1'!M$13/SUM('EB1'!$G$13:$M$13)</f>
        <v>8.2971493171572083E-2</v>
      </c>
      <c r="L19" s="242">
        <f>'EB2'!M$13/SUM('EB2'!$G$13:$M$13)</f>
        <v>8.2971493171572056E-2</v>
      </c>
      <c r="M19"/>
    </row>
    <row r="20" spans="2:21" x14ac:dyDescent="0.35">
      <c r="E20" s="53"/>
      <c r="M20"/>
    </row>
    <row r="23" spans="2:21" x14ac:dyDescent="0.35">
      <c r="B23" s="72"/>
      <c r="C23" s="1" t="s">
        <v>210</v>
      </c>
    </row>
    <row r="24" spans="2:21" x14ac:dyDescent="0.35">
      <c r="B24" s="146"/>
      <c r="C24" s="1" t="s">
        <v>211</v>
      </c>
    </row>
  </sheetData>
  <pageMargins left="0.7" right="0.7" top="0.75" bottom="0.75" header="0.3" footer="0.3"/>
  <drawing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1:AC55"/>
  <sheetViews>
    <sheetView topLeftCell="A4" zoomScale="90" zoomScaleNormal="90" workbookViewId="0">
      <selection activeCell="S12" sqref="S12"/>
    </sheetView>
  </sheetViews>
  <sheetFormatPr defaultColWidth="8.86328125" defaultRowHeight="12.75" x14ac:dyDescent="0.35"/>
  <cols>
    <col min="1" max="1" width="3" style="33" customWidth="1"/>
    <col min="2" max="2" width="16.3984375" style="33" customWidth="1"/>
    <col min="3" max="3" width="12.1328125" style="33" bestFit="1" customWidth="1"/>
    <col min="4" max="4" width="11.265625" style="33" bestFit="1" customWidth="1"/>
    <col min="5" max="5" width="13.86328125" style="33" customWidth="1"/>
    <col min="6" max="6" width="13.73046875" style="33" customWidth="1"/>
    <col min="7" max="7" width="8.73046875" style="33" customWidth="1"/>
    <col min="8" max="8" width="7.1328125" style="33" bestFit="1" customWidth="1"/>
    <col min="9" max="9" width="9.73046875" style="33" customWidth="1"/>
    <col min="10" max="10" width="3.46484375" style="33" bestFit="1" customWidth="1"/>
    <col min="11" max="11" width="5.1328125" style="33" bestFit="1" customWidth="1"/>
    <col min="12" max="13" width="5.6640625" style="33" bestFit="1" customWidth="1"/>
    <col min="14" max="14" width="4.73046875" style="33" bestFit="1" customWidth="1"/>
    <col min="15" max="16" width="10.73046875" style="33" bestFit="1" customWidth="1"/>
    <col min="17" max="17" width="4.73046875" style="33" bestFit="1" customWidth="1"/>
    <col min="18" max="18" width="2" style="33" bestFit="1" customWidth="1"/>
    <col min="19" max="19" width="13.59765625" style="33" bestFit="1" customWidth="1"/>
    <col min="20" max="20" width="2" style="33" bestFit="1" customWidth="1"/>
    <col min="21" max="21" width="10.86328125" customWidth="1"/>
    <col min="22" max="22" width="7.3984375" bestFit="1" customWidth="1"/>
    <col min="23" max="23" width="14.1328125" customWidth="1"/>
    <col min="24" max="24" width="39.3984375" bestFit="1" customWidth="1"/>
    <col min="25" max="25" width="6.265625" customWidth="1"/>
    <col min="26" max="26" width="10.3984375" bestFit="1" customWidth="1"/>
    <col min="27" max="27" width="13" customWidth="1"/>
    <col min="28" max="28" width="13.73046875" customWidth="1"/>
    <col min="29" max="29" width="7.59765625" bestFit="1" customWidth="1"/>
    <col min="30" max="16384" width="8.86328125" style="33"/>
  </cols>
  <sheetData>
    <row r="1" spans="2:29" ht="28.5" x14ac:dyDescent="0.45">
      <c r="B1" s="29" t="s">
        <v>94</v>
      </c>
      <c r="C1" s="9" t="s">
        <v>96</v>
      </c>
      <c r="D1" s="9" t="s">
        <v>146</v>
      </c>
      <c r="E1" s="29" t="s">
        <v>23</v>
      </c>
      <c r="F1" s="29" t="s">
        <v>152</v>
      </c>
      <c r="G1" s="29" t="s">
        <v>99</v>
      </c>
      <c r="I1" s="29" t="s">
        <v>121</v>
      </c>
      <c r="J1" s="51"/>
    </row>
    <row r="2" spans="2:29" ht="31.5" x14ac:dyDescent="0.5">
      <c r="B2" s="12" t="str">
        <f>EnergyBalance!B11</f>
        <v>ELC</v>
      </c>
      <c r="C2" s="21" t="str">
        <f>EnergyBalance!C11</f>
        <v>Electricity Plants</v>
      </c>
      <c r="D2" s="21" t="s">
        <v>153</v>
      </c>
      <c r="E2" s="12" t="str">
        <f>EnergyBalance!W2</f>
        <v>PJ</v>
      </c>
      <c r="F2" s="12" t="s">
        <v>154</v>
      </c>
      <c r="G2" s="12" t="str">
        <f>EnergyBalance!V2</f>
        <v>M€2005</v>
      </c>
      <c r="I2" s="12" t="s">
        <v>122</v>
      </c>
      <c r="J2" s="10"/>
      <c r="U2" s="195" t="s">
        <v>14</v>
      </c>
      <c r="V2" s="195"/>
      <c r="W2" s="196"/>
      <c r="X2" s="196"/>
      <c r="Y2" s="196"/>
      <c r="Z2" s="196"/>
      <c r="AA2" s="196"/>
      <c r="AB2" s="196"/>
      <c r="AC2" s="196"/>
    </row>
    <row r="3" spans="2:29" ht="13.15" x14ac:dyDescent="0.4">
      <c r="U3" s="197" t="s">
        <v>7</v>
      </c>
      <c r="V3" s="198" t="s">
        <v>30</v>
      </c>
      <c r="W3" s="197" t="s">
        <v>0</v>
      </c>
      <c r="X3" s="197" t="s">
        <v>3</v>
      </c>
      <c r="Y3" s="197" t="s">
        <v>4</v>
      </c>
      <c r="Z3" s="197" t="s">
        <v>8</v>
      </c>
      <c r="AA3" s="197" t="s">
        <v>9</v>
      </c>
      <c r="AB3" s="197" t="s">
        <v>10</v>
      </c>
      <c r="AC3" s="197" t="s">
        <v>12</v>
      </c>
    </row>
    <row r="4" spans="2:29" ht="22.15" thickBot="1" x14ac:dyDescent="0.55000000000000004">
      <c r="B4" s="38" t="s">
        <v>157</v>
      </c>
      <c r="C4" s="9" t="s">
        <v>164</v>
      </c>
      <c r="D4" s="9" t="s">
        <v>158</v>
      </c>
      <c r="E4" s="9" t="s">
        <v>159</v>
      </c>
      <c r="F4" s="9" t="s">
        <v>178</v>
      </c>
      <c r="H4" s="10"/>
      <c r="U4" s="199" t="s">
        <v>40</v>
      </c>
      <c r="V4" s="199" t="s">
        <v>31</v>
      </c>
      <c r="W4" s="199" t="s">
        <v>26</v>
      </c>
      <c r="X4" s="199" t="s">
        <v>27</v>
      </c>
      <c r="Y4" s="199" t="s">
        <v>4</v>
      </c>
      <c r="Z4" s="199" t="s">
        <v>43</v>
      </c>
      <c r="AA4" s="199" t="s">
        <v>44</v>
      </c>
      <c r="AB4" s="199" t="s">
        <v>28</v>
      </c>
      <c r="AC4" s="199" t="s">
        <v>29</v>
      </c>
    </row>
    <row r="5" spans="2:29" ht="15.75" x14ac:dyDescent="0.5">
      <c r="B5" s="37" t="s">
        <v>163</v>
      </c>
      <c r="C5" s="12" t="s">
        <v>162</v>
      </c>
      <c r="D5" s="12" t="s">
        <v>161</v>
      </c>
      <c r="E5" s="12" t="s">
        <v>160</v>
      </c>
      <c r="F5" s="12" t="s">
        <v>123</v>
      </c>
      <c r="H5" s="10"/>
      <c r="U5" s="196" t="s">
        <v>93</v>
      </c>
      <c r="V5" s="200"/>
      <c r="W5" s="196" t="str">
        <f>EnergyBalance!$R$2</f>
        <v>ELC</v>
      </c>
      <c r="X5" s="196" t="str">
        <f>EnergyBalance!$R$3</f>
        <v>Electricity</v>
      </c>
      <c r="Y5" s="196" t="str">
        <f>$E$2</f>
        <v>PJ</v>
      </c>
      <c r="Z5" s="196"/>
      <c r="AA5" s="196" t="s">
        <v>173</v>
      </c>
      <c r="AB5" s="196"/>
      <c r="AC5" s="196" t="s">
        <v>54</v>
      </c>
    </row>
    <row r="6" spans="2:29" x14ac:dyDescent="0.35">
      <c r="U6" s="200" t="s">
        <v>137</v>
      </c>
      <c r="V6" s="200"/>
      <c r="W6" s="200" t="str">
        <f>$B$2&amp;EnergyBalance!$C$52</f>
        <v>ELCCO2</v>
      </c>
      <c r="X6" s="200" t="str">
        <f>$C$2&amp;" "&amp;EnergyBalance!$C$53</f>
        <v>Electricity Plants Carbon dioxide</v>
      </c>
      <c r="Y6" s="200" t="str">
        <f>EnergyBalance!$X$2</f>
        <v>kt</v>
      </c>
      <c r="Z6" s="200"/>
      <c r="AA6" s="200"/>
      <c r="AB6" s="200"/>
      <c r="AC6" s="200"/>
    </row>
    <row r="7" spans="2:29" ht="13.15" x14ac:dyDescent="0.4">
      <c r="U7" s="2"/>
      <c r="V7" s="2"/>
    </row>
    <row r="8" spans="2:29" ht="13.15" x14ac:dyDescent="0.4">
      <c r="C8" s="5" t="s">
        <v>13</v>
      </c>
      <c r="U8" s="195" t="s">
        <v>15</v>
      </c>
      <c r="V8" s="195"/>
      <c r="W8" s="196"/>
      <c r="X8" s="196"/>
      <c r="Y8" s="196"/>
      <c r="Z8" s="196"/>
      <c r="AA8" s="196"/>
      <c r="AB8" s="196"/>
      <c r="AC8" s="196"/>
    </row>
    <row r="9" spans="2:29" ht="12.75" customHeight="1" x14ac:dyDescent="0.4">
      <c r="B9" s="218" t="s">
        <v>234</v>
      </c>
      <c r="C9" s="218" t="s">
        <v>235</v>
      </c>
      <c r="D9" s="218" t="s">
        <v>253</v>
      </c>
      <c r="E9" s="218" t="s">
        <v>5</v>
      </c>
      <c r="F9" s="219" t="s">
        <v>6</v>
      </c>
      <c r="G9" s="222" t="s">
        <v>254</v>
      </c>
      <c r="H9" s="222" t="s">
        <v>255</v>
      </c>
      <c r="I9" s="222" t="s">
        <v>256</v>
      </c>
      <c r="J9" s="222">
        <v>0</v>
      </c>
      <c r="K9" s="219">
        <v>2005</v>
      </c>
      <c r="L9" s="222" t="s">
        <v>176</v>
      </c>
      <c r="M9" s="222" t="s">
        <v>177</v>
      </c>
      <c r="N9" s="219">
        <v>2025</v>
      </c>
      <c r="O9" s="222" t="s">
        <v>307</v>
      </c>
      <c r="P9" s="222" t="s">
        <v>308</v>
      </c>
      <c r="Q9" s="219">
        <v>2035</v>
      </c>
      <c r="R9" s="35"/>
      <c r="S9" s="165" t="s">
        <v>165</v>
      </c>
      <c r="T9" s="45"/>
      <c r="U9" s="197" t="s">
        <v>11</v>
      </c>
      <c r="V9" s="198" t="s">
        <v>30</v>
      </c>
      <c r="W9" s="197" t="s">
        <v>1</v>
      </c>
      <c r="X9" s="197" t="s">
        <v>2</v>
      </c>
      <c r="Y9" s="197" t="s">
        <v>16</v>
      </c>
      <c r="Z9" s="197" t="s">
        <v>17</v>
      </c>
      <c r="AA9" s="197" t="s">
        <v>18</v>
      </c>
      <c r="AB9" s="197" t="s">
        <v>19</v>
      </c>
      <c r="AC9" s="197" t="s">
        <v>20</v>
      </c>
    </row>
    <row r="10" spans="2:29" ht="21" thickBot="1" x14ac:dyDescent="0.4">
      <c r="B10" s="223" t="s">
        <v>42</v>
      </c>
      <c r="C10" s="223"/>
      <c r="D10" s="223"/>
      <c r="E10" s="223" t="s">
        <v>32</v>
      </c>
      <c r="F10" s="223" t="s">
        <v>33</v>
      </c>
      <c r="G10" s="223"/>
      <c r="H10" s="223"/>
      <c r="I10" s="223"/>
      <c r="J10" s="223"/>
      <c r="K10" s="223"/>
      <c r="L10" s="223"/>
      <c r="M10" s="223"/>
      <c r="N10" s="223"/>
      <c r="O10" s="231"/>
      <c r="P10" s="231"/>
      <c r="Q10" s="231"/>
      <c r="S10" s="48" t="s">
        <v>156</v>
      </c>
      <c r="T10" s="46"/>
      <c r="U10" s="199" t="s">
        <v>41</v>
      </c>
      <c r="V10" s="199" t="s">
        <v>31</v>
      </c>
      <c r="W10" s="199" t="s">
        <v>21</v>
      </c>
      <c r="X10" s="199" t="s">
        <v>22</v>
      </c>
      <c r="Y10" s="199" t="s">
        <v>23</v>
      </c>
      <c r="Z10" s="199" t="s">
        <v>24</v>
      </c>
      <c r="AA10" s="199" t="s">
        <v>46</v>
      </c>
      <c r="AB10" s="199" t="s">
        <v>45</v>
      </c>
      <c r="AC10" s="199" t="s">
        <v>25</v>
      </c>
    </row>
    <row r="11" spans="2:29" ht="13.15" thickBot="1" x14ac:dyDescent="0.4">
      <c r="B11" s="224" t="s">
        <v>298</v>
      </c>
      <c r="C11" s="224" t="s">
        <v>299</v>
      </c>
      <c r="D11" s="224"/>
      <c r="E11" s="33" t="str">
        <f>$B$2&amp;RIGHT(Sector_Fuels!$L$17,3)</f>
        <v>ELCNUC</v>
      </c>
      <c r="F11" s="33" t="str">
        <f>$W$5</f>
        <v>ELC</v>
      </c>
      <c r="G11" s="224"/>
      <c r="H11" s="224" t="s">
        <v>267</v>
      </c>
      <c r="I11" s="224"/>
      <c r="J11" s="228"/>
      <c r="K11" s="232">
        <v>0.27</v>
      </c>
      <c r="L11" s="232"/>
      <c r="M11" s="232"/>
      <c r="N11" s="228"/>
      <c r="O11" s="228"/>
      <c r="P11" s="228"/>
      <c r="Q11" s="228"/>
      <c r="S11" s="43" t="s">
        <v>176</v>
      </c>
      <c r="T11" s="46"/>
      <c r="U11" s="199" t="s">
        <v>104</v>
      </c>
      <c r="V11" s="199"/>
      <c r="W11" s="199"/>
      <c r="X11" s="199"/>
      <c r="Y11" s="199"/>
      <c r="Z11" s="199"/>
      <c r="AA11" s="199"/>
      <c r="AB11" s="199"/>
      <c r="AC11" s="199"/>
    </row>
    <row r="12" spans="2:29" x14ac:dyDescent="0.35">
      <c r="B12" s="224" t="s">
        <v>298</v>
      </c>
      <c r="C12" s="224" t="s">
        <v>258</v>
      </c>
      <c r="D12" s="224" t="s">
        <v>259</v>
      </c>
      <c r="E12" s="224"/>
      <c r="F12" s="224"/>
      <c r="G12" s="224"/>
      <c r="H12" s="224"/>
      <c r="I12" s="224" t="s">
        <v>260</v>
      </c>
      <c r="J12" s="228"/>
      <c r="K12" s="232">
        <v>0.33</v>
      </c>
      <c r="L12" s="232"/>
      <c r="M12" s="232"/>
      <c r="N12" s="228"/>
      <c r="O12" s="228"/>
      <c r="P12" s="228"/>
      <c r="Q12" s="228"/>
      <c r="S12" s="44" t="e">
        <f>#REF!*#REF!*#REF!</f>
        <v>#REF!</v>
      </c>
      <c r="T12" s="46"/>
      <c r="U12" s="200" t="s">
        <v>155</v>
      </c>
      <c r="V12" s="200"/>
      <c r="W12" s="200" t="str">
        <f>$B$2&amp;$C$5&amp;$I$2&amp;RIGHT(Sector_Fuels!$L$13,3)&amp;"00"</f>
        <v>ELCTECOA00</v>
      </c>
      <c r="X12" s="202" t="str">
        <f>$D$2&amp;" "&amp;$I$1&amp;RIGHT(W12,2)&amp;" - "&amp;EnergyBalance!D3</f>
        <v>Power Plants Existing00 - Solid Fuels</v>
      </c>
      <c r="Y12" s="200" t="str">
        <f>$E$2</f>
        <v>PJ</v>
      </c>
      <c r="Z12" s="200" t="str">
        <f>$F$2</f>
        <v>GW</v>
      </c>
      <c r="AA12" s="196" t="s">
        <v>174</v>
      </c>
      <c r="AB12" s="200"/>
      <c r="AC12" s="200"/>
    </row>
    <row r="13" spans="2:29" x14ac:dyDescent="0.35">
      <c r="B13" s="224" t="s">
        <v>298</v>
      </c>
      <c r="C13" s="224" t="s">
        <v>263</v>
      </c>
      <c r="D13" s="224"/>
      <c r="E13" s="224"/>
      <c r="F13" s="224"/>
      <c r="G13" s="224" t="s">
        <v>265</v>
      </c>
      <c r="H13" s="224"/>
      <c r="I13" s="224"/>
      <c r="J13" s="228"/>
      <c r="K13" s="232">
        <v>0.9</v>
      </c>
      <c r="L13" s="232"/>
      <c r="M13" s="232"/>
      <c r="N13" s="228"/>
      <c r="O13" s="228"/>
      <c r="P13" s="228"/>
      <c r="Q13" s="228"/>
      <c r="S13" s="44"/>
      <c r="T13" s="47"/>
      <c r="U13" s="200"/>
      <c r="V13" s="200"/>
      <c r="W13" s="200" t="str">
        <f>$B$2&amp;$C$5&amp;$I$2&amp;RIGHT(Sector_Fuels!$L$14,3)&amp;"00"</f>
        <v>ELCTEGAS00</v>
      </c>
      <c r="X13" s="202" t="str">
        <f>$D$2&amp;" "&amp;$I$1&amp;RIGHT(W13,2)&amp;" - "&amp;EnergyBalance!E3</f>
        <v>Power Plants Existing00 - Natural Gas</v>
      </c>
      <c r="Y13" s="200" t="str">
        <f>$E$2</f>
        <v>PJ</v>
      </c>
      <c r="Z13" s="200" t="str">
        <f>$F$2</f>
        <v>GW</v>
      </c>
      <c r="AA13" s="200"/>
      <c r="AB13" s="200"/>
      <c r="AC13" s="200"/>
    </row>
    <row r="14" spans="2:29" x14ac:dyDescent="0.35">
      <c r="B14" s="224" t="s">
        <v>298</v>
      </c>
      <c r="C14" s="224" t="s">
        <v>276</v>
      </c>
      <c r="D14" s="224"/>
      <c r="E14" s="224"/>
      <c r="F14" s="224"/>
      <c r="G14" s="224" t="s">
        <v>265</v>
      </c>
      <c r="H14" s="224"/>
      <c r="I14" s="224"/>
      <c r="J14" s="232">
        <v>2</v>
      </c>
      <c r="K14" s="228"/>
      <c r="L14" s="228"/>
      <c r="M14" s="228"/>
      <c r="N14" s="228"/>
      <c r="O14" s="228"/>
      <c r="P14" s="228"/>
      <c r="Q14" s="228"/>
      <c r="S14" s="44" t="e">
        <f>#REF!*#REF!*#REF!</f>
        <v>#REF!</v>
      </c>
      <c r="T14" s="47"/>
      <c r="U14" s="200"/>
      <c r="V14" s="200"/>
      <c r="W14" s="200" t="str">
        <f>$B$2&amp;$C$5&amp;$I$2&amp;RIGHT(Sector_Fuels!$L$15,3)&amp;"00"</f>
        <v>ELCTEOIL00</v>
      </c>
      <c r="X14" s="202" t="str">
        <f>$D$2&amp;" "&amp;$I$1&amp;RIGHT(W14,2)&amp;" - "&amp;EnergyBalance!F3</f>
        <v>Power Plants Existing00 - Crude Oil</v>
      </c>
      <c r="Y14" s="200" t="str">
        <f>$E$2</f>
        <v>PJ</v>
      </c>
      <c r="Z14" s="200" t="str">
        <f>$F$2</f>
        <v>GW</v>
      </c>
      <c r="AA14" s="200"/>
      <c r="AB14" s="200"/>
      <c r="AC14" s="200"/>
    </row>
    <row r="15" spans="2:29" x14ac:dyDescent="0.35">
      <c r="B15" s="224" t="s">
        <v>298</v>
      </c>
      <c r="C15" s="224" t="s">
        <v>266</v>
      </c>
      <c r="D15" s="224"/>
      <c r="E15" s="224"/>
      <c r="F15" s="224"/>
      <c r="G15" s="224"/>
      <c r="H15" s="224" t="s">
        <v>267</v>
      </c>
      <c r="I15" s="224"/>
      <c r="J15" s="228"/>
      <c r="K15" s="232">
        <v>38</v>
      </c>
      <c r="L15" s="232"/>
      <c r="M15" s="232"/>
      <c r="N15" s="228"/>
      <c r="O15" s="228"/>
      <c r="P15" s="228"/>
      <c r="Q15" s="228"/>
      <c r="S15" s="44"/>
      <c r="T15" s="47"/>
      <c r="U15" s="200"/>
      <c r="V15" s="200"/>
      <c r="W15" s="200" t="str">
        <f>$B$2&amp;$E$5&amp;$I$2&amp;RIGHT(Sector_Fuels!$L$16,3)&amp;"00"</f>
        <v>ELCRERNW00</v>
      </c>
      <c r="X15" s="200" t="str">
        <f>$D$2&amp;" "&amp;$I$1&amp;RIGHT(W15,2)&amp;" - "&amp;EnergyBalance!O3</f>
        <v>Power Plants Existing00 - Renewable Energies</v>
      </c>
      <c r="Y15" s="200" t="str">
        <f>$E$2</f>
        <v>PJ</v>
      </c>
      <c r="Z15" s="200" t="str">
        <f>$F$2</f>
        <v>GW</v>
      </c>
      <c r="AA15" s="200"/>
      <c r="AB15" s="200"/>
      <c r="AC15" s="200"/>
    </row>
    <row r="16" spans="2:29" x14ac:dyDescent="0.35">
      <c r="B16" s="224" t="s">
        <v>298</v>
      </c>
      <c r="C16" s="224" t="s">
        <v>300</v>
      </c>
      <c r="D16" s="224"/>
      <c r="E16" s="224"/>
      <c r="F16" s="224"/>
      <c r="G16" s="224"/>
      <c r="H16" s="224"/>
      <c r="I16" s="224" t="s">
        <v>260</v>
      </c>
      <c r="J16" s="228"/>
      <c r="K16" s="232">
        <v>1</v>
      </c>
      <c r="L16" s="232"/>
      <c r="M16" s="232"/>
      <c r="N16" s="228"/>
      <c r="O16" s="228"/>
      <c r="P16" s="228"/>
      <c r="Q16" s="228"/>
      <c r="S16" s="44" t="e">
        <f>#REF!*#REF!*#REF!</f>
        <v>#REF!</v>
      </c>
      <c r="T16" s="47"/>
      <c r="U16" s="200"/>
      <c r="V16" s="200"/>
      <c r="W16" s="200" t="str">
        <f>$B$2&amp;$F$5&amp;$I$2&amp;RIGHT(Sector_Fuels!$L$17,3)&amp;"00"</f>
        <v>ELCNENUC00</v>
      </c>
      <c r="X16" s="200" t="str">
        <f>$D$2&amp;" "&amp;$I$1&amp;RIGHT(W16,2)&amp;" - "&amp;EnergyBalance!O3</f>
        <v>Power Plants Existing00 - Renewable Energies</v>
      </c>
      <c r="Y16" s="200" t="str">
        <f>$E$2</f>
        <v>PJ</v>
      </c>
      <c r="Z16" s="200" t="str">
        <f>$F$2</f>
        <v>GW</v>
      </c>
      <c r="AA16" s="196" t="s">
        <v>174</v>
      </c>
      <c r="AB16" s="200"/>
      <c r="AC16" s="200"/>
    </row>
    <row r="17" spans="2:27" x14ac:dyDescent="0.35">
      <c r="B17" s="224" t="s">
        <v>298</v>
      </c>
      <c r="C17" s="224" t="s">
        <v>277</v>
      </c>
      <c r="D17" s="224"/>
      <c r="E17" s="224"/>
      <c r="F17" s="224"/>
      <c r="G17" s="224"/>
      <c r="H17" s="224"/>
      <c r="I17" s="224"/>
      <c r="J17" s="228"/>
      <c r="K17" s="232">
        <v>31.536000000000001</v>
      </c>
      <c r="L17" s="232"/>
      <c r="M17" s="232"/>
      <c r="N17" s="228"/>
      <c r="O17" s="228"/>
      <c r="P17" s="228"/>
      <c r="Q17" s="228"/>
      <c r="S17" s="44"/>
      <c r="T17" s="47"/>
      <c r="AA17" s="1"/>
    </row>
    <row r="18" spans="2:27" x14ac:dyDescent="0.35">
      <c r="B18" s="224" t="s">
        <v>298</v>
      </c>
      <c r="C18" s="224" t="s">
        <v>269</v>
      </c>
      <c r="D18" s="224"/>
      <c r="E18" s="224"/>
      <c r="F18" s="224"/>
      <c r="G18" s="224"/>
      <c r="H18" s="224"/>
      <c r="I18" s="224"/>
      <c r="J18" s="228"/>
      <c r="L18" s="230">
        <f>(-'EB1'!$N$11*$K$12)/($K$13*$K$17)</f>
        <v>0</v>
      </c>
      <c r="M18" s="230">
        <f>(-'EB2'!$N$11*$K$12)/($K$13*$K$17)</f>
        <v>125.28183557415862</v>
      </c>
      <c r="N18" s="228"/>
      <c r="O18" s="230">
        <f>L18</f>
        <v>0</v>
      </c>
      <c r="P18" s="230">
        <f>M18</f>
        <v>125.28183557415862</v>
      </c>
      <c r="Q18" s="228"/>
      <c r="S18" s="44" t="e">
        <f>#REF!*#REF!*#REF!</f>
        <v>#REF!</v>
      </c>
      <c r="T18" s="47"/>
    </row>
    <row r="19" spans="2:27" ht="13.15" thickBot="1" x14ac:dyDescent="0.4">
      <c r="B19" s="224" t="s">
        <v>301</v>
      </c>
      <c r="C19" s="224" t="s">
        <v>258</v>
      </c>
      <c r="D19" s="224" t="s">
        <v>259</v>
      </c>
      <c r="E19" s="33" t="str">
        <f>$B$2&amp;RIGHT(Sector_Fuels!$L$16,3)</f>
        <v>ELCRNW</v>
      </c>
      <c r="F19" s="33" t="str">
        <f>$W$5</f>
        <v>ELC</v>
      </c>
      <c r="G19" s="224"/>
      <c r="H19" s="224"/>
      <c r="I19" s="224" t="s">
        <v>260</v>
      </c>
      <c r="J19" s="228"/>
      <c r="K19" s="232">
        <v>1</v>
      </c>
      <c r="L19" s="232"/>
      <c r="M19" s="232"/>
      <c r="N19" s="228"/>
      <c r="O19" s="228"/>
      <c r="P19" s="228"/>
      <c r="Q19" s="228"/>
      <c r="R19" s="49"/>
      <c r="S19" s="50" t="e">
        <f>#REF!*#REF!*#REF!</f>
        <v>#REF!</v>
      </c>
      <c r="T19" s="47"/>
    </row>
    <row r="20" spans="2:27" x14ac:dyDescent="0.35">
      <c r="B20" s="224" t="s">
        <v>301</v>
      </c>
      <c r="C20" s="224" t="s">
        <v>263</v>
      </c>
      <c r="D20" s="224"/>
      <c r="E20" s="224"/>
      <c r="F20" s="224"/>
      <c r="G20" s="224" t="s">
        <v>265</v>
      </c>
      <c r="H20" s="224"/>
      <c r="I20" s="224"/>
      <c r="J20" s="228"/>
      <c r="K20" s="232">
        <v>0.45</v>
      </c>
      <c r="L20" s="232"/>
      <c r="M20" s="232"/>
      <c r="N20" s="228"/>
      <c r="O20" s="228"/>
      <c r="P20" s="228"/>
      <c r="Q20" s="228"/>
      <c r="T20" s="47"/>
    </row>
    <row r="21" spans="2:27" x14ac:dyDescent="0.35">
      <c r="B21" s="224" t="s">
        <v>301</v>
      </c>
      <c r="C21" s="224" t="s">
        <v>276</v>
      </c>
      <c r="D21" s="224"/>
      <c r="E21" s="224"/>
      <c r="F21" s="224"/>
      <c r="G21" s="224" t="s">
        <v>265</v>
      </c>
      <c r="H21" s="224"/>
      <c r="I21" s="224"/>
      <c r="J21" s="232">
        <v>2</v>
      </c>
      <c r="K21" s="228"/>
      <c r="L21" s="228"/>
      <c r="M21" s="228"/>
      <c r="N21" s="228"/>
      <c r="O21" s="228"/>
      <c r="P21" s="228"/>
      <c r="Q21" s="228"/>
    </row>
    <row r="22" spans="2:27" x14ac:dyDescent="0.35">
      <c r="B22" s="224" t="s">
        <v>301</v>
      </c>
      <c r="C22" s="224" t="s">
        <v>266</v>
      </c>
      <c r="D22" s="224"/>
      <c r="E22" s="224"/>
      <c r="F22" s="224"/>
      <c r="G22" s="224"/>
      <c r="H22" s="224" t="s">
        <v>267</v>
      </c>
      <c r="I22" s="224"/>
      <c r="J22" s="228"/>
      <c r="K22" s="232">
        <v>70</v>
      </c>
      <c r="L22" s="232"/>
      <c r="M22" s="232"/>
      <c r="N22" s="228"/>
      <c r="O22" s="228"/>
      <c r="P22" s="228"/>
      <c r="Q22" s="228"/>
    </row>
    <row r="23" spans="2:27" x14ac:dyDescent="0.35">
      <c r="B23" s="224" t="s">
        <v>301</v>
      </c>
      <c r="C23" s="224" t="s">
        <v>300</v>
      </c>
      <c r="D23" s="224"/>
      <c r="E23" s="224"/>
      <c r="F23" s="224"/>
      <c r="G23" s="224"/>
      <c r="H23" s="224"/>
      <c r="I23" s="224" t="s">
        <v>260</v>
      </c>
      <c r="J23" s="228"/>
      <c r="K23" s="232">
        <v>0.5</v>
      </c>
      <c r="L23" s="232"/>
      <c r="M23" s="232"/>
      <c r="N23" s="228"/>
      <c r="O23" s="228"/>
      <c r="P23" s="228"/>
      <c r="Q23" s="228"/>
    </row>
    <row r="24" spans="2:27" x14ac:dyDescent="0.35">
      <c r="B24" s="224" t="s">
        <v>301</v>
      </c>
      <c r="C24" s="224" t="s">
        <v>277</v>
      </c>
      <c r="D24" s="224"/>
      <c r="E24" s="224"/>
      <c r="F24" s="224"/>
      <c r="G24" s="224"/>
      <c r="H24" s="224"/>
      <c r="I24" s="224"/>
      <c r="J24" s="228"/>
      <c r="K24" s="232">
        <v>31.536000000000001</v>
      </c>
      <c r="L24" s="232"/>
      <c r="M24" s="232"/>
      <c r="N24" s="228"/>
      <c r="O24" s="228"/>
      <c r="P24" s="228"/>
      <c r="Q24" s="228"/>
    </row>
    <row r="25" spans="2:27" x14ac:dyDescent="0.35">
      <c r="B25" s="224" t="s">
        <v>301</v>
      </c>
      <c r="C25" s="224" t="s">
        <v>269</v>
      </c>
      <c r="D25" s="224"/>
      <c r="E25" s="224"/>
      <c r="F25" s="224"/>
      <c r="G25" s="224"/>
      <c r="H25" s="224"/>
      <c r="I25" s="224"/>
      <c r="J25" s="228"/>
      <c r="L25" s="230">
        <f>(-'EB1'!$O$11*$K$19)/($K$20*$K$24)</f>
        <v>88.483849145949605</v>
      </c>
      <c r="M25" s="230">
        <f>(-'EB2'!$O$11*$K$19)/($K$20*$K$24)</f>
        <v>0</v>
      </c>
      <c r="N25" s="228"/>
      <c r="O25" s="230">
        <f>L25</f>
        <v>88.483849145949605</v>
      </c>
      <c r="P25" s="230">
        <f>M25</f>
        <v>0</v>
      </c>
      <c r="Q25" s="228"/>
    </row>
    <row r="26" spans="2:27" x14ac:dyDescent="0.35">
      <c r="B26" s="224" t="s">
        <v>302</v>
      </c>
      <c r="C26" s="224" t="s">
        <v>299</v>
      </c>
      <c r="D26" s="224"/>
      <c r="E26" s="33" t="str">
        <f>$B$2&amp;RIGHT(Sector_Fuels!$L$13,3)</f>
        <v>ELCCOA</v>
      </c>
      <c r="F26" s="33" t="str">
        <f>$W$5</f>
        <v>ELC</v>
      </c>
      <c r="G26" s="224"/>
      <c r="H26" s="224" t="s">
        <v>267</v>
      </c>
      <c r="I26" s="224"/>
      <c r="J26" s="228"/>
      <c r="K26" s="232">
        <v>0.5</v>
      </c>
      <c r="L26" s="232"/>
      <c r="M26" s="232"/>
      <c r="N26" s="228"/>
      <c r="O26" s="228"/>
      <c r="P26" s="228"/>
      <c r="Q26" s="228"/>
    </row>
    <row r="27" spans="2:27" x14ac:dyDescent="0.35">
      <c r="B27" s="224" t="s">
        <v>302</v>
      </c>
      <c r="C27" s="224" t="s">
        <v>258</v>
      </c>
      <c r="D27" s="224" t="s">
        <v>259</v>
      </c>
      <c r="E27" s="224"/>
      <c r="F27" s="224"/>
      <c r="G27" s="224"/>
      <c r="H27" s="224"/>
      <c r="I27" s="224" t="s">
        <v>260</v>
      </c>
      <c r="J27" s="228"/>
      <c r="K27" s="232">
        <v>0.38400000000000001</v>
      </c>
      <c r="L27" s="232"/>
      <c r="M27" s="232"/>
      <c r="N27" s="228"/>
      <c r="O27" s="228"/>
      <c r="P27" s="228"/>
      <c r="Q27" s="228"/>
      <c r="U27" s="72"/>
      <c r="V27" s="1" t="s">
        <v>210</v>
      </c>
    </row>
    <row r="28" spans="2:27" x14ac:dyDescent="0.35">
      <c r="B28" s="224" t="s">
        <v>302</v>
      </c>
      <c r="C28" s="224" t="s">
        <v>303</v>
      </c>
      <c r="D28" s="224" t="s">
        <v>259</v>
      </c>
      <c r="E28" s="224"/>
      <c r="F28" s="33" t="str">
        <f>$W$6</f>
        <v>ELCCO2</v>
      </c>
      <c r="G28" s="224"/>
      <c r="H28" s="224"/>
      <c r="I28" s="224" t="s">
        <v>260</v>
      </c>
      <c r="J28" s="228"/>
      <c r="K28" s="232">
        <f>99.8/K27</f>
        <v>259.89583333333331</v>
      </c>
      <c r="L28" s="232"/>
      <c r="M28" s="232"/>
      <c r="N28" s="228"/>
      <c r="O28" s="228"/>
      <c r="P28" s="228"/>
      <c r="Q28" s="228"/>
      <c r="U28" s="146"/>
      <c r="V28" s="1" t="s">
        <v>211</v>
      </c>
    </row>
    <row r="29" spans="2:27" x14ac:dyDescent="0.35">
      <c r="B29" s="224" t="s">
        <v>302</v>
      </c>
      <c r="C29" s="224" t="s">
        <v>263</v>
      </c>
      <c r="D29" s="224"/>
      <c r="E29" s="224"/>
      <c r="F29" s="224"/>
      <c r="G29" s="224" t="s">
        <v>265</v>
      </c>
      <c r="H29" s="224"/>
      <c r="I29" s="224"/>
      <c r="J29" s="228"/>
      <c r="K29" s="232">
        <v>0.85</v>
      </c>
      <c r="L29" s="232"/>
      <c r="M29" s="232"/>
      <c r="N29" s="228"/>
      <c r="O29" s="228"/>
      <c r="P29" s="228"/>
      <c r="Q29" s="228"/>
    </row>
    <row r="30" spans="2:27" x14ac:dyDescent="0.35">
      <c r="B30" s="224" t="s">
        <v>302</v>
      </c>
      <c r="C30" s="224" t="s">
        <v>276</v>
      </c>
      <c r="D30" s="224"/>
      <c r="E30" s="224"/>
      <c r="F30" s="224"/>
      <c r="G30" s="224" t="s">
        <v>265</v>
      </c>
      <c r="H30" s="224"/>
      <c r="I30" s="224"/>
      <c r="J30" s="232">
        <v>2</v>
      </c>
      <c r="K30" s="228"/>
      <c r="L30" s="228"/>
      <c r="M30" s="228"/>
      <c r="N30" s="228"/>
      <c r="O30" s="228"/>
      <c r="P30" s="228"/>
      <c r="Q30" s="228"/>
    </row>
    <row r="31" spans="2:27" x14ac:dyDescent="0.35">
      <c r="B31" s="224" t="s">
        <v>302</v>
      </c>
      <c r="C31" s="224" t="s">
        <v>266</v>
      </c>
      <c r="D31" s="224"/>
      <c r="E31" s="224"/>
      <c r="F31" s="224"/>
      <c r="G31" s="224"/>
      <c r="H31" s="224" t="s">
        <v>267</v>
      </c>
      <c r="I31" s="224"/>
      <c r="J31" s="228"/>
      <c r="K31" s="232">
        <v>40</v>
      </c>
      <c r="L31" s="232"/>
      <c r="M31" s="232"/>
      <c r="N31" s="228"/>
      <c r="O31" s="228"/>
      <c r="P31" s="228"/>
      <c r="Q31" s="228"/>
    </row>
    <row r="32" spans="2:27" x14ac:dyDescent="0.35">
      <c r="B32" s="224" t="s">
        <v>302</v>
      </c>
      <c r="C32" s="224" t="s">
        <v>300</v>
      </c>
      <c r="D32" s="224"/>
      <c r="E32" s="224"/>
      <c r="F32" s="224"/>
      <c r="G32" s="224"/>
      <c r="H32" s="224"/>
      <c r="I32" s="224" t="s">
        <v>260</v>
      </c>
      <c r="J32" s="228"/>
      <c r="K32" s="232">
        <v>1</v>
      </c>
      <c r="L32" s="232"/>
      <c r="M32" s="232"/>
      <c r="N32" s="228"/>
      <c r="O32" s="228"/>
      <c r="P32" s="228"/>
      <c r="Q32" s="228"/>
    </row>
    <row r="33" spans="2:17" x14ac:dyDescent="0.35">
      <c r="B33" s="224" t="s">
        <v>302</v>
      </c>
      <c r="C33" s="224" t="s">
        <v>268</v>
      </c>
      <c r="D33" s="224"/>
      <c r="E33" s="224"/>
      <c r="F33" s="224"/>
      <c r="G33" s="224"/>
      <c r="H33" s="224"/>
      <c r="I33" s="224"/>
      <c r="J33" s="228"/>
      <c r="K33" s="232">
        <v>30</v>
      </c>
      <c r="L33" s="232"/>
      <c r="M33" s="232"/>
      <c r="N33" s="228"/>
      <c r="O33" s="228"/>
      <c r="P33" s="228"/>
      <c r="Q33" s="228"/>
    </row>
    <row r="34" spans="2:17" x14ac:dyDescent="0.35">
      <c r="B34" s="224" t="s">
        <v>302</v>
      </c>
      <c r="C34" s="224" t="s">
        <v>277</v>
      </c>
      <c r="D34" s="224"/>
      <c r="E34" s="224"/>
      <c r="F34" s="224"/>
      <c r="G34" s="224"/>
      <c r="H34" s="224"/>
      <c r="I34" s="224"/>
      <c r="J34" s="228"/>
      <c r="K34" s="232">
        <v>31.536000000000001</v>
      </c>
      <c r="L34" s="232"/>
      <c r="M34" s="232"/>
      <c r="N34" s="228"/>
      <c r="O34" s="228"/>
      <c r="P34" s="228"/>
      <c r="Q34" s="228"/>
    </row>
    <row r="35" spans="2:17" x14ac:dyDescent="0.35">
      <c r="B35" s="224" t="s">
        <v>302</v>
      </c>
      <c r="C35" s="224" t="s">
        <v>269</v>
      </c>
      <c r="D35" s="224"/>
      <c r="E35" s="224"/>
      <c r="F35" s="224"/>
      <c r="G35" s="224"/>
      <c r="H35" s="224"/>
      <c r="I35" s="224"/>
      <c r="J35" s="228"/>
      <c r="L35" s="230">
        <f>(-'EB1'!$D$11*$K$27)/($K$29*$K$34)</f>
        <v>137.49657086578924</v>
      </c>
      <c r="M35" s="230">
        <f>(-'EB2'!$D$11*$K$27)/($K$29*$K$34)</f>
        <v>0</v>
      </c>
      <c r="N35" s="228"/>
      <c r="O35" s="228"/>
      <c r="P35" s="228"/>
      <c r="Q35" s="232">
        <v>0</v>
      </c>
    </row>
    <row r="36" spans="2:17" x14ac:dyDescent="0.35">
      <c r="B36" s="224" t="s">
        <v>304</v>
      </c>
      <c r="C36" s="224" t="s">
        <v>299</v>
      </c>
      <c r="D36" s="224"/>
      <c r="E36" s="33" t="str">
        <f>$B$2&amp;RIGHT(Sector_Fuels!$L$14,3)</f>
        <v>ELCGAS</v>
      </c>
      <c r="F36" s="33" t="str">
        <f>$W$5</f>
        <v>ELC</v>
      </c>
      <c r="G36" s="224"/>
      <c r="H36" s="224" t="s">
        <v>267</v>
      </c>
      <c r="I36" s="224"/>
      <c r="J36" s="228"/>
      <c r="K36" s="232">
        <v>0.4</v>
      </c>
      <c r="L36" s="232"/>
      <c r="M36" s="232"/>
      <c r="N36" s="228"/>
      <c r="O36" s="228"/>
      <c r="P36" s="228"/>
      <c r="Q36" s="228"/>
    </row>
    <row r="37" spans="2:17" x14ac:dyDescent="0.35">
      <c r="B37" s="224" t="s">
        <v>304</v>
      </c>
      <c r="C37" s="224" t="s">
        <v>258</v>
      </c>
      <c r="D37" s="224" t="s">
        <v>259</v>
      </c>
      <c r="E37" s="224"/>
      <c r="F37" s="224"/>
      <c r="G37" s="224"/>
      <c r="H37" s="224"/>
      <c r="I37" s="224" t="s">
        <v>260</v>
      </c>
      <c r="J37" s="228"/>
      <c r="K37" s="232">
        <v>0.4929</v>
      </c>
      <c r="L37" s="232"/>
      <c r="M37" s="232"/>
      <c r="N37" s="228"/>
      <c r="O37" s="228"/>
      <c r="P37" s="228"/>
      <c r="Q37" s="228"/>
    </row>
    <row r="38" spans="2:17" x14ac:dyDescent="0.35">
      <c r="B38" s="224" t="s">
        <v>304</v>
      </c>
      <c r="C38" s="224" t="s">
        <v>303</v>
      </c>
      <c r="D38" s="224" t="s">
        <v>259</v>
      </c>
      <c r="E38" s="224"/>
      <c r="F38" s="33" t="str">
        <f>$W$6</f>
        <v>ELCCO2</v>
      </c>
      <c r="G38" s="224"/>
      <c r="H38" s="224"/>
      <c r="I38" s="224" t="s">
        <v>260</v>
      </c>
      <c r="J38" s="228"/>
      <c r="K38" s="232">
        <v>113.816189896531</v>
      </c>
      <c r="L38" s="232"/>
      <c r="M38" s="232"/>
      <c r="N38" s="228"/>
      <c r="O38" s="228"/>
      <c r="P38" s="228"/>
      <c r="Q38" s="228"/>
    </row>
    <row r="39" spans="2:17" x14ac:dyDescent="0.35">
      <c r="B39" s="224" t="s">
        <v>304</v>
      </c>
      <c r="C39" s="224" t="s">
        <v>263</v>
      </c>
      <c r="D39" s="224"/>
      <c r="E39" s="224"/>
      <c r="F39" s="224"/>
      <c r="G39" s="224" t="s">
        <v>265</v>
      </c>
      <c r="H39" s="224"/>
      <c r="I39" s="224"/>
      <c r="J39" s="228"/>
      <c r="K39" s="232">
        <v>0.85</v>
      </c>
      <c r="L39" s="232"/>
      <c r="M39" s="232"/>
      <c r="N39" s="228"/>
      <c r="O39" s="228"/>
      <c r="P39" s="228"/>
      <c r="Q39" s="228"/>
    </row>
    <row r="40" spans="2:17" x14ac:dyDescent="0.35">
      <c r="B40" s="224" t="s">
        <v>304</v>
      </c>
      <c r="C40" s="224" t="s">
        <v>276</v>
      </c>
      <c r="D40" s="224"/>
      <c r="E40" s="224"/>
      <c r="F40" s="224"/>
      <c r="G40" s="224" t="s">
        <v>265</v>
      </c>
      <c r="H40" s="224"/>
      <c r="I40" s="224"/>
      <c r="J40" s="232">
        <v>2</v>
      </c>
      <c r="K40" s="228"/>
      <c r="L40" s="228"/>
      <c r="M40" s="228"/>
      <c r="N40" s="228"/>
      <c r="O40" s="228"/>
      <c r="P40" s="228"/>
      <c r="Q40" s="228"/>
    </row>
    <row r="41" spans="2:17" x14ac:dyDescent="0.35">
      <c r="B41" s="224" t="s">
        <v>304</v>
      </c>
      <c r="C41" s="224" t="s">
        <v>266</v>
      </c>
      <c r="D41" s="224"/>
      <c r="E41" s="224"/>
      <c r="F41" s="224"/>
      <c r="G41" s="224"/>
      <c r="H41" s="224" t="s">
        <v>267</v>
      </c>
      <c r="I41" s="224"/>
      <c r="J41" s="228"/>
      <c r="K41" s="232">
        <v>35</v>
      </c>
      <c r="L41" s="232"/>
      <c r="M41" s="232"/>
      <c r="N41" s="228"/>
      <c r="O41" s="228"/>
      <c r="P41" s="228"/>
      <c r="Q41" s="228"/>
    </row>
    <row r="42" spans="2:17" x14ac:dyDescent="0.35">
      <c r="B42" s="224" t="s">
        <v>304</v>
      </c>
      <c r="C42" s="224" t="s">
        <v>300</v>
      </c>
      <c r="D42" s="224"/>
      <c r="E42" s="224"/>
      <c r="F42" s="224"/>
      <c r="G42" s="224"/>
      <c r="H42" s="224"/>
      <c r="I42" s="224" t="s">
        <v>260</v>
      </c>
      <c r="J42" s="228"/>
      <c r="K42" s="232">
        <v>1</v>
      </c>
      <c r="L42" s="232"/>
      <c r="M42" s="232"/>
      <c r="N42" s="228"/>
      <c r="O42" s="228"/>
      <c r="P42" s="228"/>
      <c r="Q42" s="228"/>
    </row>
    <row r="43" spans="2:17" x14ac:dyDescent="0.35">
      <c r="B43" s="224" t="s">
        <v>304</v>
      </c>
      <c r="C43" s="224" t="s">
        <v>268</v>
      </c>
      <c r="D43" s="224"/>
      <c r="E43" s="224"/>
      <c r="F43" s="224"/>
      <c r="G43" s="224"/>
      <c r="H43" s="224"/>
      <c r="I43" s="224"/>
      <c r="J43" s="228"/>
      <c r="K43" s="232">
        <v>20</v>
      </c>
      <c r="L43" s="232"/>
      <c r="M43" s="232"/>
      <c r="N43" s="228"/>
      <c r="O43" s="228"/>
      <c r="P43" s="228"/>
      <c r="Q43" s="228"/>
    </row>
    <row r="44" spans="2:17" x14ac:dyDescent="0.35">
      <c r="B44" s="224" t="s">
        <v>304</v>
      </c>
      <c r="C44" s="224" t="s">
        <v>277</v>
      </c>
      <c r="D44" s="224"/>
      <c r="E44" s="224"/>
      <c r="F44" s="224"/>
      <c r="G44" s="224"/>
      <c r="H44" s="224"/>
      <c r="I44" s="224"/>
      <c r="J44" s="228"/>
      <c r="K44" s="232">
        <v>31.536000000000001</v>
      </c>
      <c r="L44" s="232"/>
      <c r="M44" s="232"/>
      <c r="N44" s="228"/>
      <c r="O44" s="228"/>
      <c r="P44" s="228"/>
      <c r="Q44" s="228"/>
    </row>
    <row r="45" spans="2:17" x14ac:dyDescent="0.35">
      <c r="B45" s="224" t="s">
        <v>304</v>
      </c>
      <c r="C45" s="224" t="s">
        <v>269</v>
      </c>
      <c r="D45" s="224"/>
      <c r="E45" s="224"/>
      <c r="F45" s="224"/>
      <c r="G45" s="224"/>
      <c r="H45" s="224"/>
      <c r="I45" s="224"/>
      <c r="J45" s="228"/>
      <c r="L45" s="230">
        <f>(-'EB1'!$E$11*$K$37)/($K$39*$K$44)</f>
        <v>0</v>
      </c>
      <c r="M45" s="230">
        <f>(-'EB2'!$E$11*$K$37)/($K$39*$K$44)</f>
        <v>103.62609445787447</v>
      </c>
      <c r="N45" s="232">
        <v>0</v>
      </c>
      <c r="O45" s="228"/>
      <c r="P45" s="228"/>
      <c r="Q45" s="228"/>
    </row>
    <row r="46" spans="2:17" x14ac:dyDescent="0.35">
      <c r="B46" s="224" t="s">
        <v>305</v>
      </c>
      <c r="C46" s="224" t="s">
        <v>299</v>
      </c>
      <c r="D46" s="224"/>
      <c r="E46" s="33" t="str">
        <f>$B$2&amp;RIGHT(Sector_Fuels!$L$15,3)</f>
        <v>ELCOIL</v>
      </c>
      <c r="F46" s="33" t="str">
        <f>$W$5</f>
        <v>ELC</v>
      </c>
      <c r="G46" s="224"/>
      <c r="H46" s="224" t="s">
        <v>267</v>
      </c>
      <c r="I46" s="224"/>
      <c r="J46" s="228"/>
      <c r="K46" s="232">
        <v>0.2</v>
      </c>
      <c r="L46" s="232"/>
      <c r="M46" s="232"/>
      <c r="N46" s="228"/>
      <c r="O46" s="228"/>
      <c r="P46" s="228"/>
      <c r="Q46" s="228"/>
    </row>
    <row r="47" spans="2:17" x14ac:dyDescent="0.35">
      <c r="B47" s="224" t="s">
        <v>305</v>
      </c>
      <c r="C47" s="224" t="s">
        <v>258</v>
      </c>
      <c r="D47" s="224" t="s">
        <v>259</v>
      </c>
      <c r="E47" s="224"/>
      <c r="F47" s="224"/>
      <c r="G47" s="224"/>
      <c r="H47" s="224"/>
      <c r="I47" s="224" t="s">
        <v>260</v>
      </c>
      <c r="J47" s="228"/>
      <c r="K47" s="232">
        <v>0.25</v>
      </c>
      <c r="L47" s="232"/>
      <c r="M47" s="232"/>
      <c r="N47" s="228"/>
      <c r="O47" s="228"/>
      <c r="P47" s="228"/>
      <c r="Q47" s="228"/>
    </row>
    <row r="48" spans="2:17" x14ac:dyDescent="0.35">
      <c r="B48" s="224" t="s">
        <v>305</v>
      </c>
      <c r="C48" s="224" t="s">
        <v>303</v>
      </c>
      <c r="D48" s="224" t="s">
        <v>259</v>
      </c>
      <c r="E48" s="224"/>
      <c r="F48" s="33" t="str">
        <f>$W$6</f>
        <v>ELCCO2</v>
      </c>
      <c r="G48" s="224"/>
      <c r="H48" s="224"/>
      <c r="I48" s="224" t="s">
        <v>260</v>
      </c>
      <c r="J48" s="228"/>
      <c r="K48" s="232">
        <v>305.60000000000002</v>
      </c>
      <c r="L48" s="232"/>
      <c r="M48" s="232"/>
      <c r="N48" s="228"/>
      <c r="O48" s="228"/>
      <c r="P48" s="228"/>
      <c r="Q48" s="228"/>
    </row>
    <row r="49" spans="2:17" x14ac:dyDescent="0.35">
      <c r="B49" s="224" t="s">
        <v>305</v>
      </c>
      <c r="C49" s="224" t="s">
        <v>263</v>
      </c>
      <c r="D49" s="224"/>
      <c r="E49" s="224"/>
      <c r="F49" s="224"/>
      <c r="G49" s="224" t="s">
        <v>265</v>
      </c>
      <c r="H49" s="224"/>
      <c r="I49" s="224"/>
      <c r="J49" s="228"/>
      <c r="K49" s="232">
        <v>0.85</v>
      </c>
      <c r="L49" s="232"/>
      <c r="M49" s="232"/>
      <c r="N49" s="228"/>
      <c r="O49" s="228"/>
      <c r="P49" s="228"/>
      <c r="Q49" s="228"/>
    </row>
    <row r="50" spans="2:17" x14ac:dyDescent="0.35">
      <c r="B50" s="224" t="s">
        <v>305</v>
      </c>
      <c r="C50" s="224" t="s">
        <v>276</v>
      </c>
      <c r="D50" s="224"/>
      <c r="E50" s="224"/>
      <c r="F50" s="224"/>
      <c r="G50" s="224" t="s">
        <v>265</v>
      </c>
      <c r="H50" s="224"/>
      <c r="I50" s="224"/>
      <c r="J50" s="232">
        <v>2</v>
      </c>
      <c r="K50" s="228"/>
      <c r="L50" s="228"/>
      <c r="M50" s="228"/>
      <c r="N50" s="228"/>
      <c r="O50" s="228"/>
      <c r="P50" s="228"/>
      <c r="Q50" s="228"/>
    </row>
    <row r="51" spans="2:17" x14ac:dyDescent="0.35">
      <c r="B51" s="224" t="s">
        <v>305</v>
      </c>
      <c r="C51" s="224" t="s">
        <v>266</v>
      </c>
      <c r="D51" s="224"/>
      <c r="E51" s="224"/>
      <c r="F51" s="224"/>
      <c r="G51" s="224"/>
      <c r="H51" s="224" t="s">
        <v>267</v>
      </c>
      <c r="I51" s="224"/>
      <c r="J51" s="228"/>
      <c r="K51" s="232">
        <v>20</v>
      </c>
      <c r="L51" s="232"/>
      <c r="M51" s="232"/>
      <c r="N51" s="228"/>
      <c r="O51" s="228"/>
      <c r="P51" s="228"/>
      <c r="Q51" s="228"/>
    </row>
    <row r="52" spans="2:17" x14ac:dyDescent="0.35">
      <c r="B52" s="224" t="s">
        <v>305</v>
      </c>
      <c r="C52" s="224" t="s">
        <v>300</v>
      </c>
      <c r="D52" s="224"/>
      <c r="E52" s="224"/>
      <c r="F52" s="224"/>
      <c r="G52" s="224"/>
      <c r="H52" s="224"/>
      <c r="I52" s="224" t="s">
        <v>260</v>
      </c>
      <c r="J52" s="228"/>
      <c r="K52" s="232">
        <v>1</v>
      </c>
      <c r="L52" s="232"/>
      <c r="M52" s="232"/>
      <c r="N52" s="228"/>
      <c r="O52" s="228"/>
      <c r="P52" s="228"/>
      <c r="Q52" s="228"/>
    </row>
    <row r="53" spans="2:17" x14ac:dyDescent="0.35">
      <c r="B53" s="224" t="s">
        <v>305</v>
      </c>
      <c r="C53" s="224" t="s">
        <v>268</v>
      </c>
      <c r="D53" s="224"/>
      <c r="E53" s="224"/>
      <c r="F53" s="224"/>
      <c r="G53" s="224"/>
      <c r="H53" s="224"/>
      <c r="I53" s="224"/>
      <c r="J53" s="228"/>
      <c r="K53" s="232">
        <v>30</v>
      </c>
      <c r="L53" s="232"/>
      <c r="M53" s="232"/>
      <c r="N53" s="228"/>
      <c r="O53" s="228"/>
      <c r="P53" s="228"/>
      <c r="Q53" s="228"/>
    </row>
    <row r="54" spans="2:17" x14ac:dyDescent="0.35">
      <c r="B54" s="224" t="s">
        <v>305</v>
      </c>
      <c r="C54" s="224" t="s">
        <v>277</v>
      </c>
      <c r="D54" s="224"/>
      <c r="E54" s="224"/>
      <c r="F54" s="224"/>
      <c r="G54" s="224"/>
      <c r="H54" s="224"/>
      <c r="I54" s="224"/>
      <c r="J54" s="228"/>
      <c r="K54" s="232">
        <v>31.536000000000001</v>
      </c>
      <c r="L54" s="232"/>
      <c r="M54" s="232"/>
      <c r="N54" s="228"/>
      <c r="O54" s="228"/>
      <c r="P54" s="228"/>
      <c r="Q54" s="228"/>
    </row>
    <row r="55" spans="2:17" x14ac:dyDescent="0.35">
      <c r="B55" s="224" t="s">
        <v>305</v>
      </c>
      <c r="C55" s="224" t="s">
        <v>269</v>
      </c>
      <c r="D55" s="224"/>
      <c r="E55" s="224"/>
      <c r="F55" s="224"/>
      <c r="G55" s="224"/>
      <c r="H55" s="224"/>
      <c r="I55" s="224"/>
      <c r="J55" s="228"/>
      <c r="L55" s="230">
        <f>((-SUM('EB1'!G11:M11)*$K$47)/($K$49*$K$54))</f>
        <v>3.426361469245232</v>
      </c>
      <c r="M55" s="230">
        <f>((-SUM('EB2'!G11:M11)*$K$47)/($K$49*$K$54))</f>
        <v>7.9948434282388749</v>
      </c>
      <c r="N55" s="228"/>
      <c r="O55" s="228"/>
      <c r="P55" s="228"/>
      <c r="Q55" s="232">
        <v>0</v>
      </c>
    </row>
  </sheetData>
  <phoneticPr fontId="35" type="noConversion"/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V24"/>
  <sheetViews>
    <sheetView zoomScaleNormal="100" workbookViewId="0">
      <selection activeCell="I23" sqref="I23"/>
    </sheetView>
  </sheetViews>
  <sheetFormatPr defaultColWidth="8.86328125" defaultRowHeight="12.75" x14ac:dyDescent="0.35"/>
  <cols>
    <col min="1" max="1" width="3" style="33" customWidth="1"/>
    <col min="2" max="2" width="12.1328125" style="33" bestFit="1" customWidth="1"/>
    <col min="3" max="3" width="15" style="33" customWidth="1"/>
    <col min="4" max="4" width="17.1328125" style="33" bestFit="1" customWidth="1"/>
    <col min="5" max="5" width="10.9296875" style="33" bestFit="1" customWidth="1"/>
    <col min="6" max="6" width="12" style="33" bestFit="1" customWidth="1"/>
    <col min="7" max="7" width="7.265625" style="33" customWidth="1"/>
    <col min="8" max="8" width="9.1328125" style="33" bestFit="1" customWidth="1"/>
    <col min="9" max="9" width="9.3984375" style="33" customWidth="1"/>
    <col min="10" max="10" width="1.73046875" style="33" bestFit="1" customWidth="1"/>
    <col min="11" max="12" width="4.73046875" style="33" bestFit="1" customWidth="1"/>
    <col min="13" max="13" width="2.73046875" style="33" customWidth="1"/>
    <col min="14" max="14" width="12.73046875" style="33" bestFit="1" customWidth="1"/>
    <col min="15" max="15" width="7.1328125" style="33" customWidth="1"/>
    <col min="16" max="16" width="11.3984375" style="33" bestFit="1" customWidth="1"/>
    <col min="17" max="17" width="41.59765625" style="33" bestFit="1" customWidth="1"/>
    <col min="18" max="18" width="6.59765625" style="33" customWidth="1"/>
    <col min="19" max="19" width="11.73046875" style="33" customWidth="1"/>
    <col min="20" max="20" width="13.1328125" style="33" customWidth="1"/>
    <col min="21" max="21" width="13.73046875" style="33" bestFit="1" customWidth="1"/>
    <col min="22" max="22" width="8.3984375" style="33" customWidth="1"/>
    <col min="23" max="16384" width="8.86328125" style="33"/>
  </cols>
  <sheetData>
    <row r="1" spans="2:22" ht="14.25" x14ac:dyDescent="0.45">
      <c r="B1" s="9" t="s">
        <v>94</v>
      </c>
      <c r="C1" s="9" t="s">
        <v>96</v>
      </c>
      <c r="D1" s="9" t="s">
        <v>146</v>
      </c>
      <c r="E1" s="9" t="s">
        <v>98</v>
      </c>
      <c r="F1" s="9" t="s">
        <v>99</v>
      </c>
      <c r="G1" s="52"/>
      <c r="H1" s="9" t="s">
        <v>121</v>
      </c>
    </row>
    <row r="2" spans="2:22" ht="31.5" x14ac:dyDescent="0.5">
      <c r="B2" s="12" t="str">
        <f>EnergyBalance!B8</f>
        <v>TPS</v>
      </c>
      <c r="C2" s="21" t="str">
        <f>EnergyBalance!C8</f>
        <v>Total Primary Supply</v>
      </c>
      <c r="D2" s="21" t="str">
        <f>"Demand Technology"</f>
        <v>Demand Technology</v>
      </c>
      <c r="E2" s="12" t="str">
        <f>EnergyBalance!W2</f>
        <v>PJ</v>
      </c>
      <c r="F2" s="12" t="str">
        <f>EnergyBalance!V2</f>
        <v>M€2005</v>
      </c>
      <c r="G2" s="10"/>
      <c r="H2" s="12" t="s">
        <v>122</v>
      </c>
      <c r="N2" s="204" t="s">
        <v>14</v>
      </c>
      <c r="O2" s="204"/>
      <c r="P2" s="203"/>
      <c r="Q2" s="203"/>
      <c r="R2" s="203"/>
      <c r="S2" s="203"/>
      <c r="T2" s="203"/>
      <c r="U2" s="203"/>
      <c r="V2" s="203"/>
    </row>
    <row r="3" spans="2:22" ht="13.15" x14ac:dyDescent="0.4">
      <c r="N3" s="205" t="s">
        <v>7</v>
      </c>
      <c r="O3" s="206" t="s">
        <v>30</v>
      </c>
      <c r="P3" s="205" t="s">
        <v>0</v>
      </c>
      <c r="Q3" s="205" t="s">
        <v>3</v>
      </c>
      <c r="R3" s="205" t="s">
        <v>4</v>
      </c>
      <c r="S3" s="205" t="s">
        <v>8</v>
      </c>
      <c r="T3" s="205" t="s">
        <v>9</v>
      </c>
      <c r="U3" s="205" t="s">
        <v>10</v>
      </c>
      <c r="V3" s="205" t="s">
        <v>12</v>
      </c>
    </row>
    <row r="4" spans="2:22" ht="22.15" thickBot="1" x14ac:dyDescent="0.55000000000000004">
      <c r="B4" s="10"/>
      <c r="C4" s="10"/>
      <c r="D4" s="10"/>
      <c r="E4" s="10"/>
      <c r="F4" s="10"/>
      <c r="N4" s="199" t="s">
        <v>40</v>
      </c>
      <c r="O4" s="199" t="s">
        <v>31</v>
      </c>
      <c r="P4" s="199" t="s">
        <v>26</v>
      </c>
      <c r="Q4" s="199" t="s">
        <v>27</v>
      </c>
      <c r="R4" s="199" t="s">
        <v>4</v>
      </c>
      <c r="S4" s="199" t="s">
        <v>43</v>
      </c>
      <c r="T4" s="199" t="s">
        <v>44</v>
      </c>
      <c r="U4" s="199" t="s">
        <v>28</v>
      </c>
      <c r="V4" s="199" t="s">
        <v>29</v>
      </c>
    </row>
    <row r="5" spans="2:22" ht="15.75" x14ac:dyDescent="0.5">
      <c r="B5" s="10"/>
      <c r="C5" s="10"/>
      <c r="D5" s="10"/>
      <c r="E5" s="10"/>
      <c r="F5" s="10"/>
      <c r="N5" s="203" t="s">
        <v>106</v>
      </c>
      <c r="O5" s="203"/>
      <c r="P5" s="203" t="str">
        <f>B2&amp;EnergyBalance!D2</f>
        <v>TPSCOA</v>
      </c>
      <c r="Q5" s="203" t="str">
        <f>LEFT($D$2,6)&amp;" "&amp;$C$2&amp;" - "&amp;EnergyBalance!D2</f>
        <v>Demand Total Primary Supply - COA</v>
      </c>
      <c r="R5" s="203" t="str">
        <f>$E$2</f>
        <v>PJ</v>
      </c>
      <c r="S5" s="203"/>
      <c r="T5" s="203"/>
      <c r="U5" s="203"/>
      <c r="V5" s="203"/>
    </row>
    <row r="8" spans="2:22" ht="13.15" x14ac:dyDescent="0.4">
      <c r="B8" s="226"/>
      <c r="C8" s="217" t="s">
        <v>13</v>
      </c>
      <c r="D8" s="217"/>
      <c r="E8" s="217"/>
      <c r="F8" s="217"/>
      <c r="G8" s="226"/>
      <c r="H8" s="217"/>
      <c r="I8" s="220"/>
      <c r="J8" s="220"/>
      <c r="K8" s="220"/>
      <c r="L8" s="221"/>
      <c r="N8" s="204" t="s">
        <v>15</v>
      </c>
      <c r="O8" s="204"/>
      <c r="P8" s="203"/>
      <c r="Q8" s="203"/>
      <c r="R8" s="203"/>
      <c r="S8" s="203"/>
      <c r="T8" s="203"/>
      <c r="U8" s="203"/>
      <c r="V8" s="203"/>
    </row>
    <row r="9" spans="2:22" ht="13.15" x14ac:dyDescent="0.4">
      <c r="B9" s="218" t="s">
        <v>234</v>
      </c>
      <c r="C9" s="218" t="s">
        <v>235</v>
      </c>
      <c r="D9" s="218" t="s">
        <v>253</v>
      </c>
      <c r="E9" s="218" t="s">
        <v>5</v>
      </c>
      <c r="F9" s="219" t="s">
        <v>6</v>
      </c>
      <c r="G9" s="222" t="s">
        <v>254</v>
      </c>
      <c r="H9" s="222" t="s">
        <v>255</v>
      </c>
      <c r="I9" s="222" t="s">
        <v>256</v>
      </c>
      <c r="J9" s="222">
        <v>0</v>
      </c>
      <c r="K9" s="219">
        <v>2005</v>
      </c>
      <c r="L9" s="219">
        <v>2015</v>
      </c>
      <c r="N9" s="205" t="s">
        <v>11</v>
      </c>
      <c r="O9" s="206" t="s">
        <v>30</v>
      </c>
      <c r="P9" s="205" t="s">
        <v>1</v>
      </c>
      <c r="Q9" s="205" t="s">
        <v>2</v>
      </c>
      <c r="R9" s="205" t="s">
        <v>16</v>
      </c>
      <c r="S9" s="205" t="s">
        <v>17</v>
      </c>
      <c r="T9" s="205" t="s">
        <v>18</v>
      </c>
      <c r="U9" s="205" t="s">
        <v>19</v>
      </c>
      <c r="V9" s="205" t="s">
        <v>20</v>
      </c>
    </row>
    <row r="10" spans="2:22" ht="21" thickBot="1" x14ac:dyDescent="0.4">
      <c r="B10" s="223" t="s">
        <v>42</v>
      </c>
      <c r="C10" s="223"/>
      <c r="D10" s="223"/>
      <c r="E10" s="223" t="s">
        <v>32</v>
      </c>
      <c r="F10" s="223" t="s">
        <v>33</v>
      </c>
      <c r="G10" s="223"/>
      <c r="H10" s="223"/>
      <c r="I10" s="223"/>
      <c r="J10" s="223"/>
      <c r="K10" s="223"/>
      <c r="L10" s="223"/>
      <c r="N10" s="199" t="s">
        <v>41</v>
      </c>
      <c r="O10" s="199" t="s">
        <v>31</v>
      </c>
      <c r="P10" s="199" t="s">
        <v>21</v>
      </c>
      <c r="Q10" s="199" t="s">
        <v>22</v>
      </c>
      <c r="R10" s="199" t="s">
        <v>23</v>
      </c>
      <c r="S10" s="199" t="s">
        <v>24</v>
      </c>
      <c r="T10" s="199" t="s">
        <v>46</v>
      </c>
      <c r="U10" s="199" t="s">
        <v>45</v>
      </c>
      <c r="V10" s="199" t="s">
        <v>25</v>
      </c>
    </row>
    <row r="11" spans="2:22" ht="14.65" thickBot="1" x14ac:dyDescent="0.5">
      <c r="B11" s="209" t="s">
        <v>273</v>
      </c>
      <c r="C11" s="209" t="s">
        <v>258</v>
      </c>
      <c r="D11" s="209" t="s">
        <v>259</v>
      </c>
      <c r="E11" s="209" t="s">
        <v>47</v>
      </c>
      <c r="F11" s="209" t="s">
        <v>274</v>
      </c>
      <c r="G11" s="209"/>
      <c r="H11" s="209"/>
      <c r="I11" s="209" t="s">
        <v>260</v>
      </c>
      <c r="J11" s="209"/>
      <c r="K11" s="213">
        <v>1</v>
      </c>
      <c r="L11" s="209"/>
      <c r="N11" s="199" t="s">
        <v>104</v>
      </c>
      <c r="O11" s="199"/>
      <c r="P11" s="199"/>
      <c r="Q11" s="199"/>
      <c r="R11" s="199"/>
      <c r="S11" s="199"/>
      <c r="T11" s="199"/>
      <c r="U11" s="199"/>
      <c r="V11" s="199"/>
    </row>
    <row r="12" spans="2:22" ht="14.25" x14ac:dyDescent="0.45">
      <c r="B12" s="209" t="s">
        <v>273</v>
      </c>
      <c r="C12" s="209" t="s">
        <v>263</v>
      </c>
      <c r="D12" s="209"/>
      <c r="E12" s="209"/>
      <c r="F12" s="209"/>
      <c r="G12" s="209" t="s">
        <v>265</v>
      </c>
      <c r="H12" s="209"/>
      <c r="I12" s="209"/>
      <c r="J12" s="209"/>
      <c r="K12" s="213">
        <v>0.95</v>
      </c>
      <c r="L12" s="209"/>
      <c r="N12" s="203" t="s">
        <v>120</v>
      </c>
      <c r="O12" s="203"/>
      <c r="P12" s="203" t="str">
        <f>LEFT(N12,1)&amp;B2&amp;RIGHT(Q12,3)</f>
        <v>DTPSCOA</v>
      </c>
      <c r="Q12" s="203" t="str">
        <f>$D$2&amp;" "&amp;$C$2&amp;" - "&amp;EnergyBalance!D2</f>
        <v>Demand Technology Total Primary Supply - COA</v>
      </c>
      <c r="R12" s="203" t="str">
        <f>$E$2</f>
        <v>PJ</v>
      </c>
      <c r="S12" s="203" t="str">
        <f>$E$2&amp;"a"</f>
        <v>PJa</v>
      </c>
      <c r="T12" s="203"/>
      <c r="U12" s="203"/>
      <c r="V12" s="203"/>
    </row>
    <row r="13" spans="2:22" ht="14.25" x14ac:dyDescent="0.45">
      <c r="B13" s="209" t="s">
        <v>273</v>
      </c>
      <c r="C13" s="209" t="s">
        <v>272</v>
      </c>
      <c r="D13" s="209"/>
      <c r="E13" s="209"/>
      <c r="F13" s="209"/>
      <c r="G13" s="209"/>
      <c r="H13" s="209" t="s">
        <v>267</v>
      </c>
      <c r="I13" s="209"/>
      <c r="J13" s="209"/>
      <c r="K13" s="213">
        <v>10</v>
      </c>
      <c r="L13" s="209"/>
    </row>
    <row r="14" spans="2:22" ht="14.25" x14ac:dyDescent="0.45">
      <c r="B14" s="209" t="s">
        <v>273</v>
      </c>
      <c r="C14" s="209" t="s">
        <v>266</v>
      </c>
      <c r="D14" s="209"/>
      <c r="E14" s="209"/>
      <c r="F14" s="209"/>
      <c r="G14" s="209"/>
      <c r="H14" s="209" t="s">
        <v>267</v>
      </c>
      <c r="I14" s="209"/>
      <c r="J14" s="209"/>
      <c r="K14" s="213">
        <f>K13*0.02</f>
        <v>0.2</v>
      </c>
      <c r="L14" s="209"/>
      <c r="Q14" s="34"/>
    </row>
    <row r="15" spans="2:22" ht="14.25" x14ac:dyDescent="0.45">
      <c r="B15" s="209" t="s">
        <v>273</v>
      </c>
      <c r="C15" s="209" t="s">
        <v>268</v>
      </c>
      <c r="D15" s="209"/>
      <c r="E15" s="209"/>
      <c r="F15" s="209"/>
      <c r="G15" s="209"/>
      <c r="H15" s="209"/>
      <c r="I15" s="209"/>
      <c r="J15" s="209"/>
      <c r="K15" s="213">
        <v>20</v>
      </c>
      <c r="L15" s="209"/>
      <c r="Q15" s="34"/>
    </row>
    <row r="18" spans="2:9" x14ac:dyDescent="0.35">
      <c r="I18" s="178"/>
    </row>
    <row r="19" spans="2:9" x14ac:dyDescent="0.35">
      <c r="I19" s="178"/>
    </row>
    <row r="23" spans="2:9" x14ac:dyDescent="0.35">
      <c r="B23" s="153"/>
      <c r="C23" s="33" t="s">
        <v>210</v>
      </c>
    </row>
    <row r="24" spans="2:9" x14ac:dyDescent="0.35">
      <c r="B24" s="179"/>
      <c r="C24" s="33" t="s">
        <v>211</v>
      </c>
    </row>
  </sheetData>
  <pageMargins left="0.7" right="0.7" top="0.75" bottom="0.75" header="0.3" footer="0.3"/>
  <drawing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B1:V19"/>
  <sheetViews>
    <sheetView zoomScaleNormal="100" workbookViewId="0"/>
  </sheetViews>
  <sheetFormatPr defaultColWidth="8.86328125" defaultRowHeight="12.75" x14ac:dyDescent="0.35"/>
  <cols>
    <col min="1" max="1" width="3" style="33" customWidth="1"/>
    <col min="2" max="2" width="12.1328125" style="33" bestFit="1" customWidth="1"/>
    <col min="3" max="3" width="15" style="33" customWidth="1"/>
    <col min="4" max="4" width="13.86328125" style="33" bestFit="1" customWidth="1"/>
    <col min="5" max="5" width="12.265625" style="33" customWidth="1"/>
    <col min="6" max="6" width="13.1328125" style="33" bestFit="1" customWidth="1"/>
    <col min="7" max="7" width="7.3984375" style="33" customWidth="1"/>
    <col min="8" max="8" width="9.1328125" style="33" bestFit="1" customWidth="1"/>
    <col min="9" max="9" width="9.3984375" style="33" customWidth="1"/>
    <col min="10" max="12" width="8.1328125" style="33" customWidth="1"/>
    <col min="13" max="13" width="2.73046875" style="33" customWidth="1"/>
    <col min="14" max="14" width="12.73046875" style="33" bestFit="1" customWidth="1"/>
    <col min="15" max="15" width="7.1328125" style="33" customWidth="1"/>
    <col min="16" max="16" width="11.3984375" style="33" bestFit="1" customWidth="1"/>
    <col min="17" max="17" width="41.59765625" style="33" bestFit="1" customWidth="1"/>
    <col min="18" max="18" width="5.73046875" style="33" customWidth="1"/>
    <col min="19" max="19" width="11.73046875" style="33" customWidth="1"/>
    <col min="20" max="20" width="14" style="33" customWidth="1"/>
    <col min="21" max="21" width="13.73046875" style="33" bestFit="1" customWidth="1"/>
    <col min="22" max="22" width="8.3984375" style="33" customWidth="1"/>
    <col min="23" max="16384" width="8.86328125" style="33"/>
  </cols>
  <sheetData>
    <row r="1" spans="2:22" ht="14.25" x14ac:dyDescent="0.45">
      <c r="B1" s="9" t="s">
        <v>94</v>
      </c>
      <c r="C1" s="9" t="s">
        <v>96</v>
      </c>
      <c r="D1" s="9" t="s">
        <v>146</v>
      </c>
      <c r="E1" s="9" t="s">
        <v>98</v>
      </c>
      <c r="F1" s="9" t="s">
        <v>99</v>
      </c>
      <c r="H1" s="9" t="s">
        <v>121</v>
      </c>
    </row>
    <row r="2" spans="2:22" ht="31.5" x14ac:dyDescent="0.5">
      <c r="B2" s="12" t="str">
        <f>EnergyBalance!B8</f>
        <v>TPS</v>
      </c>
      <c r="C2" s="21" t="str">
        <f>EnergyBalance!C8</f>
        <v>Total Primary Supply</v>
      </c>
      <c r="D2" s="21" t="str">
        <f>"Demand Technology"</f>
        <v>Demand Technology</v>
      </c>
      <c r="E2" s="12" t="str">
        <f>EnergyBalance!W2</f>
        <v>PJ</v>
      </c>
      <c r="F2" s="12" t="str">
        <f>EnergyBalance!V2</f>
        <v>M€2005</v>
      </c>
      <c r="H2" s="12" t="s">
        <v>122</v>
      </c>
      <c r="N2" s="204" t="s">
        <v>14</v>
      </c>
      <c r="O2" s="204"/>
      <c r="P2" s="203"/>
      <c r="Q2" s="203"/>
      <c r="R2" s="203"/>
      <c r="S2" s="203"/>
      <c r="T2" s="203"/>
      <c r="U2" s="203"/>
      <c r="V2" s="203"/>
    </row>
    <row r="3" spans="2:22" ht="13.15" x14ac:dyDescent="0.4">
      <c r="N3" s="205" t="s">
        <v>7</v>
      </c>
      <c r="O3" s="206" t="s">
        <v>30</v>
      </c>
      <c r="P3" s="205" t="s">
        <v>0</v>
      </c>
      <c r="Q3" s="205" t="s">
        <v>3</v>
      </c>
      <c r="R3" s="205" t="s">
        <v>4</v>
      </c>
      <c r="S3" s="205" t="s">
        <v>8</v>
      </c>
      <c r="T3" s="205" t="s">
        <v>9</v>
      </c>
      <c r="U3" s="205" t="s">
        <v>10</v>
      </c>
      <c r="V3" s="205" t="s">
        <v>12</v>
      </c>
    </row>
    <row r="4" spans="2:22" ht="22.15" thickBot="1" x14ac:dyDescent="0.55000000000000004">
      <c r="B4" s="10"/>
      <c r="C4" s="10"/>
      <c r="D4" s="10"/>
      <c r="E4" s="10"/>
      <c r="F4" s="10"/>
      <c r="N4" s="199" t="s">
        <v>40</v>
      </c>
      <c r="O4" s="199" t="s">
        <v>31</v>
      </c>
      <c r="P4" s="199" t="s">
        <v>26</v>
      </c>
      <c r="Q4" s="199" t="s">
        <v>27</v>
      </c>
      <c r="R4" s="199" t="s">
        <v>4</v>
      </c>
      <c r="S4" s="199" t="s">
        <v>43</v>
      </c>
      <c r="T4" s="199" t="s">
        <v>44</v>
      </c>
      <c r="U4" s="199" t="s">
        <v>28</v>
      </c>
      <c r="V4" s="199" t="s">
        <v>29</v>
      </c>
    </row>
    <row r="5" spans="2:22" ht="15.75" x14ac:dyDescent="0.5">
      <c r="B5" s="10"/>
      <c r="C5" s="10"/>
      <c r="D5" s="10"/>
      <c r="E5" s="10"/>
      <c r="F5" s="10"/>
      <c r="N5" s="203" t="s">
        <v>106</v>
      </c>
      <c r="O5" s="203"/>
      <c r="P5" s="203" t="str">
        <f>B2&amp;EnergyBalance!R2</f>
        <v>TPSELC</v>
      </c>
      <c r="Q5" s="203" t="str">
        <f>LEFT($D$2,6)&amp;" "&amp;$C$2&amp;" - "&amp;EnergyBalance!R2</f>
        <v>Demand Total Primary Supply - ELC</v>
      </c>
      <c r="R5" s="203" t="str">
        <f>$E$2</f>
        <v>PJ</v>
      </c>
      <c r="S5" s="203"/>
      <c r="T5" s="203"/>
      <c r="U5" s="203"/>
      <c r="V5" s="203"/>
    </row>
    <row r="8" spans="2:22" ht="13.15" x14ac:dyDescent="0.4">
      <c r="B8" s="226"/>
      <c r="C8" s="226"/>
      <c r="D8" s="217" t="s">
        <v>13</v>
      </c>
      <c r="E8" s="217"/>
      <c r="F8" s="217"/>
      <c r="G8" s="226"/>
      <c r="H8" s="217"/>
      <c r="I8" s="220"/>
      <c r="J8" s="220"/>
      <c r="K8" s="220"/>
      <c r="L8" s="221"/>
      <c r="N8" s="204" t="s">
        <v>15</v>
      </c>
      <c r="O8" s="204"/>
      <c r="P8" s="203"/>
      <c r="Q8" s="203"/>
      <c r="R8" s="203"/>
      <c r="S8" s="203"/>
      <c r="T8" s="203"/>
      <c r="U8" s="203"/>
      <c r="V8" s="203"/>
    </row>
    <row r="9" spans="2:22" ht="13.15" x14ac:dyDescent="0.4">
      <c r="B9" s="218" t="s">
        <v>234</v>
      </c>
      <c r="C9" s="218" t="s">
        <v>235</v>
      </c>
      <c r="D9" s="218" t="s">
        <v>253</v>
      </c>
      <c r="E9" s="218" t="s">
        <v>5</v>
      </c>
      <c r="F9" s="219" t="s">
        <v>6</v>
      </c>
      <c r="G9" s="222" t="s">
        <v>254</v>
      </c>
      <c r="H9" s="222" t="s">
        <v>255</v>
      </c>
      <c r="I9" s="222" t="s">
        <v>256</v>
      </c>
      <c r="J9" s="222">
        <v>0</v>
      </c>
      <c r="K9" s="219">
        <v>2005</v>
      </c>
      <c r="L9" s="219">
        <v>2015</v>
      </c>
      <c r="N9" s="205" t="s">
        <v>11</v>
      </c>
      <c r="O9" s="206" t="s">
        <v>30</v>
      </c>
      <c r="P9" s="205" t="s">
        <v>1</v>
      </c>
      <c r="Q9" s="205" t="s">
        <v>2</v>
      </c>
      <c r="R9" s="205" t="s">
        <v>16</v>
      </c>
      <c r="S9" s="205" t="s">
        <v>17</v>
      </c>
      <c r="T9" s="205" t="s">
        <v>18</v>
      </c>
      <c r="U9" s="205" t="s">
        <v>19</v>
      </c>
      <c r="V9" s="205" t="s">
        <v>20</v>
      </c>
    </row>
    <row r="10" spans="2:22" ht="21" thickBot="1" x14ac:dyDescent="0.4">
      <c r="B10" s="223" t="s">
        <v>42</v>
      </c>
      <c r="C10" s="223"/>
      <c r="D10" s="223"/>
      <c r="E10" s="223" t="s">
        <v>32</v>
      </c>
      <c r="F10" s="223" t="s">
        <v>33</v>
      </c>
      <c r="G10" s="223"/>
      <c r="H10" s="223"/>
      <c r="I10" s="223"/>
      <c r="J10" s="223"/>
      <c r="K10" s="223"/>
      <c r="L10" s="223"/>
      <c r="N10" s="199" t="s">
        <v>41</v>
      </c>
      <c r="O10" s="199" t="s">
        <v>31</v>
      </c>
      <c r="P10" s="199" t="s">
        <v>21</v>
      </c>
      <c r="Q10" s="199" t="s">
        <v>22</v>
      </c>
      <c r="R10" s="199" t="s">
        <v>23</v>
      </c>
      <c r="S10" s="199" t="s">
        <v>24</v>
      </c>
      <c r="T10" s="199" t="s">
        <v>46</v>
      </c>
      <c r="U10" s="199" t="s">
        <v>45</v>
      </c>
      <c r="V10" s="199" t="s">
        <v>25</v>
      </c>
    </row>
    <row r="11" spans="2:22" ht="14.65" thickBot="1" x14ac:dyDescent="0.5">
      <c r="B11" s="209" t="s">
        <v>270</v>
      </c>
      <c r="C11" s="209" t="s">
        <v>258</v>
      </c>
      <c r="D11" s="209" t="s">
        <v>259</v>
      </c>
      <c r="E11" s="209" t="s">
        <v>54</v>
      </c>
      <c r="F11" s="209" t="s">
        <v>271</v>
      </c>
      <c r="G11" s="209"/>
      <c r="H11" s="209"/>
      <c r="I11" s="209" t="s">
        <v>260</v>
      </c>
      <c r="J11" s="209"/>
      <c r="K11" s="213">
        <v>1</v>
      </c>
      <c r="L11" s="209"/>
      <c r="N11" s="199" t="s">
        <v>104</v>
      </c>
      <c r="O11" s="199"/>
      <c r="P11" s="199"/>
      <c r="Q11" s="199"/>
      <c r="R11" s="199"/>
      <c r="S11" s="199"/>
      <c r="T11" s="199"/>
      <c r="U11" s="199"/>
      <c r="V11" s="199"/>
    </row>
    <row r="12" spans="2:22" ht="14.25" x14ac:dyDescent="0.45">
      <c r="B12" s="209" t="s">
        <v>270</v>
      </c>
      <c r="C12" s="209" t="s">
        <v>263</v>
      </c>
      <c r="D12" s="209"/>
      <c r="E12" s="209"/>
      <c r="F12" s="209"/>
      <c r="G12" s="209" t="s">
        <v>265</v>
      </c>
      <c r="H12" s="209"/>
      <c r="I12" s="209"/>
      <c r="J12" s="209"/>
      <c r="K12" s="213">
        <v>0.95</v>
      </c>
      <c r="L12" s="209"/>
      <c r="N12" s="203" t="s">
        <v>120</v>
      </c>
      <c r="O12" s="203"/>
      <c r="P12" s="203" t="str">
        <f>LEFT(N12,1)&amp;B2&amp;RIGHT(Q12,3)</f>
        <v>DTPSELC</v>
      </c>
      <c r="Q12" s="203" t="str">
        <f>$D$2&amp;" "&amp;$C$2&amp;" - "&amp;EnergyBalance!R2</f>
        <v>Demand Technology Total Primary Supply - ELC</v>
      </c>
      <c r="R12" s="203" t="str">
        <f>$E$2</f>
        <v>PJ</v>
      </c>
      <c r="S12" s="203" t="str">
        <f>$E$2&amp;"a"</f>
        <v>PJa</v>
      </c>
      <c r="T12" s="203"/>
      <c r="U12" s="203"/>
      <c r="V12" s="203"/>
    </row>
    <row r="13" spans="2:22" ht="14.25" x14ac:dyDescent="0.45">
      <c r="B13" s="209" t="s">
        <v>270</v>
      </c>
      <c r="C13" s="209" t="s">
        <v>272</v>
      </c>
      <c r="D13" s="209"/>
      <c r="E13" s="209"/>
      <c r="F13" s="209"/>
      <c r="G13" s="209"/>
      <c r="H13" s="209" t="s">
        <v>267</v>
      </c>
      <c r="I13" s="209"/>
      <c r="J13" s="209"/>
      <c r="K13" s="213">
        <v>10</v>
      </c>
      <c r="L13" s="209"/>
    </row>
    <row r="14" spans="2:22" ht="14.25" x14ac:dyDescent="0.45">
      <c r="B14" s="209" t="s">
        <v>270</v>
      </c>
      <c r="C14" s="209" t="s">
        <v>266</v>
      </c>
      <c r="D14" s="209"/>
      <c r="E14" s="209"/>
      <c r="F14" s="209"/>
      <c r="G14" s="209"/>
      <c r="H14" s="209" t="s">
        <v>267</v>
      </c>
      <c r="I14" s="209"/>
      <c r="J14" s="209"/>
      <c r="K14" s="213">
        <f>K13*0.02</f>
        <v>0.2</v>
      </c>
      <c r="L14" s="209"/>
      <c r="Q14" s="34"/>
    </row>
    <row r="15" spans="2:22" ht="14.25" x14ac:dyDescent="0.45">
      <c r="B15" s="209" t="s">
        <v>270</v>
      </c>
      <c r="C15" s="209" t="s">
        <v>268</v>
      </c>
      <c r="D15" s="209"/>
      <c r="E15" s="209"/>
      <c r="F15" s="209"/>
      <c r="G15" s="209"/>
      <c r="H15" s="209"/>
      <c r="I15" s="209"/>
      <c r="J15" s="209"/>
      <c r="K15" s="213">
        <v>20</v>
      </c>
      <c r="L15" s="209"/>
      <c r="Q15" s="34"/>
    </row>
    <row r="18" spans="3:4" x14ac:dyDescent="0.35">
      <c r="C18" s="153"/>
      <c r="D18" s="33" t="s">
        <v>210</v>
      </c>
    </row>
    <row r="19" spans="3:4" x14ac:dyDescent="0.35">
      <c r="C19" s="179"/>
      <c r="D19" s="33" t="s">
        <v>211</v>
      </c>
    </row>
  </sheetData>
  <pageMargins left="0.7" right="0.7" top="0.75" bottom="0.75" header="0.3" footer="0.3"/>
  <drawing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1:X28"/>
  <sheetViews>
    <sheetView topLeftCell="A4" zoomScaleNormal="100" workbookViewId="0">
      <selection activeCell="A21" sqref="A21"/>
    </sheetView>
  </sheetViews>
  <sheetFormatPr defaultRowHeight="12.75" x14ac:dyDescent="0.35"/>
  <cols>
    <col min="1" max="1" width="3" customWidth="1"/>
    <col min="2" max="2" width="12.1328125" bestFit="1" customWidth="1"/>
    <col min="3" max="3" width="11.86328125" bestFit="1" customWidth="1"/>
    <col min="4" max="4" width="13.86328125" bestFit="1" customWidth="1"/>
    <col min="5" max="5" width="12.265625" bestFit="1" customWidth="1"/>
    <col min="6" max="6" width="13.1328125" bestFit="1" customWidth="1"/>
    <col min="7" max="7" width="7.3984375" bestFit="1" customWidth="1"/>
    <col min="8" max="8" width="9.265625" bestFit="1" customWidth="1"/>
    <col min="9" max="9" width="9" customWidth="1"/>
    <col min="10" max="10" width="8.1328125" customWidth="1"/>
    <col min="11" max="11" width="4.73046875" bestFit="1" customWidth="1"/>
    <col min="12" max="13" width="5.6640625" bestFit="1" customWidth="1"/>
    <col min="14" max="14" width="4.73046875" bestFit="1" customWidth="1"/>
    <col min="15" max="15" width="2" customWidth="1"/>
    <col min="16" max="16" width="12.73046875" bestFit="1" customWidth="1"/>
    <col min="17" max="17" width="7.1328125" customWidth="1"/>
    <col min="18" max="18" width="11.3984375" bestFit="1" customWidth="1"/>
    <col min="19" max="19" width="62.3984375" bestFit="1" customWidth="1"/>
    <col min="20" max="20" width="5.73046875" customWidth="1"/>
    <col min="21" max="21" width="11.73046875" customWidth="1"/>
    <col min="22" max="22" width="13.3984375" customWidth="1"/>
    <col min="23" max="23" width="13.86328125" customWidth="1"/>
    <col min="24" max="24" width="8.3984375" customWidth="1"/>
  </cols>
  <sheetData>
    <row r="1" spans="2:24" ht="14.25" x14ac:dyDescent="0.45">
      <c r="B1" s="9" t="s">
        <v>94</v>
      </c>
      <c r="C1" s="9" t="s">
        <v>96</v>
      </c>
      <c r="D1" s="9" t="s">
        <v>146</v>
      </c>
      <c r="E1" s="9" t="s">
        <v>98</v>
      </c>
      <c r="F1" s="9" t="s">
        <v>99</v>
      </c>
      <c r="H1" s="9" t="s">
        <v>121</v>
      </c>
      <c r="I1" s="52"/>
    </row>
    <row r="2" spans="2:24" ht="31.5" x14ac:dyDescent="0.5">
      <c r="B2" s="12" t="str">
        <f>EnergyBalance!B16</f>
        <v>RSD</v>
      </c>
      <c r="C2" s="12" t="str">
        <f>EnergyBalance!C16</f>
        <v>Residential</v>
      </c>
      <c r="D2" s="21" t="str">
        <f>"Demand Technologies"</f>
        <v>Demand Technologies</v>
      </c>
      <c r="E2" s="12" t="str">
        <f>EnergyBalance!W2</f>
        <v>PJ</v>
      </c>
      <c r="F2" s="12" t="str">
        <f>EnergyBalance!V2</f>
        <v>M€2005</v>
      </c>
      <c r="H2" s="12" t="s">
        <v>122</v>
      </c>
      <c r="I2" s="10"/>
      <c r="P2" s="195" t="s">
        <v>14</v>
      </c>
      <c r="Q2" s="195"/>
      <c r="R2" s="196"/>
      <c r="S2" s="196"/>
      <c r="T2" s="196"/>
      <c r="U2" s="196"/>
      <c r="V2" s="196"/>
      <c r="W2" s="196"/>
      <c r="X2" s="196"/>
    </row>
    <row r="3" spans="2:24" ht="13.15" x14ac:dyDescent="0.4">
      <c r="P3" s="197" t="s">
        <v>7</v>
      </c>
      <c r="Q3" s="198" t="s">
        <v>30</v>
      </c>
      <c r="R3" s="197" t="s">
        <v>0</v>
      </c>
      <c r="S3" s="197" t="s">
        <v>3</v>
      </c>
      <c r="T3" s="197" t="s">
        <v>4</v>
      </c>
      <c r="U3" s="197" t="s">
        <v>8</v>
      </c>
      <c r="V3" s="197" t="s">
        <v>9</v>
      </c>
      <c r="W3" s="197" t="s">
        <v>10</v>
      </c>
      <c r="X3" s="197" t="s">
        <v>12</v>
      </c>
    </row>
    <row r="4" spans="2:24" ht="22.15" thickBot="1" x14ac:dyDescent="0.55000000000000004">
      <c r="B4" s="10"/>
      <c r="C4" s="10"/>
      <c r="D4" s="10"/>
      <c r="E4" s="10"/>
      <c r="F4" s="10"/>
      <c r="P4" s="199" t="s">
        <v>40</v>
      </c>
      <c r="Q4" s="199" t="s">
        <v>31</v>
      </c>
      <c r="R4" s="199" t="s">
        <v>26</v>
      </c>
      <c r="S4" s="199" t="s">
        <v>27</v>
      </c>
      <c r="T4" s="199" t="s">
        <v>4</v>
      </c>
      <c r="U4" s="199" t="s">
        <v>43</v>
      </c>
      <c r="V4" s="199" t="s">
        <v>44</v>
      </c>
      <c r="W4" s="199" t="s">
        <v>28</v>
      </c>
      <c r="X4" s="199" t="s">
        <v>29</v>
      </c>
    </row>
    <row r="5" spans="2:24" ht="15.75" x14ac:dyDescent="0.5">
      <c r="B5" s="10"/>
      <c r="C5" s="10"/>
      <c r="D5" s="10"/>
      <c r="E5" s="10"/>
      <c r="F5" s="10"/>
      <c r="P5" s="196" t="s">
        <v>106</v>
      </c>
      <c r="Q5" s="200"/>
      <c r="R5" s="196" t="str">
        <f>LEFT($P$5,1)&amp;LEFT(B2,1)&amp;EnergyBalance!$C$44</f>
        <v>DROT</v>
      </c>
      <c r="S5" s="196" t="str">
        <f>LEFT($D$2,6)&amp;" "&amp;$C$2&amp; " Sector - "&amp;EnergyBalance!$U$44</f>
        <v>Demand Residential Sector - Other</v>
      </c>
      <c r="T5" s="196" t="str">
        <f>$E$2</f>
        <v>PJ</v>
      </c>
      <c r="U5" s="196"/>
      <c r="V5" s="196"/>
      <c r="W5" s="196"/>
      <c r="X5" s="196"/>
    </row>
    <row r="6" spans="2:24" x14ac:dyDescent="0.35">
      <c r="P6" s="200" t="s">
        <v>137</v>
      </c>
      <c r="Q6" s="200"/>
      <c r="R6" s="200" t="str">
        <f>$B$2&amp;EnergyBalance!$C$52</f>
        <v>RSDCO2</v>
      </c>
      <c r="S6" s="200" t="str">
        <f>$C$2&amp;" "&amp;EnergyBalance!$C$53</f>
        <v>Residential Carbon dioxide</v>
      </c>
      <c r="T6" s="200" t="str">
        <f>EnergyBalance!$X$2</f>
        <v>kt</v>
      </c>
      <c r="U6" s="200"/>
      <c r="V6" s="200"/>
      <c r="W6" s="200"/>
      <c r="X6" s="200"/>
    </row>
    <row r="8" spans="2:24" ht="13.15" x14ac:dyDescent="0.4">
      <c r="D8" s="217" t="s">
        <v>13</v>
      </c>
      <c r="E8" s="217"/>
      <c r="F8" s="217"/>
      <c r="G8" s="217"/>
      <c r="I8" s="217"/>
      <c r="J8" s="220"/>
      <c r="K8" s="221"/>
      <c r="L8" s="221"/>
      <c r="M8" s="221"/>
      <c r="N8" s="11"/>
      <c r="P8" s="195" t="s">
        <v>15</v>
      </c>
      <c r="Q8" s="195"/>
      <c r="R8" s="200"/>
      <c r="S8" s="200"/>
      <c r="T8" s="200"/>
      <c r="U8" s="200"/>
      <c r="V8" s="200"/>
      <c r="W8" s="200"/>
      <c r="X8" s="200"/>
    </row>
    <row r="9" spans="2:24" ht="13.15" x14ac:dyDescent="0.4">
      <c r="B9" s="218" t="s">
        <v>234</v>
      </c>
      <c r="C9" s="218" t="s">
        <v>235</v>
      </c>
      <c r="D9" s="218" t="s">
        <v>253</v>
      </c>
      <c r="E9" s="218" t="s">
        <v>5</v>
      </c>
      <c r="F9" s="219" t="s">
        <v>6</v>
      </c>
      <c r="G9" s="222" t="s">
        <v>254</v>
      </c>
      <c r="H9" s="222" t="s">
        <v>255</v>
      </c>
      <c r="I9" s="222" t="s">
        <v>256</v>
      </c>
      <c r="J9" s="222">
        <v>0</v>
      </c>
      <c r="K9" s="219">
        <v>2005</v>
      </c>
      <c r="L9" s="222" t="s">
        <v>176</v>
      </c>
      <c r="M9" s="222" t="s">
        <v>177</v>
      </c>
      <c r="N9" s="219">
        <v>2025</v>
      </c>
      <c r="P9" s="197" t="s">
        <v>11</v>
      </c>
      <c r="Q9" s="198" t="s">
        <v>30</v>
      </c>
      <c r="R9" s="197" t="s">
        <v>1</v>
      </c>
      <c r="S9" s="197" t="s">
        <v>2</v>
      </c>
      <c r="T9" s="197" t="s">
        <v>16</v>
      </c>
      <c r="U9" s="197" t="s">
        <v>17</v>
      </c>
      <c r="V9" s="197" t="s">
        <v>18</v>
      </c>
      <c r="W9" s="197" t="s">
        <v>19</v>
      </c>
      <c r="X9" s="197" t="s">
        <v>20</v>
      </c>
    </row>
    <row r="10" spans="2:24" ht="21" thickBot="1" x14ac:dyDescent="0.4">
      <c r="B10" s="223" t="s">
        <v>42</v>
      </c>
      <c r="C10" s="223"/>
      <c r="D10" s="223"/>
      <c r="E10" s="223" t="s">
        <v>32</v>
      </c>
      <c r="F10" s="223" t="s">
        <v>33</v>
      </c>
      <c r="G10" s="223"/>
      <c r="H10" s="223"/>
      <c r="I10" s="223"/>
      <c r="J10" s="223"/>
      <c r="K10" s="223"/>
      <c r="L10" s="223"/>
      <c r="M10" s="223"/>
      <c r="N10" s="223"/>
      <c r="P10" s="199" t="s">
        <v>41</v>
      </c>
      <c r="Q10" s="199" t="s">
        <v>31</v>
      </c>
      <c r="R10" s="199" t="s">
        <v>21</v>
      </c>
      <c r="S10" s="199" t="s">
        <v>22</v>
      </c>
      <c r="T10" s="199" t="s">
        <v>23</v>
      </c>
      <c r="U10" s="199" t="s">
        <v>24</v>
      </c>
      <c r="V10" s="199" t="s">
        <v>46</v>
      </c>
      <c r="W10" s="199" t="s">
        <v>45</v>
      </c>
      <c r="X10" s="199" t="s">
        <v>25</v>
      </c>
    </row>
    <row r="11" spans="2:24" ht="14.65" thickBot="1" x14ac:dyDescent="0.5">
      <c r="B11" s="209" t="s">
        <v>257</v>
      </c>
      <c r="C11" s="209" t="s">
        <v>258</v>
      </c>
      <c r="D11" s="209" t="s">
        <v>259</v>
      </c>
      <c r="E11" s="209"/>
      <c r="F11" s="209"/>
      <c r="G11" s="209"/>
      <c r="H11" s="209"/>
      <c r="I11" s="209" t="s">
        <v>260</v>
      </c>
      <c r="J11" s="209"/>
      <c r="K11" s="213">
        <v>1</v>
      </c>
      <c r="L11" s="213"/>
      <c r="M11" s="213"/>
      <c r="N11" s="209"/>
      <c r="P11" s="199" t="s">
        <v>104</v>
      </c>
      <c r="Q11" s="199"/>
      <c r="R11" s="199"/>
      <c r="S11" s="199"/>
      <c r="T11" s="199"/>
      <c r="U11" s="199"/>
      <c r="V11" s="199"/>
      <c r="W11" s="199"/>
      <c r="X11" s="199"/>
    </row>
    <row r="12" spans="2:24" ht="14.25" x14ac:dyDescent="0.45">
      <c r="B12" s="209" t="s">
        <v>257</v>
      </c>
      <c r="C12" s="224" t="s">
        <v>124</v>
      </c>
      <c r="D12" s="209" t="s">
        <v>261</v>
      </c>
      <c r="E12" s="209"/>
      <c r="F12" s="209" t="s">
        <v>262</v>
      </c>
      <c r="G12" s="209"/>
      <c r="H12" s="209"/>
      <c r="I12" s="209" t="s">
        <v>260</v>
      </c>
      <c r="J12" s="209"/>
      <c r="K12" s="213">
        <v>56.1</v>
      </c>
      <c r="L12" s="213"/>
      <c r="M12" s="213"/>
      <c r="N12" s="209"/>
      <c r="P12" s="196" t="s">
        <v>120</v>
      </c>
      <c r="Q12" s="200"/>
      <c r="R12" s="200" t="str">
        <f>LEFT(EnergyBalance!$B$16)&amp;EnergyBalance!$C$44&amp;$H$2&amp;EnergyBalance!E2</f>
        <v>ROTEGAS</v>
      </c>
      <c r="S12" s="200" t="str">
        <f>$D$2&amp;" "&amp;$C$2&amp; " Sector - "&amp;" "&amp;$H$1&amp;" "&amp;EnergyBalance!$U$44&amp;" - "&amp;EnergyBalance!$E$3</f>
        <v>Demand Technologies Residential Sector -  Existing Other - Natural Gas</v>
      </c>
      <c r="T12" s="200" t="str">
        <f>$E$2</f>
        <v>PJ</v>
      </c>
      <c r="U12" s="200" t="str">
        <f>$E$2&amp;"a"</f>
        <v>PJa</v>
      </c>
      <c r="V12" s="200"/>
      <c r="W12" s="200"/>
      <c r="X12" s="200"/>
    </row>
    <row r="13" spans="2:24" ht="14.25" x14ac:dyDescent="0.45">
      <c r="B13" s="209" t="s">
        <v>257</v>
      </c>
      <c r="C13" s="209" t="s">
        <v>263</v>
      </c>
      <c r="D13" s="209"/>
      <c r="E13" s="209" t="s">
        <v>261</v>
      </c>
      <c r="F13" s="209" t="s">
        <v>264</v>
      </c>
      <c r="G13" s="209" t="s">
        <v>265</v>
      </c>
      <c r="H13" s="209"/>
      <c r="I13" s="209"/>
      <c r="J13" s="209"/>
      <c r="K13" s="213">
        <v>0.95</v>
      </c>
      <c r="L13" s="213"/>
      <c r="M13" s="213"/>
      <c r="N13" s="209"/>
      <c r="S13" s="20"/>
    </row>
    <row r="14" spans="2:24" ht="14.25" x14ac:dyDescent="0.45">
      <c r="B14" s="209" t="s">
        <v>257</v>
      </c>
      <c r="C14" s="209" t="s">
        <v>266</v>
      </c>
      <c r="D14" s="209"/>
      <c r="E14" s="209"/>
      <c r="F14" s="209"/>
      <c r="G14" s="209"/>
      <c r="H14" s="209" t="s">
        <v>267</v>
      </c>
      <c r="I14" s="209"/>
      <c r="J14" s="209"/>
      <c r="K14" s="151">
        <f>J14*0.02</f>
        <v>0</v>
      </c>
      <c r="L14" s="151"/>
      <c r="M14" s="151"/>
      <c r="N14" s="209"/>
      <c r="S14" s="20"/>
    </row>
    <row r="15" spans="2:24" ht="14.25" x14ac:dyDescent="0.45">
      <c r="B15" s="209" t="s">
        <v>257</v>
      </c>
      <c r="C15" s="209" t="s">
        <v>268</v>
      </c>
      <c r="D15" s="209"/>
      <c r="E15" s="209"/>
      <c r="F15" s="209"/>
      <c r="G15" s="209"/>
      <c r="H15" s="209"/>
      <c r="I15" s="209"/>
      <c r="J15" s="209"/>
      <c r="K15" s="72">
        <v>20</v>
      </c>
      <c r="L15" s="72"/>
      <c r="M15" s="72"/>
      <c r="N15" s="209"/>
      <c r="S15" s="20"/>
    </row>
    <row r="16" spans="2:24" ht="14.25" x14ac:dyDescent="0.45">
      <c r="B16" s="209" t="s">
        <v>257</v>
      </c>
      <c r="C16" s="209" t="s">
        <v>269</v>
      </c>
      <c r="D16" s="209"/>
      <c r="E16" s="209"/>
      <c r="F16" s="209"/>
      <c r="G16" s="209"/>
      <c r="H16" s="209"/>
      <c r="I16" s="209"/>
      <c r="J16" s="209"/>
      <c r="L16" s="225">
        <f>'EB1'!$E$16/$K$13*1.01</f>
        <v>0</v>
      </c>
      <c r="M16" s="225">
        <f>'EB2'!$E$16/$K$13*1.01</f>
        <v>5485.6746631578944</v>
      </c>
      <c r="N16" s="209">
        <v>0</v>
      </c>
    </row>
    <row r="18" spans="2:15" x14ac:dyDescent="0.35">
      <c r="I18" s="11"/>
    </row>
    <row r="19" spans="2:15" x14ac:dyDescent="0.35">
      <c r="I19" s="11"/>
    </row>
    <row r="23" spans="2:15" x14ac:dyDescent="0.35">
      <c r="B23" s="72"/>
      <c r="C23" s="1" t="s">
        <v>210</v>
      </c>
    </row>
    <row r="24" spans="2:15" x14ac:dyDescent="0.35">
      <c r="B24" s="146"/>
      <c r="C24" s="1" t="s">
        <v>211</v>
      </c>
      <c r="K24" s="1"/>
      <c r="L24" s="1"/>
      <c r="M24" s="1"/>
      <c r="N24" s="1"/>
    </row>
    <row r="25" spans="2:15" x14ac:dyDescent="0.35">
      <c r="K25" s="1"/>
      <c r="L25" s="1"/>
      <c r="M25" s="1"/>
      <c r="N25" s="1"/>
      <c r="O25" s="1"/>
    </row>
    <row r="26" spans="2:15" x14ac:dyDescent="0.35">
      <c r="K26" s="1"/>
      <c r="L26" s="1"/>
      <c r="M26" s="1"/>
      <c r="N26" s="1"/>
      <c r="O26" s="1"/>
    </row>
    <row r="27" spans="2:15" x14ac:dyDescent="0.35">
      <c r="K27" s="1"/>
      <c r="L27" s="1"/>
      <c r="M27" s="1"/>
      <c r="N27" s="1"/>
      <c r="O27" s="1"/>
    </row>
    <row r="28" spans="2:15" x14ac:dyDescent="0.35">
      <c r="O28" s="1"/>
    </row>
  </sheetData>
  <pageMargins left="0.7" right="0.7" top="0.75" bottom="0.75" header="0.3" footer="0.3"/>
  <drawing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B1:AA42"/>
  <sheetViews>
    <sheetView topLeftCell="B1" zoomScale="90" zoomScaleNormal="90" workbookViewId="0">
      <selection activeCell="Q19" sqref="Q19"/>
    </sheetView>
  </sheetViews>
  <sheetFormatPr defaultRowHeight="12.75" x14ac:dyDescent="0.35"/>
  <cols>
    <col min="1" max="1" width="3" customWidth="1"/>
    <col min="2" max="2" width="12.1328125" bestFit="1" customWidth="1"/>
    <col min="3" max="3" width="11.59765625" bestFit="1" customWidth="1"/>
    <col min="4" max="4" width="17.1328125" bestFit="1" customWidth="1"/>
    <col min="5" max="5" width="11.33203125" bestFit="1" customWidth="1"/>
    <col min="6" max="6" width="12.46484375" bestFit="1" customWidth="1"/>
    <col min="7" max="7" width="9.9296875" bestFit="1" customWidth="1"/>
    <col min="8" max="8" width="8.46484375" bestFit="1" customWidth="1"/>
    <col min="9" max="9" width="9.6640625" bestFit="1" customWidth="1"/>
    <col min="10" max="10" width="3.46484375" bestFit="1" customWidth="1"/>
    <col min="11" max="11" width="6.73046875" bestFit="1" customWidth="1"/>
    <col min="12" max="12" width="4.73046875" bestFit="1" customWidth="1"/>
    <col min="13" max="14" width="5.6640625" bestFit="1" customWidth="1"/>
    <col min="15" max="15" width="2" bestFit="1" customWidth="1"/>
    <col min="16" max="16" width="10.265625" bestFit="1" customWidth="1"/>
    <col min="17" max="17" width="3.9296875" bestFit="1" customWidth="1"/>
    <col min="18" max="18" width="2" customWidth="1"/>
    <col min="19" max="19" width="12.3984375" customWidth="1"/>
    <col min="20" max="20" width="7.1328125" customWidth="1"/>
    <col min="21" max="21" width="11" customWidth="1"/>
    <col min="22" max="22" width="63.3984375" bestFit="1" customWidth="1"/>
    <col min="23" max="23" width="7.265625" bestFit="1" customWidth="1"/>
    <col min="24" max="24" width="12" customWidth="1"/>
    <col min="25" max="25" width="12.86328125" bestFit="1" customWidth="1"/>
    <col min="26" max="26" width="13.265625" customWidth="1"/>
    <col min="27" max="27" width="8" bestFit="1" customWidth="1"/>
  </cols>
  <sheetData>
    <row r="1" spans="2:27" ht="14.25" x14ac:dyDescent="0.45">
      <c r="B1" s="9" t="s">
        <v>94</v>
      </c>
      <c r="C1" s="9" t="s">
        <v>96</v>
      </c>
      <c r="D1" s="9" t="s">
        <v>146</v>
      </c>
      <c r="E1" s="9" t="s">
        <v>98</v>
      </c>
      <c r="F1" s="9" t="s">
        <v>99</v>
      </c>
      <c r="G1" s="9" t="s">
        <v>200</v>
      </c>
      <c r="H1" s="9" t="s">
        <v>121</v>
      </c>
      <c r="I1" s="52"/>
      <c r="J1" s="52"/>
    </row>
    <row r="2" spans="2:27" ht="31.5" x14ac:dyDescent="0.5">
      <c r="B2" s="12" t="str">
        <f>EnergyBalance!B20</f>
        <v>TRA</v>
      </c>
      <c r="C2" s="12" t="str">
        <f>EnergyBalance!C20</f>
        <v>Transport</v>
      </c>
      <c r="D2" s="21" t="s">
        <v>147</v>
      </c>
      <c r="E2" s="12" t="str">
        <f>EnergyBalance!W2</f>
        <v>PJ</v>
      </c>
      <c r="F2" s="12" t="str">
        <f>EnergyBalance!V2</f>
        <v>M€2005</v>
      </c>
      <c r="G2" s="54" t="s">
        <v>201</v>
      </c>
      <c r="H2" s="12" t="s">
        <v>122</v>
      </c>
      <c r="I2" s="10"/>
      <c r="J2" s="10"/>
      <c r="S2" s="195" t="s">
        <v>14</v>
      </c>
      <c r="T2" s="195"/>
      <c r="U2" s="196"/>
      <c r="V2" s="196"/>
      <c r="W2" s="196"/>
      <c r="X2" s="196"/>
      <c r="Y2" s="196"/>
      <c r="Z2" s="196"/>
      <c r="AA2" s="196"/>
    </row>
    <row r="3" spans="2:27" ht="13.15" x14ac:dyDescent="0.4">
      <c r="S3" s="197" t="s">
        <v>7</v>
      </c>
      <c r="T3" s="198" t="s">
        <v>30</v>
      </c>
      <c r="U3" s="197" t="s">
        <v>0</v>
      </c>
      <c r="V3" s="197" t="s">
        <v>3</v>
      </c>
      <c r="W3" s="197" t="s">
        <v>4</v>
      </c>
      <c r="X3" s="197" t="s">
        <v>8</v>
      </c>
      <c r="Y3" s="197" t="s">
        <v>9</v>
      </c>
      <c r="Z3" s="197" t="s">
        <v>10</v>
      </c>
      <c r="AA3" s="197" t="s">
        <v>12</v>
      </c>
    </row>
    <row r="4" spans="2:27" ht="22.15" thickBot="1" x14ac:dyDescent="0.55000000000000004">
      <c r="B4" s="10"/>
      <c r="C4" s="10"/>
      <c r="D4" s="10"/>
      <c r="E4" s="10"/>
      <c r="F4" s="10"/>
      <c r="S4" s="199" t="s">
        <v>40</v>
      </c>
      <c r="T4" s="199" t="s">
        <v>31</v>
      </c>
      <c r="U4" s="199" t="s">
        <v>26</v>
      </c>
      <c r="V4" s="199" t="s">
        <v>27</v>
      </c>
      <c r="W4" s="199" t="s">
        <v>4</v>
      </c>
      <c r="X4" s="199" t="s">
        <v>43</v>
      </c>
      <c r="Y4" s="199" t="s">
        <v>44</v>
      </c>
      <c r="Z4" s="199" t="s">
        <v>28</v>
      </c>
      <c r="AA4" s="199" t="s">
        <v>29</v>
      </c>
    </row>
    <row r="5" spans="2:27" ht="15.75" x14ac:dyDescent="0.5">
      <c r="B5" s="10"/>
      <c r="C5" s="10"/>
      <c r="D5" s="10"/>
      <c r="E5" s="10"/>
      <c r="F5" s="10"/>
      <c r="S5" s="196" t="s">
        <v>106</v>
      </c>
      <c r="T5" s="200"/>
      <c r="U5" s="196" t="str">
        <f>LEFT($S$5,1)&amp;LEFT($B$2,1)&amp;EnergyBalance!$C$49</f>
        <v>DTCAR</v>
      </c>
      <c r="V5" s="196" t="str">
        <f>LEFT($D$2,6)&amp;" "&amp;$C$2&amp; " Sector - "&amp;EnergyBalance!$U$49</f>
        <v>Demand Transport Sector - Cars</v>
      </c>
      <c r="W5" s="196" t="s">
        <v>223</v>
      </c>
      <c r="X5" s="196"/>
      <c r="Y5" s="196"/>
      <c r="Z5" s="196"/>
      <c r="AA5" s="196"/>
    </row>
    <row r="6" spans="2:27" x14ac:dyDescent="0.35">
      <c r="S6" s="200" t="s">
        <v>137</v>
      </c>
      <c r="T6" s="200"/>
      <c r="U6" s="200" t="str">
        <f>$B$2&amp;EnergyBalance!$C$52</f>
        <v>TRACO2</v>
      </c>
      <c r="V6" s="200" t="str">
        <f>$C$2&amp;" "&amp;EnergyBalance!$C$53</f>
        <v>Transport Carbon dioxide</v>
      </c>
      <c r="W6" s="200" t="str">
        <f>EnergyBalance!$X$2</f>
        <v>kt</v>
      </c>
      <c r="X6" s="200"/>
      <c r="Y6" s="200"/>
      <c r="Z6" s="200"/>
      <c r="AA6" s="200"/>
    </row>
    <row r="8" spans="2:27" ht="13.15" x14ac:dyDescent="0.4">
      <c r="D8" s="5" t="s">
        <v>13</v>
      </c>
      <c r="S8" s="195" t="s">
        <v>15</v>
      </c>
      <c r="T8" s="195"/>
      <c r="U8" s="200"/>
      <c r="V8" s="200"/>
      <c r="W8" s="200"/>
      <c r="X8" s="200"/>
      <c r="Y8" s="200"/>
      <c r="Z8" s="200"/>
      <c r="AA8" s="200"/>
    </row>
    <row r="9" spans="2:27" ht="13.15" x14ac:dyDescent="0.4">
      <c r="B9" s="218" t="s">
        <v>234</v>
      </c>
      <c r="C9" s="218" t="s">
        <v>235</v>
      </c>
      <c r="D9" s="218" t="s">
        <v>253</v>
      </c>
      <c r="E9" s="218" t="s">
        <v>5</v>
      </c>
      <c r="F9" s="219" t="s">
        <v>6</v>
      </c>
      <c r="G9" s="222" t="s">
        <v>254</v>
      </c>
      <c r="H9" s="222" t="s">
        <v>255</v>
      </c>
      <c r="I9" s="222" t="s">
        <v>256</v>
      </c>
      <c r="J9" s="222">
        <v>0</v>
      </c>
      <c r="K9" s="219">
        <v>2005</v>
      </c>
      <c r="L9" s="219">
        <v>2015</v>
      </c>
      <c r="M9" s="236" t="s">
        <v>176</v>
      </c>
      <c r="N9" s="236" t="s">
        <v>177</v>
      </c>
      <c r="O9" s="35"/>
      <c r="P9" s="165" t="s">
        <v>165</v>
      </c>
      <c r="Q9" s="240"/>
      <c r="S9" s="197" t="s">
        <v>11</v>
      </c>
      <c r="T9" s="198" t="s">
        <v>30</v>
      </c>
      <c r="U9" s="197" t="s">
        <v>1</v>
      </c>
      <c r="V9" s="197" t="s">
        <v>2</v>
      </c>
      <c r="W9" s="197" t="s">
        <v>16</v>
      </c>
      <c r="X9" s="197" t="s">
        <v>17</v>
      </c>
      <c r="Y9" s="197" t="s">
        <v>18</v>
      </c>
      <c r="Z9" s="197" t="s">
        <v>19</v>
      </c>
      <c r="AA9" s="197" t="s">
        <v>20</v>
      </c>
    </row>
    <row r="10" spans="2:27" ht="21" thickBot="1" x14ac:dyDescent="0.4">
      <c r="B10" s="223" t="s">
        <v>42</v>
      </c>
      <c r="C10" s="223"/>
      <c r="D10" s="223"/>
      <c r="E10" s="223" t="s">
        <v>32</v>
      </c>
      <c r="F10" s="223" t="s">
        <v>33</v>
      </c>
      <c r="G10" s="223"/>
      <c r="H10" s="223"/>
      <c r="I10" s="223"/>
      <c r="J10" s="223"/>
      <c r="K10" s="223"/>
      <c r="L10" s="223"/>
      <c r="M10" s="237"/>
      <c r="N10" s="237"/>
      <c r="O10" s="55"/>
      <c r="P10" s="173" t="s">
        <v>35</v>
      </c>
      <c r="Q10" s="241"/>
      <c r="S10" s="199" t="s">
        <v>41</v>
      </c>
      <c r="T10" s="199" t="s">
        <v>31</v>
      </c>
      <c r="U10" s="199" t="s">
        <v>21</v>
      </c>
      <c r="V10" s="199" t="s">
        <v>22</v>
      </c>
      <c r="W10" s="199" t="s">
        <v>23</v>
      </c>
      <c r="X10" s="199" t="s">
        <v>24</v>
      </c>
      <c r="Y10" s="199" t="s">
        <v>46</v>
      </c>
      <c r="Z10" s="199" t="s">
        <v>45</v>
      </c>
      <c r="AA10" s="199" t="s">
        <v>25</v>
      </c>
    </row>
    <row r="11" spans="2:27" ht="14.65" thickBot="1" x14ac:dyDescent="0.5">
      <c r="B11" s="224" t="s">
        <v>275</v>
      </c>
      <c r="C11" s="224" t="s">
        <v>258</v>
      </c>
      <c r="D11" s="209" t="s">
        <v>259</v>
      </c>
      <c r="E11" s="224"/>
      <c r="F11" s="209"/>
      <c r="G11" s="228"/>
      <c r="H11" s="228"/>
      <c r="I11" s="224" t="s">
        <v>260</v>
      </c>
      <c r="J11" s="228"/>
      <c r="K11" s="232">
        <v>0.41</v>
      </c>
      <c r="L11" s="228"/>
      <c r="M11" s="228"/>
      <c r="N11" s="228"/>
      <c r="O11" s="55"/>
      <c r="P11" s="173" t="s">
        <v>225</v>
      </c>
      <c r="Q11" s="241"/>
      <c r="S11" s="199" t="s">
        <v>104</v>
      </c>
      <c r="T11" s="199"/>
      <c r="U11" s="199"/>
      <c r="V11" s="199"/>
      <c r="W11" s="199"/>
      <c r="X11" s="199"/>
      <c r="Y11" s="199"/>
      <c r="Z11" s="199"/>
      <c r="AA11" s="199"/>
    </row>
    <row r="12" spans="2:27" x14ac:dyDescent="0.35">
      <c r="B12" s="224" t="s">
        <v>275</v>
      </c>
      <c r="C12" s="224" t="s">
        <v>263</v>
      </c>
      <c r="D12" s="224"/>
      <c r="E12" t="str">
        <f>$B$2&amp;RIGHT(B12,3)</f>
        <v>TRADSL</v>
      </c>
      <c r="F12" t="str">
        <f>$U$5</f>
        <v>DTCAR</v>
      </c>
      <c r="G12" s="228" t="s">
        <v>265</v>
      </c>
      <c r="H12" s="228"/>
      <c r="I12" s="224"/>
      <c r="J12" s="228"/>
      <c r="K12" s="232">
        <v>16.5</v>
      </c>
      <c r="L12" s="228"/>
      <c r="M12" s="228"/>
      <c r="N12" s="228"/>
      <c r="P12" s="61">
        <f>M18*$K12*$K17*$K16</f>
        <v>1197.6658691624998</v>
      </c>
      <c r="Q12" s="61">
        <f>N18*$K12*$K17*$K16</f>
        <v>2794.5536947124992</v>
      </c>
      <c r="S12" s="196" t="s">
        <v>120</v>
      </c>
      <c r="T12" s="200"/>
      <c r="U12" s="200" t="str">
        <f>LEFT($B$2)&amp;EnergyBalance!$C$49&amp;$H$2&amp;EnergyBalance!$G$2</f>
        <v>TCAREDSL</v>
      </c>
      <c r="V12" s="202" t="str">
        <f>$D$2&amp;" "&amp;$C$2&amp; " Sector - "&amp;" "&amp;$H$1&amp;" "&amp;EnergyBalance!$U$49&amp;" - "&amp;EnergyBalance!$G$3</f>
        <v>Demand Technologies Transport Sector -  Existing Cars - Diesel oil</v>
      </c>
      <c r="W12" s="196" t="s">
        <v>223</v>
      </c>
      <c r="X12" s="196" t="str">
        <f>$G$2</f>
        <v>000_Units</v>
      </c>
      <c r="Y12" s="200"/>
      <c r="Z12" s="196" t="s">
        <v>202</v>
      </c>
      <c r="AA12" s="200"/>
    </row>
    <row r="13" spans="2:27" ht="14.25" x14ac:dyDescent="0.45">
      <c r="B13" s="224" t="s">
        <v>275</v>
      </c>
      <c r="C13" s="224" t="s">
        <v>276</v>
      </c>
      <c r="D13" s="224"/>
      <c r="E13" s="224"/>
      <c r="F13" s="209"/>
      <c r="G13" s="228" t="s">
        <v>265</v>
      </c>
      <c r="H13" s="228"/>
      <c r="I13" s="224"/>
      <c r="J13" s="232">
        <v>2</v>
      </c>
      <c r="K13" s="228"/>
      <c r="L13" s="228"/>
      <c r="M13" s="228"/>
      <c r="N13" s="228"/>
      <c r="P13" s="62">
        <f>M42*$K36*$K41*$K40</f>
        <v>27.124393349999998</v>
      </c>
      <c r="Q13" s="62">
        <f>N42*$K36*$K41*$K40</f>
        <v>63.290251149999996</v>
      </c>
      <c r="S13" s="200"/>
      <c r="T13" s="200"/>
      <c r="U13" s="200" t="str">
        <f>LEFT($B$2)&amp;EnergyBalance!$C$49&amp;$H$2&amp;EnergyBalance!$I$2</f>
        <v>TCARELPG</v>
      </c>
      <c r="V13" s="202" t="str">
        <f>$D$2&amp;" "&amp;$C$2&amp; " Sector - "&amp;" "&amp;$H$1&amp;" "&amp;EnergyBalance!$U$49&amp;" - "&amp;EnergyBalance!$I$3</f>
        <v>Demand Technologies Transport Sector -  Existing Cars - LPG</v>
      </c>
      <c r="W13" s="196" t="s">
        <v>223</v>
      </c>
      <c r="X13" s="196" t="str">
        <f>$G$2</f>
        <v>000_Units</v>
      </c>
      <c r="Y13" s="200"/>
      <c r="Z13" s="196" t="s">
        <v>202</v>
      </c>
      <c r="AA13" s="200"/>
    </row>
    <row r="14" spans="2:27" ht="14.25" x14ac:dyDescent="0.45">
      <c r="B14" s="224" t="s">
        <v>275</v>
      </c>
      <c r="C14" s="224" t="s">
        <v>266</v>
      </c>
      <c r="D14" s="224"/>
      <c r="E14" s="224"/>
      <c r="F14" s="209"/>
      <c r="G14" s="228"/>
      <c r="H14" s="228" t="s">
        <v>267</v>
      </c>
      <c r="I14" s="224"/>
      <c r="J14" s="228"/>
      <c r="K14" s="232">
        <v>0.16</v>
      </c>
      <c r="L14" s="228"/>
      <c r="M14" s="228"/>
      <c r="N14" s="228"/>
      <c r="P14" s="62">
        <f>M34*$K28*$K33*$K32</f>
        <v>725.44744800000001</v>
      </c>
      <c r="Q14" s="62">
        <f>N34*$K28*$K33*$K32</f>
        <v>1692.7107120000003</v>
      </c>
      <c r="S14" s="200"/>
      <c r="T14" s="200"/>
      <c r="U14" s="200" t="str">
        <f>LEFT($B$2)&amp;EnergyBalance!$C$49&amp;$H$2&amp;EnergyBalance!$J$2</f>
        <v>TCAREGSL</v>
      </c>
      <c r="V14" s="200" t="str">
        <f>$D$2&amp;" "&amp;$C$2&amp; " Sector - "&amp;" "&amp;$H$1&amp;" "&amp;EnergyBalance!$U$49&amp;" - "&amp;EnergyBalance!$J$3</f>
        <v>Demand Technologies Transport Sector -  Existing Cars - Motor spirit</v>
      </c>
      <c r="W14" s="196" t="s">
        <v>223</v>
      </c>
      <c r="X14" s="196" t="str">
        <f>$G$2</f>
        <v>000_Units</v>
      </c>
      <c r="Y14" s="200"/>
      <c r="Z14" s="196" t="s">
        <v>202</v>
      </c>
      <c r="AA14" s="200"/>
    </row>
    <row r="15" spans="2:27" ht="14.25" x14ac:dyDescent="0.45">
      <c r="B15" s="224" t="s">
        <v>275</v>
      </c>
      <c r="C15" s="224" t="s">
        <v>268</v>
      </c>
      <c r="D15" s="224"/>
      <c r="E15" s="224"/>
      <c r="F15" s="209"/>
      <c r="G15" s="228"/>
      <c r="H15" s="228"/>
      <c r="I15" s="224"/>
      <c r="J15" s="228"/>
      <c r="K15" s="232">
        <v>10</v>
      </c>
      <c r="L15" s="228"/>
      <c r="M15" s="228"/>
      <c r="N15" s="228"/>
      <c r="P15" s="62">
        <f>M26*$K20*$K25*$K24</f>
        <v>0</v>
      </c>
      <c r="Q15" s="62">
        <f>N26*$K20*$K25*$K24</f>
        <v>10.19420775</v>
      </c>
      <c r="S15" s="200"/>
      <c r="T15" s="200"/>
      <c r="U15" s="200" t="str">
        <f>LEFT($B$2)&amp;EnergyBalance!$C$49&amp;$H$2&amp;EnergyBalance!$E$2</f>
        <v>TCAREGAS</v>
      </c>
      <c r="V15" s="200" t="str">
        <f>$D$2&amp;" "&amp;$C$2&amp; " Sector - "&amp;" "&amp;$H$1&amp;" "&amp;EnergyBalance!$U$49&amp;" - "&amp;EnergyBalance!$E$3</f>
        <v>Demand Technologies Transport Sector -  Existing Cars - Natural Gas</v>
      </c>
      <c r="W15" s="196" t="s">
        <v>223</v>
      </c>
      <c r="X15" s="196" t="str">
        <f>$G$2</f>
        <v>000_Units</v>
      </c>
      <c r="Y15" s="200"/>
      <c r="Z15" s="196" t="s">
        <v>202</v>
      </c>
      <c r="AA15" s="200"/>
    </row>
    <row r="16" spans="2:27" ht="14.25" x14ac:dyDescent="0.45">
      <c r="B16" s="224" t="s">
        <v>275</v>
      </c>
      <c r="C16" s="224" t="s">
        <v>306</v>
      </c>
      <c r="D16" s="224" t="s">
        <v>202</v>
      </c>
      <c r="E16" s="224"/>
      <c r="F16" s="209"/>
      <c r="G16" s="228"/>
      <c r="H16" s="228"/>
      <c r="I16" s="224"/>
      <c r="J16" s="228"/>
      <c r="K16" s="232">
        <v>1.25</v>
      </c>
      <c r="L16" s="228"/>
      <c r="M16" s="228"/>
      <c r="N16" s="228"/>
      <c r="P16" s="60"/>
      <c r="Q16" s="60"/>
    </row>
    <row r="17" spans="2:24" ht="14.25" x14ac:dyDescent="0.45">
      <c r="B17" s="224" t="s">
        <v>275</v>
      </c>
      <c r="C17" s="224" t="s">
        <v>277</v>
      </c>
      <c r="D17" s="224"/>
      <c r="E17" s="224"/>
      <c r="F17" s="209"/>
      <c r="G17" s="209"/>
      <c r="H17" s="209"/>
      <c r="I17" s="224"/>
      <c r="J17" s="228"/>
      <c r="K17" s="232">
        <v>1E-3</v>
      </c>
      <c r="L17" s="228"/>
      <c r="M17" s="228"/>
      <c r="N17" s="228"/>
    </row>
    <row r="18" spans="2:24" ht="14.25" x14ac:dyDescent="0.45">
      <c r="B18" s="224" t="s">
        <v>275</v>
      </c>
      <c r="C18" s="224" t="s">
        <v>269</v>
      </c>
      <c r="D18" s="224"/>
      <c r="E18" s="224"/>
      <c r="F18" s="209"/>
      <c r="G18" s="228"/>
      <c r="H18" s="228"/>
      <c r="I18" s="224"/>
      <c r="J18" s="228"/>
      <c r="L18" s="232">
        <v>0</v>
      </c>
      <c r="M18" s="238">
        <f>('EB1'!G$20*K11/(K17*K12))*1.01</f>
        <v>58068.648201818178</v>
      </c>
      <c r="N18" s="238">
        <f>('EB2'!G$20*K11/(K17*K12))*1.01</f>
        <v>135493.51247090905</v>
      </c>
      <c r="P18" s="8"/>
      <c r="Q18" s="8"/>
    </row>
    <row r="19" spans="2:24" ht="14.25" x14ac:dyDescent="0.45">
      <c r="B19" s="224" t="s">
        <v>278</v>
      </c>
      <c r="C19" s="224" t="s">
        <v>258</v>
      </c>
      <c r="D19" s="209" t="s">
        <v>259</v>
      </c>
      <c r="E19" s="224"/>
      <c r="F19" s="209"/>
      <c r="G19" s="228"/>
      <c r="H19" s="228"/>
      <c r="I19" s="224" t="s">
        <v>260</v>
      </c>
      <c r="J19" s="228"/>
      <c r="K19" s="232">
        <v>0.38</v>
      </c>
      <c r="L19" s="228"/>
      <c r="M19" s="239"/>
      <c r="N19" s="239"/>
      <c r="W19" s="72"/>
      <c r="X19" s="1" t="s">
        <v>210</v>
      </c>
    </row>
    <row r="20" spans="2:24" x14ac:dyDescent="0.35">
      <c r="B20" s="224" t="s">
        <v>278</v>
      </c>
      <c r="C20" s="224" t="s">
        <v>263</v>
      </c>
      <c r="D20" s="224"/>
      <c r="E20" t="str">
        <f>$B$2&amp;RIGHT(B20,3)</f>
        <v>TRAGAS</v>
      </c>
      <c r="F20" t="str">
        <f>$U$5</f>
        <v>DTCAR</v>
      </c>
      <c r="G20" s="228" t="s">
        <v>265</v>
      </c>
      <c r="H20" s="228"/>
      <c r="I20" s="224"/>
      <c r="J20" s="228"/>
      <c r="K20" s="232">
        <v>14</v>
      </c>
      <c r="L20" s="228"/>
      <c r="M20" s="239"/>
      <c r="N20" s="239"/>
      <c r="W20" s="146"/>
      <c r="X20" s="1" t="s">
        <v>211</v>
      </c>
    </row>
    <row r="21" spans="2:24" ht="14.25" x14ac:dyDescent="0.45">
      <c r="B21" s="224" t="s">
        <v>278</v>
      </c>
      <c r="C21" s="224" t="s">
        <v>276</v>
      </c>
      <c r="D21" s="224"/>
      <c r="E21" s="224"/>
      <c r="F21" s="209"/>
      <c r="G21" s="228" t="s">
        <v>265</v>
      </c>
      <c r="H21" s="228"/>
      <c r="I21" s="224"/>
      <c r="J21" s="232">
        <v>2</v>
      </c>
      <c r="K21" s="228"/>
      <c r="L21" s="228"/>
      <c r="M21" s="239"/>
      <c r="N21" s="239"/>
    </row>
    <row r="22" spans="2:24" ht="14.25" x14ac:dyDescent="0.45">
      <c r="B22" s="224" t="s">
        <v>278</v>
      </c>
      <c r="C22" s="224" t="s">
        <v>266</v>
      </c>
      <c r="D22" s="224"/>
      <c r="E22" s="224"/>
      <c r="F22" s="209"/>
      <c r="G22" s="228"/>
      <c r="H22" s="228" t="s">
        <v>267</v>
      </c>
      <c r="I22" s="224"/>
      <c r="J22" s="228"/>
      <c r="K22" s="232">
        <v>0.16</v>
      </c>
      <c r="L22" s="228"/>
      <c r="M22" s="239"/>
      <c r="N22" s="239"/>
    </row>
    <row r="23" spans="2:24" ht="14.25" x14ac:dyDescent="0.45">
      <c r="B23" s="224" t="s">
        <v>278</v>
      </c>
      <c r="C23" s="224" t="s">
        <v>268</v>
      </c>
      <c r="D23" s="224"/>
      <c r="E23" s="224"/>
      <c r="F23" s="209"/>
      <c r="G23" s="228"/>
      <c r="H23" s="228"/>
      <c r="I23" s="224"/>
      <c r="J23" s="228"/>
      <c r="K23" s="232">
        <v>10</v>
      </c>
      <c r="L23" s="228"/>
      <c r="M23" s="239"/>
      <c r="N23" s="239"/>
      <c r="O23" s="1"/>
      <c r="P23" s="1"/>
      <c r="Q23" s="1"/>
    </row>
    <row r="24" spans="2:24" ht="14.25" x14ac:dyDescent="0.45">
      <c r="B24" s="224" t="s">
        <v>278</v>
      </c>
      <c r="C24" s="224" t="s">
        <v>306</v>
      </c>
      <c r="D24" s="224" t="s">
        <v>202</v>
      </c>
      <c r="E24" s="224"/>
      <c r="F24" s="209"/>
      <c r="G24" s="228"/>
      <c r="H24" s="228"/>
      <c r="I24" s="224"/>
      <c r="J24" s="228"/>
      <c r="K24" s="232">
        <v>1.25</v>
      </c>
      <c r="L24" s="228"/>
      <c r="M24" s="239"/>
      <c r="N24" s="239"/>
      <c r="O24" s="1"/>
      <c r="P24" s="1"/>
      <c r="Q24" s="1"/>
      <c r="R24" s="1"/>
    </row>
    <row r="25" spans="2:24" ht="14.25" x14ac:dyDescent="0.45">
      <c r="B25" s="224" t="s">
        <v>278</v>
      </c>
      <c r="C25" s="224" t="s">
        <v>277</v>
      </c>
      <c r="D25" s="224"/>
      <c r="E25" s="224"/>
      <c r="F25" s="209"/>
      <c r="G25" s="209"/>
      <c r="H25" s="209"/>
      <c r="I25" s="224"/>
      <c r="J25" s="228"/>
      <c r="K25" s="232">
        <v>1E-3</v>
      </c>
      <c r="L25" s="228"/>
      <c r="M25" s="239"/>
      <c r="N25" s="239"/>
      <c r="O25" s="1"/>
      <c r="P25" s="1"/>
      <c r="Q25" s="1"/>
      <c r="R25" s="1"/>
    </row>
    <row r="26" spans="2:24" ht="14.25" x14ac:dyDescent="0.45">
      <c r="B26" s="224" t="s">
        <v>278</v>
      </c>
      <c r="C26" s="224" t="s">
        <v>269</v>
      </c>
      <c r="D26" s="224"/>
      <c r="E26" s="224"/>
      <c r="F26" s="209"/>
      <c r="G26" s="228"/>
      <c r="H26" s="228"/>
      <c r="I26" s="224"/>
      <c r="J26" s="228"/>
      <c r="L26" s="232">
        <v>0</v>
      </c>
      <c r="M26" s="238">
        <f>('EB1'!E$20*K19/(K25*K20))*1.01</f>
        <v>0</v>
      </c>
      <c r="N26" s="238">
        <f>('EB2'!E$20*K19/(K25*K20))*1.01</f>
        <v>582.52615714285707</v>
      </c>
      <c r="O26" s="1"/>
      <c r="P26" s="1"/>
      <c r="Q26" s="1"/>
      <c r="R26" s="1"/>
    </row>
    <row r="27" spans="2:24" ht="14.25" x14ac:dyDescent="0.45">
      <c r="B27" s="224" t="s">
        <v>279</v>
      </c>
      <c r="C27" s="224" t="s">
        <v>258</v>
      </c>
      <c r="D27" s="209" t="s">
        <v>259</v>
      </c>
      <c r="E27" s="224"/>
      <c r="F27" s="209"/>
      <c r="G27" s="228"/>
      <c r="H27" s="228"/>
      <c r="I27" s="224" t="s">
        <v>260</v>
      </c>
      <c r="J27" s="228"/>
      <c r="K27" s="232">
        <v>0.4</v>
      </c>
      <c r="L27" s="228"/>
      <c r="M27" s="239"/>
      <c r="N27" s="239"/>
      <c r="R27" s="1"/>
    </row>
    <row r="28" spans="2:24" x14ac:dyDescent="0.35">
      <c r="B28" s="224" t="s">
        <v>279</v>
      </c>
      <c r="C28" s="224" t="s">
        <v>263</v>
      </c>
      <c r="D28" s="224"/>
      <c r="E28" t="str">
        <f>$B$2&amp;RIGHT(B28,3)</f>
        <v>TRAGSL</v>
      </c>
      <c r="F28" t="str">
        <f>$U$5</f>
        <v>DTCAR</v>
      </c>
      <c r="G28" s="228" t="s">
        <v>265</v>
      </c>
      <c r="H28" s="228"/>
      <c r="I28" s="224"/>
      <c r="J28" s="228"/>
      <c r="K28" s="232">
        <v>11.5</v>
      </c>
      <c r="L28" s="228"/>
      <c r="M28" s="239"/>
      <c r="N28" s="239"/>
    </row>
    <row r="29" spans="2:24" ht="14.25" x14ac:dyDescent="0.45">
      <c r="B29" s="224" t="s">
        <v>279</v>
      </c>
      <c r="C29" s="224" t="s">
        <v>276</v>
      </c>
      <c r="D29" s="224"/>
      <c r="E29" s="224"/>
      <c r="F29" s="209"/>
      <c r="G29" s="228" t="s">
        <v>265</v>
      </c>
      <c r="H29" s="228"/>
      <c r="I29" s="224"/>
      <c r="J29" s="232">
        <v>2</v>
      </c>
      <c r="K29" s="228"/>
      <c r="L29" s="228"/>
      <c r="M29" s="239"/>
      <c r="N29" s="239"/>
    </row>
    <row r="30" spans="2:24" ht="14.25" x14ac:dyDescent="0.45">
      <c r="B30" s="224" t="s">
        <v>279</v>
      </c>
      <c r="C30" s="224" t="s">
        <v>266</v>
      </c>
      <c r="D30" s="224"/>
      <c r="E30" s="224"/>
      <c r="F30" s="209"/>
      <c r="G30" s="228"/>
      <c r="H30" s="228" t="s">
        <v>267</v>
      </c>
      <c r="I30" s="224"/>
      <c r="J30" s="228"/>
      <c r="K30" s="232">
        <v>0.15</v>
      </c>
      <c r="L30" s="228"/>
      <c r="M30" s="239"/>
      <c r="N30" s="239"/>
    </row>
    <row r="31" spans="2:24" ht="14.25" x14ac:dyDescent="0.45">
      <c r="B31" s="224" t="s">
        <v>279</v>
      </c>
      <c r="C31" s="224" t="s">
        <v>268</v>
      </c>
      <c r="D31" s="224"/>
      <c r="E31" s="224"/>
      <c r="F31" s="209"/>
      <c r="G31" s="228"/>
      <c r="H31" s="228"/>
      <c r="I31" s="224"/>
      <c r="J31" s="228"/>
      <c r="K31" s="232">
        <v>10</v>
      </c>
      <c r="L31" s="228"/>
      <c r="M31" s="239"/>
      <c r="N31" s="239"/>
    </row>
    <row r="32" spans="2:24" ht="14.25" x14ac:dyDescent="0.45">
      <c r="B32" s="224" t="s">
        <v>279</v>
      </c>
      <c r="C32" s="224" t="s">
        <v>306</v>
      </c>
      <c r="D32" s="224" t="s">
        <v>202</v>
      </c>
      <c r="E32" s="224"/>
      <c r="F32" s="209"/>
      <c r="G32" s="228"/>
      <c r="H32" s="228"/>
      <c r="I32" s="224"/>
      <c r="J32" s="228"/>
      <c r="K32" s="232">
        <v>1.25</v>
      </c>
      <c r="L32" s="228"/>
      <c r="M32" s="239"/>
      <c r="N32" s="239"/>
    </row>
    <row r="33" spans="2:14" ht="14.25" x14ac:dyDescent="0.45">
      <c r="B33" s="224" t="s">
        <v>279</v>
      </c>
      <c r="C33" s="224" t="s">
        <v>277</v>
      </c>
      <c r="D33" s="224"/>
      <c r="E33" s="224"/>
      <c r="F33" s="209"/>
      <c r="G33" s="209"/>
      <c r="H33" s="209"/>
      <c r="I33" s="224"/>
      <c r="J33" s="228"/>
      <c r="K33" s="232">
        <v>1E-3</v>
      </c>
      <c r="L33" s="228"/>
      <c r="M33" s="239"/>
      <c r="N33" s="239"/>
    </row>
    <row r="34" spans="2:14" x14ac:dyDescent="0.35">
      <c r="B34" s="224" t="s">
        <v>279</v>
      </c>
      <c r="C34" s="224" t="s">
        <v>269</v>
      </c>
      <c r="D34" s="224"/>
      <c r="G34" s="228"/>
      <c r="H34" s="228"/>
      <c r="I34" s="224"/>
      <c r="J34" s="228"/>
      <c r="L34" s="232">
        <v>0</v>
      </c>
      <c r="M34" s="238">
        <f>('EB1'!J$20*K27/(K33*K28))*1.01</f>
        <v>50465.909426086953</v>
      </c>
      <c r="N34" s="238">
        <f>('EB2'!J$20*K27/(K33*K28))*1.01</f>
        <v>117753.78866086957</v>
      </c>
    </row>
    <row r="35" spans="2:14" ht="14.25" x14ac:dyDescent="0.45">
      <c r="B35" s="224" t="s">
        <v>280</v>
      </c>
      <c r="C35" s="224" t="s">
        <v>258</v>
      </c>
      <c r="D35" s="209" t="s">
        <v>259</v>
      </c>
      <c r="E35" s="224"/>
      <c r="F35" s="209"/>
      <c r="G35" s="228"/>
      <c r="H35" s="228"/>
      <c r="I35" s="224" t="s">
        <v>260</v>
      </c>
      <c r="J35" s="228"/>
      <c r="K35" s="232">
        <v>0.38</v>
      </c>
      <c r="L35" s="228"/>
      <c r="M35" s="239"/>
      <c r="N35" s="239"/>
    </row>
    <row r="36" spans="2:14" x14ac:dyDescent="0.35">
      <c r="B36" s="224" t="s">
        <v>280</v>
      </c>
      <c r="C36" s="224" t="s">
        <v>263</v>
      </c>
      <c r="D36" s="224"/>
      <c r="E36" s="227" t="str">
        <f>$B$2&amp;RIGHT(B36,3)</f>
        <v>TRALPG</v>
      </c>
      <c r="F36" t="str">
        <f>$U$5</f>
        <v>DTCAR</v>
      </c>
      <c r="G36" s="228" t="s">
        <v>265</v>
      </c>
      <c r="H36" s="228"/>
      <c r="I36" s="224"/>
      <c r="J36" s="228"/>
      <c r="K36" s="232">
        <v>14</v>
      </c>
      <c r="L36" s="228"/>
      <c r="M36" s="239"/>
      <c r="N36" s="239"/>
    </row>
    <row r="37" spans="2:14" ht="14.25" x14ac:dyDescent="0.45">
      <c r="B37" s="224" t="s">
        <v>280</v>
      </c>
      <c r="C37" s="224" t="s">
        <v>276</v>
      </c>
      <c r="D37" s="224"/>
      <c r="E37" s="224"/>
      <c r="F37" s="209"/>
      <c r="G37" s="228" t="s">
        <v>265</v>
      </c>
      <c r="H37" s="228"/>
      <c r="I37" s="224"/>
      <c r="J37" s="232">
        <v>2</v>
      </c>
      <c r="K37" s="228"/>
      <c r="L37" s="228"/>
      <c r="M37" s="239"/>
      <c r="N37" s="239"/>
    </row>
    <row r="38" spans="2:14" ht="14.25" x14ac:dyDescent="0.45">
      <c r="B38" s="224" t="s">
        <v>280</v>
      </c>
      <c r="C38" s="224" t="s">
        <v>266</v>
      </c>
      <c r="D38" s="224"/>
      <c r="E38" s="224"/>
      <c r="F38" s="209"/>
      <c r="G38" s="228"/>
      <c r="H38" s="228" t="s">
        <v>267</v>
      </c>
      <c r="I38" s="224"/>
      <c r="J38" s="228"/>
      <c r="K38" s="232">
        <v>0.16</v>
      </c>
      <c r="L38" s="228"/>
      <c r="M38" s="239"/>
      <c r="N38" s="239"/>
    </row>
    <row r="39" spans="2:14" ht="14.25" x14ac:dyDescent="0.45">
      <c r="B39" s="224" t="s">
        <v>280</v>
      </c>
      <c r="C39" s="224" t="s">
        <v>268</v>
      </c>
      <c r="D39" s="224"/>
      <c r="E39" s="224"/>
      <c r="F39" s="209"/>
      <c r="G39" s="228"/>
      <c r="H39" s="228"/>
      <c r="I39" s="224"/>
      <c r="J39" s="228"/>
      <c r="K39" s="232">
        <v>10</v>
      </c>
      <c r="L39" s="228"/>
      <c r="M39" s="239"/>
      <c r="N39" s="239"/>
    </row>
    <row r="40" spans="2:14" ht="14.25" x14ac:dyDescent="0.45">
      <c r="B40" s="224" t="s">
        <v>280</v>
      </c>
      <c r="C40" s="224" t="s">
        <v>306</v>
      </c>
      <c r="D40" s="224" t="s">
        <v>202</v>
      </c>
      <c r="E40" s="224"/>
      <c r="F40" s="209"/>
      <c r="G40" s="228"/>
      <c r="H40" s="228"/>
      <c r="I40" s="224"/>
      <c r="J40" s="228"/>
      <c r="K40" s="232">
        <v>1.25</v>
      </c>
      <c r="L40" s="228"/>
      <c r="M40" s="239"/>
      <c r="N40" s="239"/>
    </row>
    <row r="41" spans="2:14" ht="14.25" x14ac:dyDescent="0.45">
      <c r="B41" s="224" t="s">
        <v>280</v>
      </c>
      <c r="C41" s="224" t="s">
        <v>277</v>
      </c>
      <c r="D41" s="224"/>
      <c r="E41" s="224"/>
      <c r="F41" s="209"/>
      <c r="G41" s="209"/>
      <c r="H41" s="209"/>
      <c r="I41" s="224"/>
      <c r="J41" s="228"/>
      <c r="K41" s="232">
        <v>1E-3</v>
      </c>
      <c r="L41" s="228"/>
      <c r="M41" s="239"/>
      <c r="N41" s="239"/>
    </row>
    <row r="42" spans="2:14" ht="14.25" x14ac:dyDescent="0.45">
      <c r="B42" s="224" t="s">
        <v>280</v>
      </c>
      <c r="C42" s="224" t="s">
        <v>269</v>
      </c>
      <c r="D42" s="224"/>
      <c r="E42" s="224"/>
      <c r="F42" s="209"/>
      <c r="G42" s="228"/>
      <c r="H42" s="228"/>
      <c r="I42" s="224"/>
      <c r="J42" s="228"/>
      <c r="L42" s="232">
        <v>0</v>
      </c>
      <c r="M42" s="238">
        <f>('EB1'!I$20*K35/(K41*K36))*1.01</f>
        <v>1549.9653342857143</v>
      </c>
      <c r="N42" s="238">
        <f>('EB2'!I$20*K35/(K41*K36))*1.01</f>
        <v>3616.5857799999999</v>
      </c>
    </row>
  </sheetData>
  <pageMargins left="0.7" right="0.7" top="0.75" bottom="0.75" header="0.3" footer="0.3"/>
  <drawing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1:P25"/>
  <sheetViews>
    <sheetView workbookViewId="0">
      <selection activeCell="E11" sqref="E11"/>
    </sheetView>
  </sheetViews>
  <sheetFormatPr defaultRowHeight="12.75" x14ac:dyDescent="0.35"/>
  <cols>
    <col min="1" max="1" width="2" bestFit="1" customWidth="1"/>
    <col min="2" max="2" width="12.59765625" customWidth="1"/>
    <col min="3" max="3" width="13.1328125" customWidth="1"/>
    <col min="4" max="4" width="11.59765625" customWidth="1"/>
    <col min="5" max="9" width="11.265625" customWidth="1"/>
    <col min="10" max="10" width="2" bestFit="1" customWidth="1"/>
    <col min="11" max="11" width="11.86328125" customWidth="1"/>
    <col min="12" max="12" width="2" bestFit="1" customWidth="1"/>
    <col min="13" max="13" width="11.3984375" bestFit="1" customWidth="1"/>
    <col min="14" max="14" width="13.59765625" customWidth="1"/>
    <col min="15" max="15" width="5" bestFit="1" customWidth="1"/>
  </cols>
  <sheetData>
    <row r="1" spans="2:16" ht="14.25" x14ac:dyDescent="0.45">
      <c r="B1" s="9" t="s">
        <v>94</v>
      </c>
      <c r="C1" s="9" t="s">
        <v>95</v>
      </c>
      <c r="D1" s="9" t="s">
        <v>96</v>
      </c>
      <c r="E1" s="9" t="s">
        <v>98</v>
      </c>
      <c r="G1" s="9" t="s">
        <v>99</v>
      </c>
    </row>
    <row r="2" spans="2:16" ht="15.75" x14ac:dyDescent="0.5">
      <c r="B2" s="12" t="s">
        <v>106</v>
      </c>
      <c r="C2" s="12"/>
      <c r="D2" s="12"/>
      <c r="E2" s="12" t="str">
        <f>EnergyBalance!W2</f>
        <v>PJ</v>
      </c>
      <c r="G2" s="12" t="str">
        <f>EnergyBalance!V2</f>
        <v>M€2005</v>
      </c>
    </row>
    <row r="5" spans="2:16" ht="13.15" x14ac:dyDescent="0.4">
      <c r="C5" s="2" t="s">
        <v>13</v>
      </c>
      <c r="D5" s="2"/>
      <c r="E5" s="1"/>
      <c r="O5" s="2" t="s">
        <v>13</v>
      </c>
      <c r="P5" s="1"/>
    </row>
    <row r="6" spans="2:16" ht="13.15" x14ac:dyDescent="0.35">
      <c r="B6" s="4" t="s">
        <v>103</v>
      </c>
      <c r="C6" s="4" t="s">
        <v>0</v>
      </c>
      <c r="D6" s="4" t="s">
        <v>203</v>
      </c>
      <c r="E6" s="172">
        <v>2005</v>
      </c>
      <c r="F6" s="172">
        <v>2006</v>
      </c>
      <c r="G6" s="172">
        <v>2010</v>
      </c>
      <c r="H6" s="172">
        <v>2015</v>
      </c>
      <c r="I6" s="172">
        <v>2020</v>
      </c>
      <c r="M6" s="4" t="s">
        <v>103</v>
      </c>
      <c r="N6" s="4" t="s">
        <v>0</v>
      </c>
      <c r="O6" s="4" t="s">
        <v>167</v>
      </c>
      <c r="P6" s="4">
        <v>2005</v>
      </c>
    </row>
    <row r="7" spans="2:16" ht="20.65" x14ac:dyDescent="0.35">
      <c r="B7" s="17" t="s">
        <v>104</v>
      </c>
      <c r="C7" s="17" t="s">
        <v>105</v>
      </c>
      <c r="D7" s="17" t="s">
        <v>204</v>
      </c>
      <c r="E7" s="167" t="s">
        <v>36</v>
      </c>
      <c r="F7" s="167"/>
      <c r="G7" s="167"/>
      <c r="H7" s="167"/>
      <c r="I7" s="167"/>
      <c r="K7" s="155" t="s">
        <v>166</v>
      </c>
      <c r="M7" s="17" t="s">
        <v>104</v>
      </c>
      <c r="N7" s="17" t="s">
        <v>105</v>
      </c>
      <c r="O7" s="17"/>
      <c r="P7" s="17"/>
    </row>
    <row r="8" spans="2:16" ht="13.15" thickBot="1" x14ac:dyDescent="0.4">
      <c r="B8" s="16" t="s">
        <v>113</v>
      </c>
      <c r="C8" s="16"/>
      <c r="D8" s="16"/>
      <c r="E8" s="15" t="str">
        <f>E2</f>
        <v>PJ</v>
      </c>
      <c r="F8" s="15"/>
      <c r="G8" s="15"/>
      <c r="H8" s="15"/>
      <c r="I8" s="15"/>
      <c r="K8" s="156"/>
      <c r="M8" s="16" t="s">
        <v>113</v>
      </c>
      <c r="N8" s="16"/>
      <c r="O8" s="16"/>
      <c r="P8" s="16"/>
    </row>
    <row r="9" spans="2:16" x14ac:dyDescent="0.35">
      <c r="B9" s="40" t="s">
        <v>35</v>
      </c>
      <c r="C9" s="40" t="str">
        <f>DemTechs_TPS!P5</f>
        <v>TPSCOA</v>
      </c>
      <c r="D9" s="40" t="s">
        <v>97</v>
      </c>
      <c r="E9" s="175">
        <f>'EB1'!$D$24</f>
        <v>3596.8059999999982</v>
      </c>
      <c r="F9" s="176"/>
      <c r="G9" s="176"/>
      <c r="H9" s="176"/>
      <c r="I9" s="176"/>
      <c r="K9" s="152"/>
      <c r="M9" s="1" t="s">
        <v>168</v>
      </c>
      <c r="N9" t="str">
        <f>DemTechs_ELC!$P$5</f>
        <v>TPSELC</v>
      </c>
      <c r="O9" s="33" t="s">
        <v>169</v>
      </c>
      <c r="P9" s="207">
        <v>0.3</v>
      </c>
    </row>
    <row r="10" spans="2:16" x14ac:dyDescent="0.35">
      <c r="B10" t="s">
        <v>35</v>
      </c>
      <c r="C10" t="str">
        <f>DemTechs_RSD!$R$5</f>
        <v>DROT</v>
      </c>
      <c r="D10" s="1" t="s">
        <v>97</v>
      </c>
      <c r="E10" s="145">
        <f>'EB1'!$E$16</f>
        <v>0</v>
      </c>
      <c r="F10" s="146"/>
      <c r="G10" s="146"/>
      <c r="H10" s="146"/>
      <c r="I10" s="146"/>
      <c r="K10" s="71"/>
      <c r="M10" s="1" t="s">
        <v>168</v>
      </c>
      <c r="N10" t="str">
        <f>DemTechs_ELC!$P$5</f>
        <v>TPSELC</v>
      </c>
      <c r="O10" s="33" t="s">
        <v>170</v>
      </c>
      <c r="P10" s="147">
        <v>0.2</v>
      </c>
    </row>
    <row r="11" spans="2:16" x14ac:dyDescent="0.35">
      <c r="B11" t="s">
        <v>35</v>
      </c>
      <c r="C11" t="str">
        <f>DemTechs_TRA!$U$5</f>
        <v>DTCAR</v>
      </c>
      <c r="D11" s="1" t="s">
        <v>224</v>
      </c>
      <c r="E11" s="145">
        <f>SUM(DemTechs_TRA!P12:P15)</f>
        <v>1950.2377105124997</v>
      </c>
      <c r="F11" s="145"/>
      <c r="G11" s="145"/>
      <c r="H11" s="145"/>
      <c r="I11" s="145"/>
      <c r="K11" s="157"/>
      <c r="M11" s="1" t="s">
        <v>168</v>
      </c>
      <c r="N11" t="str">
        <f>DemTechs_ELC!$P$5</f>
        <v>TPSELC</v>
      </c>
      <c r="O11" s="33" t="s">
        <v>171</v>
      </c>
      <c r="P11" s="147">
        <v>0.27</v>
      </c>
    </row>
    <row r="12" spans="2:16" x14ac:dyDescent="0.35">
      <c r="B12" s="6" t="s">
        <v>35</v>
      </c>
      <c r="C12" s="6" t="str">
        <f>DemTechs_ELC!$P$5</f>
        <v>TPSELC</v>
      </c>
      <c r="D12" s="41" t="s">
        <v>97</v>
      </c>
      <c r="E12" s="174">
        <f>'EB1'!$R$24</f>
        <v>5211.4674999999997</v>
      </c>
      <c r="F12" s="174">
        <f>$E$12*(1+$K$12)^(F6-$E$6)</f>
        <v>5263.5821749999996</v>
      </c>
      <c r="G12" s="174">
        <f>$E$12*(1+$K$12)^(G6-$E$6)</f>
        <v>5477.3047182695209</v>
      </c>
      <c r="H12" s="174">
        <f>$E$12*(1+$K$12)^(H6-$E$6)</f>
        <v>5756.702306361417</v>
      </c>
      <c r="I12" s="174">
        <f>$E$12*(1+$K$12)^(I6-$E$6)</f>
        <v>6050.3519794196973</v>
      </c>
      <c r="K12" s="158">
        <v>0.01</v>
      </c>
      <c r="M12" s="41" t="s">
        <v>168</v>
      </c>
      <c r="N12" s="6" t="str">
        <f>DemTechs_ELC!$P$5</f>
        <v>TPSELC</v>
      </c>
      <c r="O12" s="42" t="s">
        <v>172</v>
      </c>
      <c r="P12" s="154">
        <v>0.23</v>
      </c>
    </row>
    <row r="15" spans="2:16" x14ac:dyDescent="0.35">
      <c r="E15" s="36"/>
    </row>
    <row r="16" spans="2:16" x14ac:dyDescent="0.35">
      <c r="E16" s="8"/>
    </row>
    <row r="18" spans="2:5" x14ac:dyDescent="0.35">
      <c r="E18" s="8"/>
    </row>
    <row r="24" spans="2:5" x14ac:dyDescent="0.35">
      <c r="B24" s="72"/>
      <c r="C24" s="1" t="s">
        <v>210</v>
      </c>
    </row>
    <row r="25" spans="2:5" x14ac:dyDescent="0.35">
      <c r="B25" s="146"/>
      <c r="C25" s="1" t="s">
        <v>211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B3:J24"/>
  <sheetViews>
    <sheetView tabSelected="1" workbookViewId="0">
      <selection activeCell="K12" sqref="K12"/>
    </sheetView>
  </sheetViews>
  <sheetFormatPr defaultRowHeight="12.75" x14ac:dyDescent="0.35"/>
  <cols>
    <col min="2" max="2" width="9.53125" bestFit="1" customWidth="1"/>
    <col min="3" max="3" width="14.3984375" customWidth="1"/>
    <col min="11" max="11" width="10.6640625" bestFit="1" customWidth="1"/>
    <col min="12" max="12" width="12.3984375" bestFit="1" customWidth="1"/>
    <col min="13" max="13" width="5.59765625" bestFit="1" customWidth="1"/>
    <col min="14" max="14" width="8.06640625" bestFit="1" customWidth="1"/>
  </cols>
  <sheetData>
    <row r="3" spans="2:10" ht="17.45" customHeight="1" x14ac:dyDescent="0.35"/>
    <row r="4" spans="2:10" ht="17.45" customHeight="1" x14ac:dyDescent="0.45">
      <c r="C4" s="57"/>
      <c r="D4" s="57"/>
      <c r="E4" s="57"/>
      <c r="F4" s="57"/>
      <c r="G4" s="57"/>
      <c r="H4" s="57"/>
    </row>
    <row r="5" spans="2:10" ht="17.25" x14ac:dyDescent="0.45">
      <c r="C5" t="s">
        <v>13</v>
      </c>
      <c r="D5" s="56"/>
    </row>
    <row r="6" spans="2:10" ht="13.5" thickBot="1" x14ac:dyDescent="0.4">
      <c r="B6" s="59" t="s">
        <v>235</v>
      </c>
      <c r="C6" s="59" t="s">
        <v>309</v>
      </c>
      <c r="D6" s="59" t="str">
        <f>Sector_Fuels!L8</f>
        <v>TRALPG</v>
      </c>
      <c r="E6" s="59" t="str">
        <f>Sector_Fuels!L9</f>
        <v>TRAGSL</v>
      </c>
      <c r="F6" s="59" t="str">
        <f>Sector_Fuels!L7</f>
        <v>TRAKER</v>
      </c>
      <c r="G6" s="59" t="str">
        <f>Sector_Fuels!L6</f>
        <v>TRADSL</v>
      </c>
      <c r="H6" s="59" t="str">
        <f>Sector_Fuels!L10</f>
        <v>TRAHFO</v>
      </c>
      <c r="I6" s="59" t="str">
        <f>Sector_Fuels!L12</f>
        <v>TRAGAS</v>
      </c>
      <c r="J6" s="1"/>
    </row>
    <row r="7" spans="2:10" ht="13.15" thickBot="1" x14ac:dyDescent="0.4">
      <c r="B7" s="16" t="s">
        <v>113</v>
      </c>
      <c r="C7" s="16" t="s">
        <v>113</v>
      </c>
      <c r="D7" s="16" t="s">
        <v>209</v>
      </c>
      <c r="E7" s="16" t="s">
        <v>209</v>
      </c>
      <c r="F7" s="16" t="s">
        <v>209</v>
      </c>
      <c r="G7" s="16" t="s">
        <v>209</v>
      </c>
      <c r="H7" s="16" t="s">
        <v>209</v>
      </c>
      <c r="I7" s="16" t="s">
        <v>209</v>
      </c>
      <c r="J7" s="1"/>
    </row>
    <row r="8" spans="2:10" ht="13.15" x14ac:dyDescent="0.35">
      <c r="B8" s="58" t="s">
        <v>310</v>
      </c>
      <c r="C8" s="58" t="str">
        <f>DemTechs_TRA!U6</f>
        <v>TRACO2</v>
      </c>
      <c r="D8" s="151">
        <v>65</v>
      </c>
      <c r="E8" s="151">
        <v>72</v>
      </c>
      <c r="F8" s="151">
        <v>74</v>
      </c>
      <c r="G8" s="151">
        <v>74</v>
      </c>
      <c r="H8" s="151">
        <v>78</v>
      </c>
      <c r="I8" s="151">
        <v>56</v>
      </c>
      <c r="J8" s="1"/>
    </row>
    <row r="23" spans="3:4" x14ac:dyDescent="0.35">
      <c r="C23" s="72"/>
      <c r="D23" s="1" t="s">
        <v>210</v>
      </c>
    </row>
    <row r="24" spans="3:4" x14ac:dyDescent="0.35">
      <c r="C24" s="146"/>
      <c r="D24" s="1" t="s">
        <v>211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 tint="-0.249977111117893"/>
  </sheetPr>
  <dimension ref="B1:X57"/>
  <sheetViews>
    <sheetView zoomScale="90" zoomScaleNormal="90" workbookViewId="0">
      <selection activeCell="F49" sqref="F49"/>
    </sheetView>
  </sheetViews>
  <sheetFormatPr defaultRowHeight="12.75" x14ac:dyDescent="0.35"/>
  <cols>
    <col min="1" max="1" width="3" bestFit="1" customWidth="1"/>
    <col min="2" max="2" width="18.3984375" bestFit="1" customWidth="1"/>
    <col min="3" max="3" width="41.1328125" bestFit="1" customWidth="1"/>
    <col min="4" max="18" width="10.59765625" customWidth="1"/>
    <col min="19" max="19" width="6.73046875" bestFit="1" customWidth="1"/>
    <col min="20" max="20" width="2" bestFit="1" customWidth="1"/>
    <col min="21" max="21" width="12.265625" bestFit="1" customWidth="1"/>
    <col min="23" max="23" width="6.73046875" bestFit="1" customWidth="1"/>
    <col min="24" max="24" width="9.265625" bestFit="1" customWidth="1"/>
  </cols>
  <sheetData>
    <row r="1" spans="2:24" ht="13.15" x14ac:dyDescent="0.4">
      <c r="U1" s="22" t="s">
        <v>117</v>
      </c>
      <c r="V1" s="1" t="s">
        <v>118</v>
      </c>
      <c r="W1" s="1" t="s">
        <v>119</v>
      </c>
      <c r="X1" s="1" t="s">
        <v>135</v>
      </c>
    </row>
    <row r="2" spans="2:24" ht="15.75" x14ac:dyDescent="0.5">
      <c r="D2" s="67" t="s">
        <v>47</v>
      </c>
      <c r="E2" s="67" t="s">
        <v>48</v>
      </c>
      <c r="F2" s="67" t="s">
        <v>49</v>
      </c>
      <c r="G2" s="67" t="s">
        <v>181</v>
      </c>
      <c r="H2" s="67" t="s">
        <v>182</v>
      </c>
      <c r="I2" s="67" t="s">
        <v>183</v>
      </c>
      <c r="J2" s="67" t="s">
        <v>184</v>
      </c>
      <c r="K2" s="67" t="s">
        <v>185</v>
      </c>
      <c r="L2" s="67" t="s">
        <v>186</v>
      </c>
      <c r="M2" s="67" t="s">
        <v>187</v>
      </c>
      <c r="N2" s="67" t="s">
        <v>50</v>
      </c>
      <c r="O2" s="67" t="s">
        <v>51</v>
      </c>
      <c r="P2" s="67" t="s">
        <v>52</v>
      </c>
      <c r="Q2" s="67" t="s">
        <v>53</v>
      </c>
      <c r="R2" s="67" t="s">
        <v>54</v>
      </c>
      <c r="S2" s="31"/>
      <c r="V2" s="12" t="s">
        <v>100</v>
      </c>
      <c r="W2" s="12" t="s">
        <v>97</v>
      </c>
      <c r="X2" s="12" t="s">
        <v>136</v>
      </c>
    </row>
    <row r="3" spans="2:24" ht="39.4" x14ac:dyDescent="0.4">
      <c r="C3" s="143" t="s">
        <v>176</v>
      </c>
      <c r="D3" s="68" t="s">
        <v>55</v>
      </c>
      <c r="E3" s="68" t="s">
        <v>56</v>
      </c>
      <c r="F3" s="68" t="s">
        <v>180</v>
      </c>
      <c r="G3" s="68" t="s">
        <v>196</v>
      </c>
      <c r="H3" s="68" t="s">
        <v>190</v>
      </c>
      <c r="I3" s="68" t="s">
        <v>183</v>
      </c>
      <c r="J3" s="68" t="s">
        <v>191</v>
      </c>
      <c r="K3" s="68" t="s">
        <v>192</v>
      </c>
      <c r="L3" s="68" t="s">
        <v>188</v>
      </c>
      <c r="M3" s="68" t="s">
        <v>189</v>
      </c>
      <c r="N3" s="68" t="s">
        <v>57</v>
      </c>
      <c r="O3" s="68" t="s">
        <v>58</v>
      </c>
      <c r="P3" s="68" t="s">
        <v>59</v>
      </c>
      <c r="Q3" s="68" t="s">
        <v>60</v>
      </c>
      <c r="R3" s="68" t="s">
        <v>110</v>
      </c>
      <c r="S3" s="63" t="s">
        <v>61</v>
      </c>
    </row>
    <row r="4" spans="2:24" x14ac:dyDescent="0.35">
      <c r="C4" s="180" t="s">
        <v>62</v>
      </c>
      <c r="D4" s="181"/>
      <c r="E4" s="181"/>
      <c r="F4" s="181"/>
      <c r="G4" s="181"/>
      <c r="H4" s="181"/>
      <c r="I4" s="181"/>
      <c r="J4" s="181"/>
      <c r="K4" s="181"/>
      <c r="L4" s="181"/>
      <c r="M4" s="181"/>
      <c r="N4" s="182"/>
      <c r="O4" s="182"/>
      <c r="P4" s="182"/>
      <c r="Q4" s="182"/>
      <c r="R4" s="182"/>
      <c r="S4" s="183"/>
    </row>
    <row r="5" spans="2:24" ht="14.25" x14ac:dyDescent="0.45">
      <c r="B5" s="69" t="s">
        <v>63</v>
      </c>
      <c r="C5" s="184" t="s">
        <v>64</v>
      </c>
      <c r="D5" s="78">
        <f>EnergyBalance!D5*EnergyBalance!AB5</f>
        <v>8098.3580000000002</v>
      </c>
      <c r="E5" s="77">
        <f>EnergyBalance!E5*EnergyBalance!AC5</f>
        <v>0</v>
      </c>
      <c r="F5" s="77">
        <f>EnergyBalance!F5*EnergyBalance!AD5</f>
        <v>1611.7511999999999</v>
      </c>
      <c r="G5" s="77">
        <f>EnergyBalance!G5*EnergyBalance!AE5</f>
        <v>3.8399999999999997E-2</v>
      </c>
      <c r="H5" s="77">
        <f>EnergyBalance!H5*EnergyBalance!AF5</f>
        <v>0</v>
      </c>
      <c r="I5" s="77">
        <f>EnergyBalance!I5*EnergyBalance!AG5</f>
        <v>0</v>
      </c>
      <c r="J5" s="77">
        <f>EnergyBalance!J5*EnergyBalance!AH5</f>
        <v>0</v>
      </c>
      <c r="K5" s="77">
        <f>EnergyBalance!K5*EnergyBalance!AI5</f>
        <v>0</v>
      </c>
      <c r="L5" s="77">
        <f>EnergyBalance!L5*EnergyBalance!AJ5</f>
        <v>0</v>
      </c>
      <c r="M5" s="77">
        <f>EnergyBalance!M5*EnergyBalance!AK5</f>
        <v>0</v>
      </c>
      <c r="N5" s="66">
        <f>EnergyBalance!N5*EnergyBalance!AL5</f>
        <v>0</v>
      </c>
      <c r="O5" s="66">
        <f>EnergyBalance!O5*EnergyBalance!AM5</f>
        <v>5026.6000000000004</v>
      </c>
      <c r="P5" s="66">
        <f>EnergyBalance!P5*EnergyBalance!AN5</f>
        <v>0</v>
      </c>
      <c r="Q5" s="66">
        <f>EnergyBalance!Q5*EnergyBalance!AO5</f>
        <v>0</v>
      </c>
      <c r="R5" s="66">
        <f>EnergyBalance!R5*EnergyBalance!AP5</f>
        <v>0</v>
      </c>
      <c r="S5" s="185">
        <f>SUM(D5:R5)</f>
        <v>14736.747600000001</v>
      </c>
      <c r="U5" s="8"/>
    </row>
    <row r="6" spans="2:24" ht="14.25" x14ac:dyDescent="0.45">
      <c r="B6" s="69" t="s">
        <v>65</v>
      </c>
      <c r="C6" s="184" t="s">
        <v>66</v>
      </c>
      <c r="D6" s="79">
        <f>EnergyBalance!D6*EnergyBalance!AB6</f>
        <v>6462.6710000000003</v>
      </c>
      <c r="E6" s="75">
        <f>EnergyBalance!E6*EnergyBalance!AC6</f>
        <v>0</v>
      </c>
      <c r="F6" s="75">
        <f>EnergyBalance!F6*EnergyBalance!AD6</f>
        <v>8294.5968000000012</v>
      </c>
      <c r="G6" s="75">
        <f>EnergyBalance!G6*EnergyBalance!AE6</f>
        <v>1322.9094</v>
      </c>
      <c r="H6" s="75">
        <f>EnergyBalance!H6*EnergyBalance!AF6</f>
        <v>362.99310000000003</v>
      </c>
      <c r="I6" s="75">
        <f>EnergyBalance!I6*EnergyBalance!AG6</f>
        <v>195.67769999999999</v>
      </c>
      <c r="J6" s="75">
        <f>EnergyBalance!J6*EnergyBalance!AH6</f>
        <v>396</v>
      </c>
      <c r="K6" s="75">
        <f>EnergyBalance!K6*EnergyBalance!AI6</f>
        <v>409.86</v>
      </c>
      <c r="L6" s="75">
        <f>EnergyBalance!L6*EnergyBalance!AJ6</f>
        <v>647.73599999999999</v>
      </c>
      <c r="M6" s="75">
        <f>EnergyBalance!M6*EnergyBalance!AK6</f>
        <v>358.22099999999995</v>
      </c>
      <c r="N6" s="66">
        <f>EnergyBalance!N6*EnergyBalance!AL6</f>
        <v>0</v>
      </c>
      <c r="O6" s="66">
        <f>EnergyBalance!O6*EnergyBalance!AM6</f>
        <v>113.01900000000001</v>
      </c>
      <c r="P6" s="66">
        <f>EnergyBalance!P6*EnergyBalance!AN6</f>
        <v>3.5000000000000001E-3</v>
      </c>
      <c r="Q6" s="66">
        <f>EnergyBalance!Q6*EnergyBalance!AO6</f>
        <v>7.6499999999999999E-2</v>
      </c>
      <c r="R6" s="66">
        <f>EnergyBalance!R6*EnergyBalance!AP6</f>
        <v>583.76</v>
      </c>
      <c r="S6" s="185">
        <f>SUM(D6:R6)</f>
        <v>19147.524000000001</v>
      </c>
    </row>
    <row r="7" spans="2:24" ht="14.25" x14ac:dyDescent="0.45">
      <c r="B7" s="69" t="s">
        <v>67</v>
      </c>
      <c r="C7" s="184" t="s">
        <v>68</v>
      </c>
      <c r="D7" s="79">
        <f>EnergyBalance!D7*EnergyBalance!AB7</f>
        <v>-1147.069</v>
      </c>
      <c r="E7" s="75">
        <f>EnergyBalance!E7*EnergyBalance!AC7</f>
        <v>0</v>
      </c>
      <c r="F7" s="75">
        <f>EnergyBalance!F7*EnergyBalance!AD7</f>
        <v>-989.09129999999982</v>
      </c>
      <c r="G7" s="75">
        <f>EnergyBalance!G7*EnergyBalance!AE7</f>
        <v>-1009.8854999999999</v>
      </c>
      <c r="H7" s="75">
        <f>EnergyBalance!H7*EnergyBalance!AF7</f>
        <v>-177.23310000000001</v>
      </c>
      <c r="I7" s="75">
        <f>EnergyBalance!I7*EnergyBalance!AG7</f>
        <v>-116.7099</v>
      </c>
      <c r="J7" s="75">
        <f>EnergyBalance!J7*EnergyBalance!AH7</f>
        <v>-900.38520000000005</v>
      </c>
      <c r="K7" s="75">
        <f>EnergyBalance!K7*EnergyBalance!AI7</f>
        <v>-240.50399999999996</v>
      </c>
      <c r="L7" s="75">
        <f>EnergyBalance!L7*EnergyBalance!AJ7</f>
        <v>-743.56799999999998</v>
      </c>
      <c r="M7" s="75">
        <f>EnergyBalance!M7*EnergyBalance!AK7</f>
        <v>-271.82159999999999</v>
      </c>
      <c r="N7" s="66">
        <f>EnergyBalance!N7*EnergyBalance!AL7</f>
        <v>0</v>
      </c>
      <c r="O7" s="66">
        <f>EnergyBalance!O7*EnergyBalance!AM7</f>
        <v>-72.403999999999996</v>
      </c>
      <c r="P7" s="66">
        <f>EnergyBalance!P7*EnergyBalance!AN7</f>
        <v>0</v>
      </c>
      <c r="Q7" s="66">
        <f>EnergyBalance!Q7*EnergyBalance!AO7</f>
        <v>-6.4500000000000002E-2</v>
      </c>
      <c r="R7" s="66">
        <f>EnergyBalance!R7*EnergyBalance!AP7</f>
        <v>-563.40200000000004</v>
      </c>
      <c r="S7" s="185">
        <f>SUM(D7:R7)</f>
        <v>-6232.1381000000001</v>
      </c>
      <c r="U7" s="8"/>
    </row>
    <row r="8" spans="2:24" ht="14.25" x14ac:dyDescent="0.45">
      <c r="B8" s="177" t="s">
        <v>219</v>
      </c>
      <c r="C8" s="83" t="s">
        <v>220</v>
      </c>
      <c r="D8" s="84">
        <f>SUM(D5:D7)</f>
        <v>13413.960000000001</v>
      </c>
      <c r="E8" s="85">
        <f t="shared" ref="E8:R8" si="0">SUM(E5:E7)</f>
        <v>0</v>
      </c>
      <c r="F8" s="85">
        <f t="shared" si="0"/>
        <v>8917.2567000000017</v>
      </c>
      <c r="G8" s="85">
        <f t="shared" si="0"/>
        <v>313.06230000000005</v>
      </c>
      <c r="H8" s="85">
        <f t="shared" si="0"/>
        <v>185.76000000000002</v>
      </c>
      <c r="I8" s="85">
        <f t="shared" si="0"/>
        <v>78.967799999999983</v>
      </c>
      <c r="J8" s="85">
        <f t="shared" si="0"/>
        <v>-504.38520000000005</v>
      </c>
      <c r="K8" s="85">
        <f t="shared" si="0"/>
        <v>169.35600000000005</v>
      </c>
      <c r="L8" s="85">
        <f t="shared" si="0"/>
        <v>-95.831999999999994</v>
      </c>
      <c r="M8" s="85">
        <f t="shared" si="0"/>
        <v>86.399399999999957</v>
      </c>
      <c r="N8" s="85">
        <f t="shared" si="0"/>
        <v>0</v>
      </c>
      <c r="O8" s="85">
        <f t="shared" si="0"/>
        <v>5067.2150000000001</v>
      </c>
      <c r="P8" s="85">
        <f t="shared" si="0"/>
        <v>3.5000000000000001E-3</v>
      </c>
      <c r="Q8" s="85">
        <f t="shared" si="0"/>
        <v>1.1999999999999997E-2</v>
      </c>
      <c r="R8" s="85">
        <f t="shared" si="0"/>
        <v>20.357999999999947</v>
      </c>
      <c r="S8" s="86">
        <f>SUM(D8:R8)</f>
        <v>27652.1335</v>
      </c>
    </row>
    <row r="9" spans="2:24" ht="13.15" x14ac:dyDescent="0.4">
      <c r="B9" s="64"/>
      <c r="C9" s="186" t="s">
        <v>69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187"/>
    </row>
    <row r="10" spans="2:24" ht="13.15" x14ac:dyDescent="0.4">
      <c r="B10" s="69" t="s">
        <v>70</v>
      </c>
      <c r="C10" s="88" t="s">
        <v>71</v>
      </c>
      <c r="D10" s="71">
        <f>EnergyBalance!D10*EnergyBalance!AB10</f>
        <v>-57.637999999999998</v>
      </c>
      <c r="E10" s="71">
        <f>EnergyBalance!E10*EnergyBalance!AC10</f>
        <v>0</v>
      </c>
      <c r="F10" s="71">
        <f>EnergyBalance!F10*EnergyBalance!AD10</f>
        <v>0</v>
      </c>
      <c r="G10" s="71">
        <f>EnergyBalance!G10*EnergyBalance!AE10</f>
        <v>-9.7703999999999986</v>
      </c>
      <c r="H10" s="71">
        <f>EnergyBalance!H10*EnergyBalance!AF10</f>
        <v>-1.2899999999999998E-2</v>
      </c>
      <c r="I10" s="71">
        <f>EnergyBalance!I10*EnergyBalance!AG10</f>
        <v>-317.25659999999999</v>
      </c>
      <c r="J10" s="71">
        <f>EnergyBalance!J10*EnergyBalance!AH10</f>
        <v>-98.704800000000006</v>
      </c>
      <c r="K10" s="71">
        <f>EnergyBalance!K10*EnergyBalance!AI10</f>
        <v>-0.36959999999999998</v>
      </c>
      <c r="L10" s="71">
        <f>EnergyBalance!L10*EnergyBalance!AJ10</f>
        <v>-123.52799999999999</v>
      </c>
      <c r="M10" s="71">
        <f>EnergyBalance!M10*EnergyBalance!AK10</f>
        <v>0</v>
      </c>
      <c r="N10" s="71">
        <f>EnergyBalance!N10*EnergyBalance!AL10</f>
        <v>0</v>
      </c>
      <c r="O10" s="71">
        <f>EnergyBalance!O10*EnergyBalance!AM10</f>
        <v>-4.2830000000000004</v>
      </c>
      <c r="P10" s="71">
        <f>EnergyBalance!P10*EnergyBalance!AN10</f>
        <v>-0.76</v>
      </c>
      <c r="Q10" s="72">
        <f>EnergyBalance!Q10*EnergyBalance!AO10</f>
        <v>0</v>
      </c>
      <c r="R10" s="72">
        <f>EnergyBalance!R10*EnergyBalance!AP10</f>
        <v>0</v>
      </c>
      <c r="S10" s="188">
        <f>SUM(D10:R10)</f>
        <v>-612.32330000000002</v>
      </c>
    </row>
    <row r="11" spans="2:24" ht="14.25" x14ac:dyDescent="0.45">
      <c r="B11" s="69" t="s">
        <v>54</v>
      </c>
      <c r="C11" s="89" t="s">
        <v>72</v>
      </c>
      <c r="D11" s="75">
        <f>EnergyBalance!D11*EnergyBalance!AB11</f>
        <v>-9598.1200000000008</v>
      </c>
      <c r="E11" s="75">
        <f>EnergyBalance!E11*EnergyBalance!AC11</f>
        <v>0</v>
      </c>
      <c r="F11" s="75">
        <f>EnergyBalance!F11*EnergyBalance!AD11</f>
        <v>0</v>
      </c>
      <c r="G11" s="75">
        <f>EnergyBalance!G11*EnergyBalance!AE11</f>
        <v>-18.096299999999999</v>
      </c>
      <c r="H11" s="75">
        <f>EnergyBalance!H11*EnergyBalance!AF11</f>
        <v>0</v>
      </c>
      <c r="I11" s="75">
        <f>EnergyBalance!I11*EnergyBalance!AG11</f>
        <v>-14.301</v>
      </c>
      <c r="J11" s="75">
        <f>EnergyBalance!J11*EnergyBalance!AH11</f>
        <v>0</v>
      </c>
      <c r="K11" s="75">
        <f>EnergyBalance!K11*EnergyBalance!AI11</f>
        <v>0</v>
      </c>
      <c r="L11" s="75">
        <f>EnergyBalance!L11*EnergyBalance!AJ11</f>
        <v>-314.86799999999999</v>
      </c>
      <c r="M11" s="75">
        <f>EnergyBalance!M11*EnergyBalance!AK11</f>
        <v>-20.1174</v>
      </c>
      <c r="N11" s="75">
        <f>EnergyBalance!N11*EnergyBalance!AL11</f>
        <v>0</v>
      </c>
      <c r="O11" s="75">
        <f>EnergyBalance!O11*EnergyBalance!AM11</f>
        <v>-1255.692</v>
      </c>
      <c r="P11" s="71">
        <f>EnergyBalance!P11*EnergyBalance!AN11</f>
        <v>-16.474499999999999</v>
      </c>
      <c r="Q11" s="71">
        <f>EnergyBalance!Q11*EnergyBalance!AO11</f>
        <v>868.77949999999998</v>
      </c>
      <c r="R11" s="75">
        <f>EnergyBalance!R11*EnergyBalance!AP11</f>
        <v>5790.52</v>
      </c>
      <c r="S11" s="185">
        <f>SUM(D11:R11)</f>
        <v>-4578.3696999999993</v>
      </c>
    </row>
    <row r="12" spans="2:24" ht="13.15" x14ac:dyDescent="0.4">
      <c r="B12" s="69" t="s">
        <v>73</v>
      </c>
      <c r="C12" s="89" t="s">
        <v>74</v>
      </c>
      <c r="D12" s="71">
        <f>EnergyBalance!D12*EnergyBalance!AB12</f>
        <v>-161.39599999999999</v>
      </c>
      <c r="E12" s="71">
        <f>EnergyBalance!E12*EnergyBalance!AC12</f>
        <v>0</v>
      </c>
      <c r="F12" s="71">
        <f>EnergyBalance!F12*EnergyBalance!AD12</f>
        <v>0</v>
      </c>
      <c r="G12" s="71">
        <f>EnergyBalance!G12*EnergyBalance!AE12</f>
        <v>-4.5713999999999997</v>
      </c>
      <c r="H12" s="71">
        <f>EnergyBalance!H12*EnergyBalance!AF12</f>
        <v>0</v>
      </c>
      <c r="I12" s="71">
        <f>EnergyBalance!I12*EnergyBalance!AG12</f>
        <v>-0.1401</v>
      </c>
      <c r="J12" s="71">
        <f>EnergyBalance!J12*EnergyBalance!AH12</f>
        <v>0</v>
      </c>
      <c r="K12" s="71">
        <f>EnergyBalance!K12*EnergyBalance!AI12</f>
        <v>0</v>
      </c>
      <c r="L12" s="71">
        <f>EnergyBalance!L12*EnergyBalance!AJ12</f>
        <v>-9.1199999999999992</v>
      </c>
      <c r="M12" s="71">
        <f>EnergyBalance!M12*EnergyBalance!AK12</f>
        <v>-1.0631999999999999</v>
      </c>
      <c r="N12" s="71">
        <f>EnergyBalance!N12*EnergyBalance!AL12</f>
        <v>0</v>
      </c>
      <c r="O12" s="71">
        <f>EnergyBalance!O12*EnergyBalance!AM12</f>
        <v>-140.20699999999999</v>
      </c>
      <c r="P12" s="71">
        <f>EnergyBalance!P12*EnergyBalance!AN12</f>
        <v>-0.78449999999999998</v>
      </c>
      <c r="Q12" s="71">
        <f>EnergyBalance!Q12*EnergyBalance!AO12</f>
        <v>329.37150000000003</v>
      </c>
      <c r="R12" s="71">
        <f>EnergyBalance!R12*EnergyBalance!AP12</f>
        <v>0</v>
      </c>
      <c r="S12" s="188">
        <f>SUM(D12:R12)</f>
        <v>12.089300000000037</v>
      </c>
    </row>
    <row r="13" spans="2:24" ht="13.15" x14ac:dyDescent="0.4">
      <c r="B13" s="69" t="s">
        <v>75</v>
      </c>
      <c r="C13" s="89" t="s">
        <v>76</v>
      </c>
      <c r="D13" s="72">
        <f>EnergyBalance!D13*EnergyBalance!AB13</f>
        <v>0</v>
      </c>
      <c r="E13" s="72">
        <f>EnergyBalance!E13*EnergyBalance!AC13</f>
        <v>0</v>
      </c>
      <c r="F13" s="71">
        <f>EnergyBalance!F13*EnergyBalance!AD13</f>
        <v>-9520.9382999999998</v>
      </c>
      <c r="G13" s="71">
        <f>EnergyBalance!G13*EnergyBalance!AE13</f>
        <v>3420.8040000000001</v>
      </c>
      <c r="H13" s="71">
        <f>EnergyBalance!H13*EnergyBalance!AF13</f>
        <v>581.68679999999995</v>
      </c>
      <c r="I13" s="71">
        <f>EnergyBalance!I13*EnergyBalance!AG13</f>
        <v>651.78240000000005</v>
      </c>
      <c r="J13" s="71">
        <f>EnergyBalance!J13*EnergyBalance!AH13</f>
        <v>2012.9471999999998</v>
      </c>
      <c r="K13" s="71">
        <f>EnergyBalance!K13*EnergyBalance!AI13</f>
        <v>582.17279999999994</v>
      </c>
      <c r="L13" s="71">
        <f>EnergyBalance!L13*EnergyBalance!AJ13</f>
        <v>1371.0611999999999</v>
      </c>
      <c r="M13" s="71">
        <f>EnergyBalance!M13*EnergyBalance!AK13</f>
        <v>779.96699999999998</v>
      </c>
      <c r="N13" s="72">
        <f>EnergyBalance!N13*EnergyBalance!AL13</f>
        <v>0</v>
      </c>
      <c r="O13" s="72">
        <f>EnergyBalance!O13*EnergyBalance!AM13</f>
        <v>0</v>
      </c>
      <c r="P13" s="72">
        <f>EnergyBalance!P13*EnergyBalance!AN13</f>
        <v>0</v>
      </c>
      <c r="Q13" s="72">
        <f>EnergyBalance!Q13*EnergyBalance!AO13</f>
        <v>0</v>
      </c>
      <c r="R13" s="72">
        <f>EnergyBalance!R13*EnergyBalance!AP13</f>
        <v>0</v>
      </c>
      <c r="S13" s="188">
        <f>SUM(D13:R13)</f>
        <v>-120.51690000000087</v>
      </c>
    </row>
    <row r="14" spans="2:24" ht="14.25" x14ac:dyDescent="0.45">
      <c r="B14" s="64"/>
      <c r="C14" s="83" t="s">
        <v>77</v>
      </c>
      <c r="D14" s="87">
        <f>SUM(D10:D13)</f>
        <v>-9817.1540000000023</v>
      </c>
      <c r="E14" s="85">
        <f t="shared" ref="E14:R14" si="1">SUM(E10:E13)</f>
        <v>0</v>
      </c>
      <c r="F14" s="85">
        <f t="shared" si="1"/>
        <v>-9520.9382999999998</v>
      </c>
      <c r="G14" s="85">
        <f t="shared" ref="G14:M14" si="2">SUM(G10:G13)</f>
        <v>3388.3659000000002</v>
      </c>
      <c r="H14" s="85">
        <f t="shared" si="2"/>
        <v>581.6739</v>
      </c>
      <c r="I14" s="85">
        <f t="shared" si="2"/>
        <v>320.08470000000005</v>
      </c>
      <c r="J14" s="85">
        <f t="shared" si="2"/>
        <v>1914.2423999999999</v>
      </c>
      <c r="K14" s="85">
        <f t="shared" si="2"/>
        <v>581.80319999999995</v>
      </c>
      <c r="L14" s="85">
        <f t="shared" si="2"/>
        <v>923.54519999999991</v>
      </c>
      <c r="M14" s="85">
        <f t="shared" si="2"/>
        <v>758.78639999999996</v>
      </c>
      <c r="N14" s="85">
        <f t="shared" si="1"/>
        <v>0</v>
      </c>
      <c r="O14" s="85">
        <f t="shared" si="1"/>
        <v>-1400.1819999999998</v>
      </c>
      <c r="P14" s="85">
        <f t="shared" si="1"/>
        <v>-18.019000000000002</v>
      </c>
      <c r="Q14" s="85">
        <f t="shared" si="1"/>
        <v>1198.1510000000001</v>
      </c>
      <c r="R14" s="85">
        <f t="shared" si="1"/>
        <v>5790.52</v>
      </c>
      <c r="S14" s="86">
        <f>SUM(D14:R14)</f>
        <v>-5299.1206000000038</v>
      </c>
    </row>
    <row r="15" spans="2:24" ht="13.15" x14ac:dyDescent="0.4">
      <c r="B15" s="64"/>
      <c r="C15" s="186" t="s">
        <v>78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187"/>
    </row>
    <row r="16" spans="2:24" ht="14.25" x14ac:dyDescent="0.45">
      <c r="B16" s="69" t="s">
        <v>79</v>
      </c>
      <c r="C16" s="90" t="s">
        <v>80</v>
      </c>
      <c r="D16" s="189">
        <f>EnergyBalance!D16*EnergyBalance!AB16</f>
        <v>356.55500000000001</v>
      </c>
      <c r="E16" s="75">
        <f>EnergyBalance!E16*EnergyBalance!AC16</f>
        <v>0</v>
      </c>
      <c r="F16" s="189"/>
      <c r="G16" s="189">
        <f>EnergyBalance!G16*EnergyBalance!AE16</f>
        <v>517.23180000000002</v>
      </c>
      <c r="H16" s="189">
        <f>EnergyBalance!H16*EnergyBalance!AF16</f>
        <v>43.7697</v>
      </c>
      <c r="I16" s="189">
        <f>EnergyBalance!I16*EnergyBalance!AG16</f>
        <v>114.1056</v>
      </c>
      <c r="J16" s="189">
        <f>EnergyBalance!J16*EnergyBalance!AH16</f>
        <v>1.9008</v>
      </c>
      <c r="K16" s="189">
        <f>EnergyBalance!K16*EnergyBalance!AI16</f>
        <v>0</v>
      </c>
      <c r="L16" s="189">
        <f>EnergyBalance!L16*EnergyBalance!AJ16</f>
        <v>9.2279999999999998</v>
      </c>
      <c r="M16" s="189">
        <f>EnergyBalance!M16*EnergyBalance!AK16</f>
        <v>0.55200000000000005</v>
      </c>
      <c r="N16" s="190">
        <f>EnergyBalance!N16*EnergyBalance!AL16</f>
        <v>0</v>
      </c>
      <c r="O16" s="189">
        <f>EnergyBalance!O16*EnergyBalance!AM16</f>
        <v>1293.9269999999999</v>
      </c>
      <c r="P16" s="189">
        <f>EnergyBalance!P16*EnergyBalance!AN16</f>
        <v>0</v>
      </c>
      <c r="Q16" s="189">
        <f>EnergyBalance!Q16*EnergyBalance!AO16</f>
        <v>432.74250000000001</v>
      </c>
      <c r="R16" s="189">
        <f>EnergyBalance!R16*EnergyBalance!AP16</f>
        <v>1435.8710000000001</v>
      </c>
      <c r="S16" s="191">
        <f>SUM(D16:R16)</f>
        <v>4205.8834000000006</v>
      </c>
    </row>
    <row r="17" spans="2:19" ht="13.15" x14ac:dyDescent="0.4">
      <c r="B17" s="69" t="s">
        <v>81</v>
      </c>
      <c r="C17" s="91" t="s">
        <v>82</v>
      </c>
      <c r="D17" s="189">
        <f>EnergyBalance!D17*EnergyBalance!AB17</f>
        <v>56.924999999999997</v>
      </c>
      <c r="E17" s="189">
        <f>EnergyBalance!E17*EnergyBalance!AC17</f>
        <v>0</v>
      </c>
      <c r="F17" s="189"/>
      <c r="G17" s="189">
        <f>EnergyBalance!G17*EnergyBalance!AE17</f>
        <v>221.3064</v>
      </c>
      <c r="H17" s="189">
        <f>EnergyBalance!H17*EnergyBalance!AF17</f>
        <v>1.0062</v>
      </c>
      <c r="I17" s="189">
        <f>EnergyBalance!I17*EnergyBalance!AG17</f>
        <v>18.961199999999998</v>
      </c>
      <c r="J17" s="189">
        <f>EnergyBalance!J17*EnergyBalance!AH17</f>
        <v>3.4319999999999999</v>
      </c>
      <c r="K17" s="189">
        <f>EnergyBalance!K17*EnergyBalance!AI17</f>
        <v>0</v>
      </c>
      <c r="L17" s="189">
        <f>EnergyBalance!L17*EnergyBalance!AJ17</f>
        <v>11.592000000000001</v>
      </c>
      <c r="M17" s="189">
        <f>EnergyBalance!M17*EnergyBalance!AK17</f>
        <v>0.1452</v>
      </c>
      <c r="N17" s="190">
        <f>EnergyBalance!N17*EnergyBalance!AL17</f>
        <v>0</v>
      </c>
      <c r="O17" s="189">
        <f>EnergyBalance!O17*EnergyBalance!AM17</f>
        <v>67.406000000000006</v>
      </c>
      <c r="P17" s="189">
        <f>EnergyBalance!P17*EnergyBalance!AN17</f>
        <v>0.60850000000000004</v>
      </c>
      <c r="Q17" s="189">
        <f>EnergyBalance!Q17*EnergyBalance!AO17</f>
        <v>127.32299999999999</v>
      </c>
      <c r="R17" s="189">
        <f>EnergyBalance!R17*EnergyBalance!AP17</f>
        <v>1263.6955</v>
      </c>
      <c r="S17" s="191">
        <f t="shared" ref="S17:S24" si="3">SUM(D17:R17)</f>
        <v>1772.4010000000001</v>
      </c>
    </row>
    <row r="18" spans="2:19" ht="13.15" x14ac:dyDescent="0.4">
      <c r="B18" s="69" t="s">
        <v>83</v>
      </c>
      <c r="C18" s="91" t="s">
        <v>84</v>
      </c>
      <c r="D18" s="189">
        <f>EnergyBalance!D18*EnergyBalance!AB18</f>
        <v>1896.9860000000001</v>
      </c>
      <c r="E18" s="189">
        <f>EnergyBalance!E18*EnergyBalance!AC18</f>
        <v>0</v>
      </c>
      <c r="F18" s="189"/>
      <c r="G18" s="189">
        <f>EnergyBalance!G18*EnergyBalance!AE18</f>
        <v>179.208</v>
      </c>
      <c r="H18" s="189">
        <f>EnergyBalance!H18*EnergyBalance!AF18</f>
        <v>21.813899999999997</v>
      </c>
      <c r="I18" s="189">
        <f>EnergyBalance!I18*EnergyBalance!AG18</f>
        <v>85.782899999999998</v>
      </c>
      <c r="J18" s="189">
        <f>EnergyBalance!J18*EnergyBalance!AH18</f>
        <v>4.6596000000000002</v>
      </c>
      <c r="K18" s="189">
        <f>EnergyBalance!K18*EnergyBalance!AI18</f>
        <v>26.439600000000002</v>
      </c>
      <c r="L18" s="189">
        <f>EnergyBalance!L18*EnergyBalance!AJ18</f>
        <v>171.63030000000001</v>
      </c>
      <c r="M18" s="189">
        <f>EnergyBalance!M18*EnergyBalance!AK18</f>
        <v>114.9438</v>
      </c>
      <c r="N18" s="190">
        <f>EnergyBalance!N18*EnergyBalance!AL18</f>
        <v>0</v>
      </c>
      <c r="O18" s="189">
        <f>EnergyBalance!O18*EnergyBalance!AM18</f>
        <v>721.67100000000005</v>
      </c>
      <c r="P18" s="189">
        <f>EnergyBalance!P18*EnergyBalance!AN18</f>
        <v>58.595999999999997</v>
      </c>
      <c r="Q18" s="189">
        <f>EnergyBalance!Q18*EnergyBalance!AO18</f>
        <v>316.79149999999998</v>
      </c>
      <c r="R18" s="189">
        <f>EnergyBalance!R18*EnergyBalance!AP18</f>
        <v>2044.222</v>
      </c>
      <c r="S18" s="191">
        <f t="shared" si="3"/>
        <v>5642.7446</v>
      </c>
    </row>
    <row r="19" spans="2:19" ht="13.15" x14ac:dyDescent="0.4">
      <c r="B19" s="69" t="s">
        <v>85</v>
      </c>
      <c r="C19" s="91" t="s">
        <v>86</v>
      </c>
      <c r="D19" s="189">
        <f>EnergyBalance!D19*EnergyBalance!AB19</f>
        <v>44.1</v>
      </c>
      <c r="E19" s="189">
        <f>EnergyBalance!E19*EnergyBalance!AC19</f>
        <v>0</v>
      </c>
      <c r="F19" s="189"/>
      <c r="G19" s="189">
        <f>EnergyBalance!G19*EnergyBalance!AE19</f>
        <v>219.9528</v>
      </c>
      <c r="H19" s="189">
        <f>EnergyBalance!H19*EnergyBalance!AF19</f>
        <v>0.2838</v>
      </c>
      <c r="I19" s="189">
        <f>EnergyBalance!I19*EnergyBalance!AG19</f>
        <v>9.7013999999999996</v>
      </c>
      <c r="J19" s="189">
        <f>EnergyBalance!J19*EnergyBalance!AH19</f>
        <v>1.0295999999999998</v>
      </c>
      <c r="K19" s="189">
        <f>EnergyBalance!K19*EnergyBalance!AI19</f>
        <v>0</v>
      </c>
      <c r="L19" s="189">
        <f>EnergyBalance!L19*EnergyBalance!AJ19</f>
        <v>8.2439999999999998</v>
      </c>
      <c r="M19" s="189">
        <f>EnergyBalance!M19*EnergyBalance!AK19</f>
        <v>0</v>
      </c>
      <c r="N19" s="190">
        <f>EnergyBalance!N19*EnergyBalance!AL19</f>
        <v>0</v>
      </c>
      <c r="O19" s="189">
        <f>EnergyBalance!O19*EnergyBalance!AM19</f>
        <v>63.085999999999999</v>
      </c>
      <c r="P19" s="189">
        <f>EnergyBalance!P19*EnergyBalance!AN19</f>
        <v>5.0000000000000001E-4</v>
      </c>
      <c r="Q19" s="189">
        <f>EnergyBalance!Q19*EnergyBalance!AO19</f>
        <v>7.7869999999999999</v>
      </c>
      <c r="R19" s="189">
        <f>EnergyBalance!R19*EnergyBalance!AP19</f>
        <v>9.6930000000000014</v>
      </c>
      <c r="S19" s="191">
        <f t="shared" si="3"/>
        <v>363.87809999999996</v>
      </c>
    </row>
    <row r="20" spans="2:19" ht="14.25" x14ac:dyDescent="0.45">
      <c r="B20" s="69" t="s">
        <v>87</v>
      </c>
      <c r="C20" s="91" t="s">
        <v>88</v>
      </c>
      <c r="D20" s="189">
        <f>EnergyBalance!D20*EnergyBalance!AB20</f>
        <v>0.55600000000000005</v>
      </c>
      <c r="E20" s="189">
        <f>EnergyBalance!E20*EnergyBalance!AC20</f>
        <v>0</v>
      </c>
      <c r="F20" s="189"/>
      <c r="G20" s="75">
        <f>EnergyBalance!G20*EnergyBalance!AE20</f>
        <v>2313.7712999999999</v>
      </c>
      <c r="H20" s="75">
        <f>EnergyBalance!H20*EnergyBalance!AF20</f>
        <v>628.59119999999996</v>
      </c>
      <c r="I20" s="75">
        <f>EnergyBalance!I20*EnergyBalance!AG20</f>
        <v>56.538599999999995</v>
      </c>
      <c r="J20" s="75">
        <f>EnergyBalance!J20*EnergyBalance!AH20</f>
        <v>1436.5295999999998</v>
      </c>
      <c r="K20" s="75">
        <f>EnergyBalance!K20*EnergyBalance!AI20</f>
        <v>0</v>
      </c>
      <c r="L20" s="75">
        <f>EnergyBalance!L20*EnergyBalance!AJ20</f>
        <v>19.943999999999999</v>
      </c>
      <c r="M20" s="75">
        <f>EnergyBalance!M20*EnergyBalance!AK20</f>
        <v>0</v>
      </c>
      <c r="N20" s="190">
        <f>EnergyBalance!N20*EnergyBalance!AL20</f>
        <v>0</v>
      </c>
      <c r="O20" s="189">
        <f>EnergyBalance!O20*EnergyBalance!AM20</f>
        <v>130.685</v>
      </c>
      <c r="P20" s="189">
        <f>EnergyBalance!P20*EnergyBalance!AN20</f>
        <v>0</v>
      </c>
      <c r="Q20" s="189">
        <f>EnergyBalance!Q20*EnergyBalance!AO20</f>
        <v>0</v>
      </c>
      <c r="R20" s="189">
        <f>EnergyBalance!R20*EnergyBalance!AP20</f>
        <v>132.98599999999999</v>
      </c>
      <c r="S20" s="191">
        <f t="shared" si="3"/>
        <v>4719.6017000000002</v>
      </c>
    </row>
    <row r="21" spans="2:19" ht="13.15" x14ac:dyDescent="0.4">
      <c r="B21" s="69" t="s">
        <v>89</v>
      </c>
      <c r="C21" s="92" t="s">
        <v>90</v>
      </c>
      <c r="D21" s="74">
        <f>EnergyBalance!D21*EnergyBalance!AB21</f>
        <v>1189.2309999999979</v>
      </c>
      <c r="E21" s="74">
        <f>EnergyBalance!E21*EnergyBalance!AC21</f>
        <v>0</v>
      </c>
      <c r="F21" s="74"/>
      <c r="G21" s="74">
        <f>EnergyBalance!G21*EnergyBalance!AE21</f>
        <v>0</v>
      </c>
      <c r="H21" s="74">
        <f>EnergyBalance!H21*EnergyBalance!AF21</f>
        <v>0</v>
      </c>
      <c r="I21" s="74">
        <f>EnergyBalance!I21*EnergyBalance!AG21</f>
        <v>0</v>
      </c>
      <c r="J21" s="74">
        <f>EnergyBalance!J21*EnergyBalance!AH21</f>
        <v>0</v>
      </c>
      <c r="K21" s="74">
        <f>EnergyBalance!K21*EnergyBalance!AI21</f>
        <v>0</v>
      </c>
      <c r="L21" s="74">
        <f>EnergyBalance!L21*EnergyBalance!AJ21</f>
        <v>0</v>
      </c>
      <c r="M21" s="74">
        <f>EnergyBalance!M21*EnergyBalance!AK21</f>
        <v>0</v>
      </c>
      <c r="N21" s="74">
        <f>EnergyBalance!N21*EnergyBalance!AL21</f>
        <v>0</v>
      </c>
      <c r="O21" s="74">
        <f>EnergyBalance!O21*EnergyBalance!AM21</f>
        <v>1390.2580000000007</v>
      </c>
      <c r="P21" s="74">
        <f>EnergyBalance!P21*EnergyBalance!AN21</f>
        <v>0</v>
      </c>
      <c r="Q21" s="74">
        <f>EnergyBalance!Q21*EnergyBalance!AO21</f>
        <v>313.51900000000001</v>
      </c>
      <c r="R21" s="74">
        <f>EnergyBalance!R21*EnergyBalance!AP21</f>
        <v>325</v>
      </c>
      <c r="S21" s="192">
        <f t="shared" si="3"/>
        <v>3218.0079999999989</v>
      </c>
    </row>
    <row r="22" spans="2:19" ht="13.15" x14ac:dyDescent="0.4">
      <c r="B22" s="69" t="s">
        <v>108</v>
      </c>
      <c r="C22" s="91" t="s">
        <v>91</v>
      </c>
      <c r="D22" s="189">
        <f>EnergyBalance!D22*EnergyBalance!AB22</f>
        <v>52.453000000000003</v>
      </c>
      <c r="E22" s="189">
        <f>EnergyBalance!E22*EnergyBalance!AC22</f>
        <v>0</v>
      </c>
      <c r="F22" s="189"/>
      <c r="G22" s="189">
        <f>EnergyBalance!G22*EnergyBalance!AE22</f>
        <v>45.878999999999998</v>
      </c>
      <c r="H22" s="189">
        <f>EnergyBalance!H22*EnergyBalance!AF22</f>
        <v>2.8767</v>
      </c>
      <c r="I22" s="189">
        <f>EnergyBalance!I22*EnergyBalance!AG22</f>
        <v>119.9241</v>
      </c>
      <c r="J22" s="189">
        <f>EnergyBalance!J22*EnergyBalance!AH22</f>
        <v>1.8875999999999999</v>
      </c>
      <c r="K22" s="189">
        <f>EnergyBalance!K22*EnergyBalance!AI22</f>
        <v>539.52359999999999</v>
      </c>
      <c r="L22" s="189">
        <f>EnergyBalance!L22*EnergyBalance!AJ22</f>
        <v>31.223999999999997</v>
      </c>
      <c r="M22" s="189">
        <f>EnergyBalance!M22*EnergyBalance!AK22</f>
        <v>480.43740000000003</v>
      </c>
      <c r="N22" s="190">
        <f>EnergyBalance!N22*EnergyBalance!AL22</f>
        <v>0</v>
      </c>
      <c r="O22" s="189">
        <f>EnergyBalance!O22*EnergyBalance!AM22</f>
        <v>0</v>
      </c>
      <c r="P22" s="189">
        <f>EnergyBalance!P22*EnergyBalance!AN22</f>
        <v>0</v>
      </c>
      <c r="Q22" s="189">
        <f>EnergyBalance!Q22*EnergyBalance!AO22</f>
        <v>0</v>
      </c>
      <c r="R22" s="189">
        <f>EnergyBalance!R22*EnergyBalance!AP22</f>
        <v>0</v>
      </c>
      <c r="S22" s="191">
        <f t="shared" si="3"/>
        <v>1274.2054000000001</v>
      </c>
    </row>
    <row r="23" spans="2:19" ht="13.15" x14ac:dyDescent="0.4">
      <c r="B23" s="69" t="s">
        <v>109</v>
      </c>
      <c r="C23" s="91" t="s">
        <v>92</v>
      </c>
      <c r="D23" s="189">
        <f>EnergyBalance!D23*EnergyBalance!AB23</f>
        <v>0</v>
      </c>
      <c r="E23" s="189">
        <f>EnergyBalance!E23*EnergyBalance!AC23</f>
        <v>0</v>
      </c>
      <c r="F23" s="189"/>
      <c r="G23" s="189">
        <f>EnergyBalance!G23*EnergyBalance!AE23</f>
        <v>88.143600000000006</v>
      </c>
      <c r="H23" s="189">
        <f>EnergyBalance!H23*EnergyBalance!AF23</f>
        <v>0</v>
      </c>
      <c r="I23" s="189">
        <f>EnergyBalance!I23*EnergyBalance!AG23</f>
        <v>0</v>
      </c>
      <c r="J23" s="189">
        <f>EnergyBalance!J23*EnergyBalance!AH23</f>
        <v>0</v>
      </c>
      <c r="K23" s="189">
        <f>EnergyBalance!K23*EnergyBalance!AI23</f>
        <v>0</v>
      </c>
      <c r="L23" s="189">
        <f>EnergyBalance!L23*EnergyBalance!AJ23</f>
        <v>541.28399999999999</v>
      </c>
      <c r="M23" s="189">
        <f>EnergyBalance!M23*EnergyBalance!AK23</f>
        <v>3.9</v>
      </c>
      <c r="N23" s="190">
        <f>EnergyBalance!N23*EnergyBalance!AL23</f>
        <v>0</v>
      </c>
      <c r="O23" s="189">
        <f>EnergyBalance!O23*EnergyBalance!AM23</f>
        <v>0</v>
      </c>
      <c r="P23" s="189">
        <f>EnergyBalance!P23*EnergyBalance!AN23</f>
        <v>0</v>
      </c>
      <c r="Q23" s="189">
        <f>EnergyBalance!Q23*EnergyBalance!AO23</f>
        <v>0</v>
      </c>
      <c r="R23" s="189">
        <f>EnergyBalance!R23*EnergyBalance!AP23</f>
        <v>0</v>
      </c>
      <c r="S23" s="191">
        <f t="shared" si="3"/>
        <v>633.32759999999996</v>
      </c>
    </row>
    <row r="24" spans="2:19" ht="14.25" x14ac:dyDescent="0.45">
      <c r="B24" s="177" t="s">
        <v>111</v>
      </c>
      <c r="C24" s="83" t="s">
        <v>218</v>
      </c>
      <c r="D24" s="81">
        <f>SUM(D16:D23)</f>
        <v>3596.8059999999982</v>
      </c>
      <c r="E24" s="80">
        <f>SUM(E16:E23)</f>
        <v>0</v>
      </c>
      <c r="F24" s="80"/>
      <c r="G24" s="80">
        <f t="shared" ref="G24:M24" si="4">SUM(G16:G23)</f>
        <v>3585.4928999999997</v>
      </c>
      <c r="H24" s="80">
        <f t="shared" si="4"/>
        <v>698.3415</v>
      </c>
      <c r="I24" s="80">
        <f t="shared" si="4"/>
        <v>405.0138</v>
      </c>
      <c r="J24" s="80">
        <f t="shared" si="4"/>
        <v>1449.4391999999998</v>
      </c>
      <c r="K24" s="80">
        <f t="shared" si="4"/>
        <v>565.96320000000003</v>
      </c>
      <c r="L24" s="80">
        <f t="shared" si="4"/>
        <v>793.1463</v>
      </c>
      <c r="M24" s="80">
        <f t="shared" si="4"/>
        <v>599.97839999999997</v>
      </c>
      <c r="N24" s="80">
        <f>SUM(N16:N23)</f>
        <v>0</v>
      </c>
      <c r="O24" s="80">
        <f>SUM(O16:O23)</f>
        <v>3667.0330000000004</v>
      </c>
      <c r="P24" s="80">
        <f>SUM(P16:P23)</f>
        <v>59.204999999999998</v>
      </c>
      <c r="Q24" s="80">
        <f>SUM(Q16:Q23)</f>
        <v>1198.163</v>
      </c>
      <c r="R24" s="81">
        <f>SUM(R16:R23)</f>
        <v>5211.4674999999997</v>
      </c>
      <c r="S24" s="82">
        <f t="shared" si="3"/>
        <v>21830.049799999997</v>
      </c>
    </row>
    <row r="25" spans="2:19" x14ac:dyDescent="0.35">
      <c r="D25" s="8"/>
      <c r="F25" s="8"/>
      <c r="G25" s="8"/>
      <c r="H25" s="8"/>
      <c r="I25" s="8"/>
      <c r="J25" s="8"/>
      <c r="K25" s="8"/>
      <c r="L25" s="8"/>
      <c r="M25" s="8"/>
    </row>
    <row r="26" spans="2:19" x14ac:dyDescent="0.35">
      <c r="D26" s="8"/>
      <c r="F26" s="8"/>
      <c r="G26" s="8"/>
      <c r="H26" s="8"/>
      <c r="I26" s="8"/>
      <c r="J26" s="8"/>
      <c r="K26" s="8"/>
      <c r="L26" s="8"/>
      <c r="M26" s="8"/>
    </row>
    <row r="27" spans="2:19" ht="14.25" x14ac:dyDescent="0.45">
      <c r="C27" s="75" t="s">
        <v>208</v>
      </c>
      <c r="D27" s="75"/>
      <c r="E27" s="75"/>
      <c r="F27" s="8"/>
      <c r="G27" s="8"/>
      <c r="H27" s="8"/>
      <c r="I27" s="8"/>
      <c r="J27" s="8"/>
      <c r="K27" s="8"/>
      <c r="L27" s="8"/>
      <c r="M27" s="8"/>
    </row>
    <row r="28" spans="2:19" x14ac:dyDescent="0.35">
      <c r="D28" s="8"/>
      <c r="F28" s="8"/>
      <c r="G28" s="8"/>
      <c r="H28" s="8"/>
      <c r="I28" s="8"/>
      <c r="J28" s="8"/>
      <c r="K28" s="8"/>
      <c r="L28" s="8"/>
      <c r="M28" s="8"/>
    </row>
    <row r="29" spans="2:19" x14ac:dyDescent="0.35">
      <c r="D29" s="8"/>
      <c r="F29" s="8"/>
      <c r="G29" s="8"/>
      <c r="H29" s="8"/>
      <c r="I29" s="8"/>
      <c r="J29" s="8"/>
      <c r="K29" s="8"/>
      <c r="L29" s="8"/>
      <c r="M29" s="8"/>
    </row>
    <row r="30" spans="2:19" x14ac:dyDescent="0.35">
      <c r="D30" s="8"/>
      <c r="F30" s="8"/>
      <c r="G30" s="8"/>
      <c r="H30" s="8"/>
      <c r="I30" s="8"/>
      <c r="J30" s="8"/>
      <c r="K30" s="8"/>
      <c r="L30" s="8"/>
      <c r="M30" s="8"/>
    </row>
    <row r="31" spans="2:19" x14ac:dyDescent="0.35">
      <c r="D31" s="8"/>
      <c r="F31" s="8"/>
      <c r="G31" s="8"/>
      <c r="H31" s="8"/>
      <c r="I31" s="8"/>
      <c r="J31" s="8"/>
      <c r="K31" s="8"/>
      <c r="L31" s="8"/>
      <c r="M31" s="8"/>
    </row>
    <row r="32" spans="2:19" x14ac:dyDescent="0.35">
      <c r="D32" s="8"/>
      <c r="F32" s="8"/>
      <c r="G32" s="8"/>
      <c r="H32" s="8"/>
      <c r="I32" s="8"/>
      <c r="J32" s="8"/>
      <c r="K32" s="8"/>
      <c r="L32" s="8"/>
      <c r="M32" s="8"/>
    </row>
    <row r="33" spans="2:21" x14ac:dyDescent="0.35">
      <c r="D33" s="8"/>
      <c r="F33" s="8"/>
      <c r="G33" s="8"/>
      <c r="H33" s="8"/>
      <c r="I33" s="8"/>
      <c r="J33" s="8"/>
      <c r="K33" s="8"/>
      <c r="L33" s="8"/>
      <c r="M33" s="8"/>
    </row>
    <row r="34" spans="2:21" x14ac:dyDescent="0.35">
      <c r="D34" s="8"/>
      <c r="F34" s="8"/>
      <c r="G34" s="8"/>
      <c r="H34" s="8"/>
      <c r="I34" s="8"/>
      <c r="J34" s="8"/>
      <c r="K34" s="8"/>
      <c r="L34" s="8"/>
      <c r="M34" s="8"/>
    </row>
    <row r="35" spans="2:21" x14ac:dyDescent="0.35">
      <c r="D35" s="8"/>
      <c r="F35" s="8"/>
      <c r="G35" s="8"/>
      <c r="H35" s="8"/>
      <c r="I35" s="8"/>
      <c r="J35" s="8"/>
      <c r="K35" s="8"/>
      <c r="L35" s="8"/>
      <c r="M35" s="8"/>
    </row>
    <row r="36" spans="2:21" x14ac:dyDescent="0.35">
      <c r="D36" s="23" t="s">
        <v>47</v>
      </c>
      <c r="E36" s="23" t="s">
        <v>48</v>
      </c>
      <c r="F36" s="23" t="s">
        <v>49</v>
      </c>
      <c r="G36" s="1"/>
      <c r="H36" s="1"/>
      <c r="I36" s="1"/>
      <c r="J36" s="1"/>
      <c r="K36" s="1"/>
      <c r="L36" s="1"/>
      <c r="M36" s="1"/>
    </row>
    <row r="37" spans="2:21" x14ac:dyDescent="0.35">
      <c r="C37" s="24" t="s">
        <v>148</v>
      </c>
      <c r="D37" s="25">
        <v>0.75</v>
      </c>
      <c r="E37" s="25">
        <v>0.5</v>
      </c>
      <c r="F37" s="25">
        <v>0.8</v>
      </c>
      <c r="G37" s="28"/>
      <c r="H37" s="28"/>
      <c r="I37" s="28"/>
      <c r="J37" s="28"/>
      <c r="K37" s="28"/>
      <c r="L37" s="28"/>
      <c r="M37" s="28"/>
    </row>
    <row r="38" spans="2:21" x14ac:dyDescent="0.35">
      <c r="C38" s="26" t="s">
        <v>149</v>
      </c>
      <c r="D38" s="27">
        <v>0.25</v>
      </c>
      <c r="E38" s="27">
        <v>0.5</v>
      </c>
      <c r="F38" s="27">
        <v>0.2</v>
      </c>
      <c r="G38" s="28"/>
      <c r="H38" s="28"/>
      <c r="I38" s="28"/>
      <c r="J38" s="28"/>
      <c r="K38" s="28"/>
      <c r="L38" s="28"/>
      <c r="M38" s="28"/>
    </row>
    <row r="39" spans="2:21" x14ac:dyDescent="0.35">
      <c r="C39" s="1"/>
      <c r="D39" s="28"/>
    </row>
    <row r="40" spans="2:21" x14ac:dyDescent="0.35">
      <c r="C40" s="1"/>
      <c r="D40" s="28"/>
    </row>
    <row r="41" spans="2:21" ht="39.4" x14ac:dyDescent="0.4">
      <c r="B41" s="31" t="s">
        <v>125</v>
      </c>
      <c r="C41" s="101" t="s">
        <v>150</v>
      </c>
      <c r="D41" s="68" t="s">
        <v>55</v>
      </c>
      <c r="E41" s="68" t="s">
        <v>56</v>
      </c>
      <c r="F41" s="68" t="s">
        <v>180</v>
      </c>
      <c r="G41" s="68" t="s">
        <v>196</v>
      </c>
      <c r="H41" s="68" t="s">
        <v>190</v>
      </c>
      <c r="I41" s="68" t="s">
        <v>183</v>
      </c>
      <c r="J41" s="68" t="s">
        <v>191</v>
      </c>
      <c r="K41" s="68" t="s">
        <v>192</v>
      </c>
      <c r="L41" s="68" t="s">
        <v>188</v>
      </c>
      <c r="M41" s="68" t="s">
        <v>189</v>
      </c>
      <c r="N41" s="68" t="s">
        <v>57</v>
      </c>
      <c r="O41" s="68" t="s">
        <v>58</v>
      </c>
      <c r="P41" s="68" t="s">
        <v>59</v>
      </c>
      <c r="Q41" s="68" t="s">
        <v>60</v>
      </c>
      <c r="R41" s="68" t="s">
        <v>110</v>
      </c>
      <c r="S41" s="32"/>
    </row>
    <row r="42" spans="2:21" ht="13.15" x14ac:dyDescent="0.4">
      <c r="B42" s="69" t="s">
        <v>79</v>
      </c>
      <c r="C42" s="90" t="s">
        <v>126</v>
      </c>
      <c r="D42" s="93"/>
      <c r="E42" s="95"/>
      <c r="F42" s="95"/>
      <c r="G42" s="95"/>
      <c r="H42" s="95"/>
      <c r="I42" s="95"/>
      <c r="J42" s="95"/>
      <c r="K42" s="95"/>
      <c r="L42" s="95"/>
      <c r="M42" s="95"/>
      <c r="N42" s="95"/>
      <c r="O42" s="95"/>
      <c r="P42" s="95"/>
      <c r="Q42" s="95"/>
      <c r="R42" s="96"/>
      <c r="U42" s="90" t="s">
        <v>129</v>
      </c>
    </row>
    <row r="43" spans="2:21" ht="13.15" x14ac:dyDescent="0.4">
      <c r="B43" s="69" t="s">
        <v>79</v>
      </c>
      <c r="C43" s="91" t="s">
        <v>127</v>
      </c>
      <c r="D43" s="94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97"/>
      <c r="U43" s="91" t="s">
        <v>130</v>
      </c>
    </row>
    <row r="44" spans="2:21" ht="14.25" x14ac:dyDescent="0.45">
      <c r="B44" s="69" t="s">
        <v>79</v>
      </c>
      <c r="C44" s="91" t="s">
        <v>128</v>
      </c>
      <c r="D44" s="94"/>
      <c r="E44" s="75">
        <v>1</v>
      </c>
      <c r="F44" s="70"/>
      <c r="G44" s="70"/>
      <c r="H44" s="70"/>
      <c r="I44" s="70"/>
      <c r="J44" s="70"/>
      <c r="K44" s="70"/>
      <c r="L44" s="70"/>
      <c r="M44" s="70"/>
      <c r="N44" s="70"/>
      <c r="O44" s="70"/>
      <c r="P44" s="70"/>
      <c r="Q44" s="70"/>
      <c r="R44" s="97"/>
      <c r="U44" s="91" t="s">
        <v>90</v>
      </c>
    </row>
    <row r="45" spans="2:21" ht="13.15" x14ac:dyDescent="0.4">
      <c r="B45" s="69"/>
      <c r="C45" s="91"/>
      <c r="D45" s="94"/>
      <c r="E45" s="70"/>
      <c r="F45" s="70"/>
      <c r="G45" s="70"/>
      <c r="H45" s="70"/>
      <c r="I45" s="70"/>
      <c r="J45" s="70"/>
      <c r="K45" s="70"/>
      <c r="L45" s="70"/>
      <c r="M45" s="70"/>
      <c r="N45" s="70"/>
      <c r="O45" s="70"/>
      <c r="P45" s="70"/>
      <c r="Q45" s="70"/>
      <c r="R45" s="97"/>
      <c r="U45" s="91"/>
    </row>
    <row r="46" spans="2:21" ht="13.15" x14ac:dyDescent="0.4">
      <c r="B46" s="69" t="s">
        <v>81</v>
      </c>
      <c r="C46" s="91" t="s">
        <v>131</v>
      </c>
      <c r="D46" s="94"/>
      <c r="E46" s="70"/>
      <c r="F46" s="70"/>
      <c r="G46" s="70"/>
      <c r="H46" s="70"/>
      <c r="I46" s="70"/>
      <c r="J46" s="70"/>
      <c r="K46" s="70"/>
      <c r="L46" s="70"/>
      <c r="M46" s="70"/>
      <c r="N46" s="70"/>
      <c r="O46" s="70"/>
      <c r="P46" s="70"/>
      <c r="Q46" s="70"/>
      <c r="R46" s="97"/>
      <c r="U46" s="91" t="s">
        <v>133</v>
      </c>
    </row>
    <row r="47" spans="2:21" ht="13.15" x14ac:dyDescent="0.4">
      <c r="B47" s="69" t="s">
        <v>81</v>
      </c>
      <c r="C47" s="91" t="s">
        <v>132</v>
      </c>
      <c r="D47" s="94"/>
      <c r="E47" s="70"/>
      <c r="F47" s="70"/>
      <c r="G47" s="70"/>
      <c r="H47" s="70"/>
      <c r="I47" s="70"/>
      <c r="J47" s="70"/>
      <c r="K47" s="70"/>
      <c r="L47" s="70"/>
      <c r="M47" s="70"/>
      <c r="N47" s="70"/>
      <c r="O47" s="70"/>
      <c r="P47" s="70"/>
      <c r="Q47" s="70"/>
      <c r="R47" s="97"/>
      <c r="U47" s="91" t="s">
        <v>134</v>
      </c>
    </row>
    <row r="48" spans="2:21" ht="13.15" x14ac:dyDescent="0.4">
      <c r="B48" s="69"/>
      <c r="C48" s="91"/>
      <c r="D48" s="94"/>
      <c r="E48" s="70"/>
      <c r="F48" s="70"/>
      <c r="G48" s="70"/>
      <c r="H48" s="70"/>
      <c r="I48" s="70"/>
      <c r="J48" s="70"/>
      <c r="K48" s="70"/>
      <c r="L48" s="70"/>
      <c r="M48" s="70"/>
      <c r="N48" s="70"/>
      <c r="O48" s="70"/>
      <c r="P48" s="70"/>
      <c r="Q48" s="70"/>
      <c r="R48" s="97"/>
      <c r="U48" s="91"/>
    </row>
    <row r="49" spans="2:21" ht="14.25" x14ac:dyDescent="0.45">
      <c r="B49" s="69" t="s">
        <v>87</v>
      </c>
      <c r="C49" s="92" t="s">
        <v>131</v>
      </c>
      <c r="D49" s="98"/>
      <c r="E49" s="73"/>
      <c r="F49" s="73"/>
      <c r="G49" s="76">
        <v>1</v>
      </c>
      <c r="H49" s="76"/>
      <c r="I49" s="76"/>
      <c r="J49" s="76"/>
      <c r="K49" s="76"/>
      <c r="L49" s="76"/>
      <c r="M49" s="76"/>
      <c r="N49" s="73"/>
      <c r="O49" s="73"/>
      <c r="P49" s="73"/>
      <c r="Q49" s="73"/>
      <c r="R49" s="99"/>
      <c r="U49" s="92" t="s">
        <v>133</v>
      </c>
    </row>
    <row r="52" spans="2:21" ht="13.15" x14ac:dyDescent="0.4">
      <c r="C52" s="105" t="s">
        <v>138</v>
      </c>
      <c r="D52" s="107" t="s">
        <v>139</v>
      </c>
      <c r="E52" s="106" t="s">
        <v>140</v>
      </c>
    </row>
    <row r="53" spans="2:21" ht="13.15" x14ac:dyDescent="0.4">
      <c r="B53" s="22" t="s">
        <v>151</v>
      </c>
      <c r="C53" s="100" t="s">
        <v>141</v>
      </c>
      <c r="D53" s="100" t="s">
        <v>142</v>
      </c>
      <c r="E53" s="103" t="s">
        <v>140</v>
      </c>
    </row>
    <row r="54" spans="2:21" ht="13.15" x14ac:dyDescent="0.4">
      <c r="B54" s="69" t="s">
        <v>79</v>
      </c>
      <c r="C54" s="102">
        <v>1</v>
      </c>
      <c r="D54" s="102"/>
      <c r="E54" s="102"/>
    </row>
    <row r="55" spans="2:21" ht="13.15" x14ac:dyDescent="0.4">
      <c r="B55" s="69" t="s">
        <v>87</v>
      </c>
      <c r="C55" s="102">
        <v>1</v>
      </c>
      <c r="D55" s="102"/>
      <c r="E55" s="102"/>
    </row>
    <row r="56" spans="2:21" ht="13.15" x14ac:dyDescent="0.4">
      <c r="B56" s="69" t="s">
        <v>89</v>
      </c>
      <c r="C56" s="102">
        <v>1</v>
      </c>
      <c r="D56" s="102"/>
      <c r="E56" s="102"/>
    </row>
    <row r="57" spans="2:21" ht="13.15" x14ac:dyDescent="0.4">
      <c r="B57" s="69" t="s">
        <v>54</v>
      </c>
      <c r="C57" s="104">
        <v>1</v>
      </c>
      <c r="D57" s="104"/>
      <c r="E57" s="104"/>
    </row>
  </sheetData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0.39997558519241921"/>
  </sheetPr>
  <dimension ref="B1:X57"/>
  <sheetViews>
    <sheetView zoomScale="90" zoomScaleNormal="90" workbookViewId="0">
      <selection activeCell="F49" sqref="F49"/>
    </sheetView>
  </sheetViews>
  <sheetFormatPr defaultRowHeight="12.75" x14ac:dyDescent="0.35"/>
  <cols>
    <col min="1" max="1" width="3" bestFit="1" customWidth="1"/>
    <col min="2" max="2" width="18.3984375" bestFit="1" customWidth="1"/>
    <col min="3" max="3" width="41.1328125" bestFit="1" customWidth="1"/>
    <col min="4" max="18" width="10.59765625" customWidth="1"/>
    <col min="19" max="19" width="7.265625" bestFit="1" customWidth="1"/>
    <col min="20" max="20" width="2" bestFit="1" customWidth="1"/>
    <col min="21" max="21" width="12.265625" bestFit="1" customWidth="1"/>
    <col min="23" max="23" width="6.73046875" bestFit="1" customWidth="1"/>
    <col min="24" max="24" width="9.265625" bestFit="1" customWidth="1"/>
  </cols>
  <sheetData>
    <row r="1" spans="2:24" ht="13.15" x14ac:dyDescent="0.4">
      <c r="U1" s="22" t="s">
        <v>117</v>
      </c>
      <c r="V1" s="1" t="s">
        <v>118</v>
      </c>
      <c r="W1" s="1" t="s">
        <v>119</v>
      </c>
      <c r="X1" s="1" t="s">
        <v>135</v>
      </c>
    </row>
    <row r="2" spans="2:24" ht="15.75" x14ac:dyDescent="0.5">
      <c r="D2" s="67" t="s">
        <v>47</v>
      </c>
      <c r="E2" s="67" t="s">
        <v>48</v>
      </c>
      <c r="F2" s="67" t="s">
        <v>49</v>
      </c>
      <c r="G2" s="67" t="s">
        <v>181</v>
      </c>
      <c r="H2" s="67" t="s">
        <v>182</v>
      </c>
      <c r="I2" s="67" t="s">
        <v>183</v>
      </c>
      <c r="J2" s="67" t="s">
        <v>184</v>
      </c>
      <c r="K2" s="67" t="s">
        <v>185</v>
      </c>
      <c r="L2" s="67" t="s">
        <v>186</v>
      </c>
      <c r="M2" s="67" t="s">
        <v>187</v>
      </c>
      <c r="N2" s="67" t="s">
        <v>50</v>
      </c>
      <c r="O2" s="67" t="s">
        <v>51</v>
      </c>
      <c r="P2" s="67" t="s">
        <v>52</v>
      </c>
      <c r="Q2" s="67" t="s">
        <v>53</v>
      </c>
      <c r="R2" s="67" t="s">
        <v>54</v>
      </c>
      <c r="S2" s="31"/>
      <c r="V2" s="12" t="s">
        <v>100</v>
      </c>
      <c r="W2" s="12" t="s">
        <v>97</v>
      </c>
      <c r="X2" s="12" t="s">
        <v>136</v>
      </c>
    </row>
    <row r="3" spans="2:24" ht="39.4" x14ac:dyDescent="0.4">
      <c r="C3" s="144" t="s">
        <v>177</v>
      </c>
      <c r="D3" s="68" t="s">
        <v>55</v>
      </c>
      <c r="E3" s="68" t="s">
        <v>56</v>
      </c>
      <c r="F3" s="68" t="s">
        <v>180</v>
      </c>
      <c r="G3" s="68" t="s">
        <v>196</v>
      </c>
      <c r="H3" s="68" t="s">
        <v>190</v>
      </c>
      <c r="I3" s="68" t="s">
        <v>183</v>
      </c>
      <c r="J3" s="68" t="s">
        <v>191</v>
      </c>
      <c r="K3" s="68" t="s">
        <v>192</v>
      </c>
      <c r="L3" s="68" t="s">
        <v>188</v>
      </c>
      <c r="M3" s="68" t="s">
        <v>189</v>
      </c>
      <c r="N3" s="68" t="s">
        <v>57</v>
      </c>
      <c r="O3" s="68" t="s">
        <v>58</v>
      </c>
      <c r="P3" s="68" t="s">
        <v>59</v>
      </c>
      <c r="Q3" s="68" t="s">
        <v>60</v>
      </c>
      <c r="R3" s="68" t="s">
        <v>110</v>
      </c>
      <c r="S3" s="63" t="s">
        <v>61</v>
      </c>
    </row>
    <row r="4" spans="2:24" x14ac:dyDescent="0.35">
      <c r="C4" s="180" t="s">
        <v>62</v>
      </c>
      <c r="D4" s="181"/>
      <c r="E4" s="181"/>
      <c r="F4" s="181"/>
      <c r="G4" s="181"/>
      <c r="H4" s="181"/>
      <c r="I4" s="181"/>
      <c r="J4" s="181"/>
      <c r="K4" s="181"/>
      <c r="L4" s="181"/>
      <c r="M4" s="181"/>
      <c r="N4" s="182"/>
      <c r="O4" s="182"/>
      <c r="P4" s="182"/>
      <c r="Q4" s="182"/>
      <c r="R4" s="182"/>
      <c r="S4" s="183"/>
    </row>
    <row r="5" spans="2:24" ht="14.25" x14ac:dyDescent="0.45">
      <c r="B5" s="69" t="s">
        <v>63</v>
      </c>
      <c r="C5" s="184" t="s">
        <v>64</v>
      </c>
      <c r="D5" s="78">
        <f>EnergyBalance!D5-'EB1'!D5</f>
        <v>0</v>
      </c>
      <c r="E5" s="77">
        <f>EnergyBalance!E5-'EB1'!E5</f>
        <v>7899.4970000000003</v>
      </c>
      <c r="F5" s="77">
        <f>EnergyBalance!F5-'EB1'!F5</f>
        <v>3760.7528000000002</v>
      </c>
      <c r="G5" s="77">
        <f>EnergyBalance!G5-'EB1'!G5</f>
        <v>8.9600000000000013E-2</v>
      </c>
      <c r="H5" s="77">
        <f>EnergyBalance!H5-'EB1'!H5</f>
        <v>0</v>
      </c>
      <c r="I5" s="77">
        <f>EnergyBalance!I5-'EB1'!I5</f>
        <v>0</v>
      </c>
      <c r="J5" s="77">
        <f>EnergyBalance!J5-'EB1'!J5</f>
        <v>0</v>
      </c>
      <c r="K5" s="77">
        <f>EnergyBalance!K5-'EB1'!K5</f>
        <v>0</v>
      </c>
      <c r="L5" s="77">
        <f>EnergyBalance!L5-'EB1'!L5</f>
        <v>0</v>
      </c>
      <c r="M5" s="77">
        <f>EnergyBalance!M5-'EB1'!M5</f>
        <v>0</v>
      </c>
      <c r="N5" s="66">
        <f>EnergyBalance!N5-'EB1'!N5</f>
        <v>10775.148999999999</v>
      </c>
      <c r="O5" s="66">
        <f>EnergyBalance!O5-'EB1'!O5</f>
        <v>0</v>
      </c>
      <c r="P5" s="66">
        <f>EnergyBalance!P5-'EB1'!P5</f>
        <v>0</v>
      </c>
      <c r="Q5" s="66">
        <f>EnergyBalance!Q5-'EB1'!Q5</f>
        <v>0</v>
      </c>
      <c r="R5" s="66">
        <f>EnergyBalance!R5-'EB1'!R5</f>
        <v>0</v>
      </c>
      <c r="S5" s="185">
        <f>SUM(D5:R5)</f>
        <v>22435.488400000002</v>
      </c>
      <c r="U5" s="8"/>
    </row>
    <row r="6" spans="2:24" ht="14.25" x14ac:dyDescent="0.45">
      <c r="B6" s="69" t="s">
        <v>65</v>
      </c>
      <c r="C6" s="184" t="s">
        <v>66</v>
      </c>
      <c r="D6" s="79">
        <f>EnergyBalance!D6-'EB1'!D6</f>
        <v>0</v>
      </c>
      <c r="E6" s="75">
        <f>EnergyBalance!E6-'EB1'!E6</f>
        <v>13291.728999999999</v>
      </c>
      <c r="F6" s="75">
        <f>EnergyBalance!F6-'EB1'!F6</f>
        <v>19354.059200000003</v>
      </c>
      <c r="G6" s="75">
        <f>EnergyBalance!G6-'EB1'!G6</f>
        <v>3086.7886000000003</v>
      </c>
      <c r="H6" s="75">
        <f>EnergyBalance!H6-'EB1'!H6</f>
        <v>846.98390000000006</v>
      </c>
      <c r="I6" s="75">
        <f>EnergyBalance!I6-'EB1'!I6</f>
        <v>456.58130000000006</v>
      </c>
      <c r="J6" s="75">
        <f>EnergyBalance!J6-'EB1'!J6</f>
        <v>924</v>
      </c>
      <c r="K6" s="75">
        <f>EnergyBalance!K6-'EB1'!K6</f>
        <v>956.34</v>
      </c>
      <c r="L6" s="75">
        <f>EnergyBalance!L6-'EB1'!L6</f>
        <v>1511.384</v>
      </c>
      <c r="M6" s="75">
        <f>EnergyBalance!M6-'EB1'!M6</f>
        <v>835.84899999999993</v>
      </c>
      <c r="N6" s="66">
        <f>EnergyBalance!N6-'EB1'!N6</f>
        <v>0</v>
      </c>
      <c r="O6" s="66">
        <f>EnergyBalance!O6-'EB1'!O6</f>
        <v>0</v>
      </c>
      <c r="P6" s="66">
        <f>EnergyBalance!P6-'EB1'!P6</f>
        <v>3.5000000000000001E-3</v>
      </c>
      <c r="Q6" s="66">
        <f>EnergyBalance!Q6-'EB1'!Q6</f>
        <v>7.6499999999999999E-2</v>
      </c>
      <c r="R6" s="66">
        <f>EnergyBalance!R6-'EB1'!R6</f>
        <v>583.76</v>
      </c>
      <c r="S6" s="185">
        <f>SUM(D6:R6)</f>
        <v>41847.555</v>
      </c>
    </row>
    <row r="7" spans="2:24" ht="14.25" x14ac:dyDescent="0.45">
      <c r="B7" s="69" t="s">
        <v>67</v>
      </c>
      <c r="C7" s="184" t="s">
        <v>68</v>
      </c>
      <c r="D7" s="79">
        <f>EnergyBalance!D7-'EB1'!D7</f>
        <v>0</v>
      </c>
      <c r="E7" s="75">
        <f>EnergyBalance!E7-'EB1'!E7</f>
        <v>-2516.3310000000001</v>
      </c>
      <c r="F7" s="75">
        <f>EnergyBalance!F7-'EB1'!F7</f>
        <v>-2307.8796999999995</v>
      </c>
      <c r="G7" s="75">
        <f>EnergyBalance!G7-'EB1'!G7</f>
        <v>-2356.3995</v>
      </c>
      <c r="H7" s="75">
        <f>EnergyBalance!H7-'EB1'!H7</f>
        <v>-413.54390000000001</v>
      </c>
      <c r="I7" s="75">
        <f>EnergyBalance!I7-'EB1'!I7</f>
        <v>-272.32310000000001</v>
      </c>
      <c r="J7" s="75">
        <f>EnergyBalance!J7-'EB1'!J7</f>
        <v>-2100.8987999999999</v>
      </c>
      <c r="K7" s="75">
        <f>EnergyBalance!K7-'EB1'!K7</f>
        <v>-561.17599999999993</v>
      </c>
      <c r="L7" s="75">
        <f>EnergyBalance!L7-'EB1'!L7</f>
        <v>-1734.992</v>
      </c>
      <c r="M7" s="75">
        <f>EnergyBalance!M7-'EB1'!M7</f>
        <v>-634.25040000000001</v>
      </c>
      <c r="N7" s="66">
        <f>EnergyBalance!N7-'EB1'!N7</f>
        <v>0</v>
      </c>
      <c r="O7" s="66">
        <f>EnergyBalance!O7-'EB1'!O7</f>
        <v>0</v>
      </c>
      <c r="P7" s="66">
        <f>EnergyBalance!P7-'EB1'!P7</f>
        <v>0</v>
      </c>
      <c r="Q7" s="66">
        <f>EnergyBalance!Q7-'EB1'!Q7</f>
        <v>-6.4500000000000002E-2</v>
      </c>
      <c r="R7" s="66">
        <f>EnergyBalance!R7-'EB1'!R7</f>
        <v>-563.40200000000004</v>
      </c>
      <c r="S7" s="185">
        <f>SUM(D7:R7)</f>
        <v>-13461.260899999999</v>
      </c>
      <c r="U7" s="8"/>
    </row>
    <row r="8" spans="2:24" ht="14.25" x14ac:dyDescent="0.45">
      <c r="B8" s="177" t="s">
        <v>219</v>
      </c>
      <c r="C8" s="83" t="s">
        <v>220</v>
      </c>
      <c r="D8" s="84">
        <f t="shared" ref="D8:R8" si="0">SUM(D5:D7)</f>
        <v>0</v>
      </c>
      <c r="E8" s="85">
        <f t="shared" si="0"/>
        <v>18674.894999999997</v>
      </c>
      <c r="F8" s="85">
        <f t="shared" si="0"/>
        <v>20806.932300000008</v>
      </c>
      <c r="G8" s="85">
        <f t="shared" ref="G8:M8" si="1">SUM(G5:G7)</f>
        <v>730.47870000000012</v>
      </c>
      <c r="H8" s="85">
        <f t="shared" si="1"/>
        <v>433.44000000000005</v>
      </c>
      <c r="I8" s="85">
        <f t="shared" si="1"/>
        <v>184.25820000000004</v>
      </c>
      <c r="J8" s="85">
        <f t="shared" si="1"/>
        <v>-1176.8987999999999</v>
      </c>
      <c r="K8" s="85">
        <f t="shared" si="1"/>
        <v>395.1640000000001</v>
      </c>
      <c r="L8" s="85">
        <f t="shared" si="1"/>
        <v>-223.60799999999995</v>
      </c>
      <c r="M8" s="85">
        <f t="shared" si="1"/>
        <v>201.59859999999992</v>
      </c>
      <c r="N8" s="85">
        <f t="shared" si="0"/>
        <v>10775.148999999999</v>
      </c>
      <c r="O8" s="85">
        <f t="shared" si="0"/>
        <v>0</v>
      </c>
      <c r="P8" s="85">
        <f t="shared" si="0"/>
        <v>3.5000000000000001E-3</v>
      </c>
      <c r="Q8" s="85">
        <f t="shared" si="0"/>
        <v>1.1999999999999997E-2</v>
      </c>
      <c r="R8" s="85">
        <f t="shared" si="0"/>
        <v>20.357999999999947</v>
      </c>
      <c r="S8" s="86">
        <f>SUM(S5:S7)</f>
        <v>50821.782500000001</v>
      </c>
    </row>
    <row r="9" spans="2:24" ht="13.15" x14ac:dyDescent="0.4">
      <c r="B9" s="64"/>
      <c r="C9" s="186" t="s">
        <v>69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187"/>
    </row>
    <row r="10" spans="2:24" ht="13.15" x14ac:dyDescent="0.4">
      <c r="B10" s="69" t="s">
        <v>70</v>
      </c>
      <c r="C10" s="88" t="s">
        <v>71</v>
      </c>
      <c r="D10" s="71">
        <f>EnergyBalance!D10-'EB1'!D10</f>
        <v>0</v>
      </c>
      <c r="E10" s="71">
        <f>EnergyBalance!E10-'EB1'!E10</f>
        <v>-792.98</v>
      </c>
      <c r="F10" s="71">
        <f>EnergyBalance!F10-'EB1'!F10</f>
        <v>0</v>
      </c>
      <c r="G10" s="71">
        <f>EnergyBalance!G10-'EB1'!G10</f>
        <v>-22.797599999999999</v>
      </c>
      <c r="H10" s="71">
        <f>EnergyBalance!H10-'EB1'!H10</f>
        <v>-3.0099999999999998E-2</v>
      </c>
      <c r="I10" s="71">
        <f>EnergyBalance!I10-'EB1'!I10</f>
        <v>-740.2654</v>
      </c>
      <c r="J10" s="71">
        <f>EnergyBalance!J10-'EB1'!J10</f>
        <v>-230.31120000000001</v>
      </c>
      <c r="K10" s="71">
        <f>EnergyBalance!K10-'EB1'!K10</f>
        <v>-0.86240000000000006</v>
      </c>
      <c r="L10" s="71">
        <f>EnergyBalance!L10-'EB1'!L10</f>
        <v>-288.23199999999997</v>
      </c>
      <c r="M10" s="71">
        <f>EnergyBalance!M10-'EB1'!M10</f>
        <v>0</v>
      </c>
      <c r="N10" s="71">
        <f>EnergyBalance!N10-'EB1'!N10</f>
        <v>0</v>
      </c>
      <c r="O10" s="71">
        <f>EnergyBalance!O10-'EB1'!O10</f>
        <v>0</v>
      </c>
      <c r="P10" s="71">
        <f>EnergyBalance!P10-'EB1'!P10</f>
        <v>-0.76</v>
      </c>
      <c r="Q10" s="72">
        <f>EnergyBalance!Q10-'EB1'!Q10</f>
        <v>0</v>
      </c>
      <c r="R10" s="72">
        <f>EnergyBalance!R10-'EB1'!R10</f>
        <v>0</v>
      </c>
      <c r="S10" s="188">
        <f>SUM(D10:R10)</f>
        <v>-2076.2387000000003</v>
      </c>
    </row>
    <row r="11" spans="2:24" ht="14.25" x14ac:dyDescent="0.45">
      <c r="B11" s="69" t="s">
        <v>54</v>
      </c>
      <c r="C11" s="89" t="s">
        <v>72</v>
      </c>
      <c r="D11" s="75">
        <f>EnergyBalance!D11-'EB1'!D11</f>
        <v>0</v>
      </c>
      <c r="E11" s="75">
        <f>EnergyBalance!E11-'EB1'!E11</f>
        <v>-5635.5439999999999</v>
      </c>
      <c r="F11" s="75">
        <f>EnergyBalance!F11-'EB1'!F11</f>
        <v>0</v>
      </c>
      <c r="G11" s="75">
        <f>EnergyBalance!G11-'EB1'!G11</f>
        <v>-42.224699999999999</v>
      </c>
      <c r="H11" s="75">
        <f>EnergyBalance!H11-'EB1'!H11</f>
        <v>0</v>
      </c>
      <c r="I11" s="75">
        <f>EnergyBalance!I11-'EB1'!I11</f>
        <v>-33.369</v>
      </c>
      <c r="J11" s="75">
        <f>EnergyBalance!J11-'EB1'!J11</f>
        <v>0</v>
      </c>
      <c r="K11" s="75">
        <f>EnergyBalance!K11-'EB1'!K11</f>
        <v>0</v>
      </c>
      <c r="L11" s="75">
        <f>EnergyBalance!L11-'EB1'!L11</f>
        <v>-734.69200000000001</v>
      </c>
      <c r="M11" s="75">
        <f>EnergyBalance!M11-'EB1'!M11</f>
        <v>-46.940600000000003</v>
      </c>
      <c r="N11" s="75">
        <f>EnergyBalance!N11-'EB1'!N11</f>
        <v>-10775.148999999999</v>
      </c>
      <c r="O11" s="75">
        <f>EnergyBalance!O11-'EB1'!O11</f>
        <v>0</v>
      </c>
      <c r="P11" s="71">
        <f>EnergyBalance!P11-'EB1'!P11</f>
        <v>-16.474499999999999</v>
      </c>
      <c r="Q11" s="71">
        <f>EnergyBalance!Q11-'EB1'!Q11</f>
        <v>868.77949999999998</v>
      </c>
      <c r="R11" s="75">
        <f>EnergyBalance!R11-'EB1'!R11</f>
        <v>5790.52</v>
      </c>
      <c r="S11" s="185">
        <f>SUM(D11:R11)</f>
        <v>-10625.094299999997</v>
      </c>
    </row>
    <row r="12" spans="2:24" ht="13.15" x14ac:dyDescent="0.4">
      <c r="B12" s="69" t="s">
        <v>73</v>
      </c>
      <c r="C12" s="89" t="s">
        <v>74</v>
      </c>
      <c r="D12" s="71">
        <f>EnergyBalance!D12-'EB1'!D12</f>
        <v>0</v>
      </c>
      <c r="E12" s="71">
        <f>EnergyBalance!E12-'EB1'!E12</f>
        <v>-301.30099999999999</v>
      </c>
      <c r="F12" s="71">
        <f>EnergyBalance!F12-'EB1'!F12</f>
        <v>0</v>
      </c>
      <c r="G12" s="71">
        <f>EnergyBalance!G12-'EB1'!G12</f>
        <v>-10.666599999999999</v>
      </c>
      <c r="H12" s="71">
        <f>EnergyBalance!H12-'EB1'!H12</f>
        <v>0</v>
      </c>
      <c r="I12" s="71">
        <f>EnergyBalance!I12-'EB1'!I12</f>
        <v>-0.32690000000000002</v>
      </c>
      <c r="J12" s="71">
        <f>EnergyBalance!J12-'EB1'!J12</f>
        <v>0</v>
      </c>
      <c r="K12" s="71">
        <f>EnergyBalance!K12-'EB1'!K12</f>
        <v>0</v>
      </c>
      <c r="L12" s="71">
        <f>EnergyBalance!L12-'EB1'!L12</f>
        <v>-21.28</v>
      </c>
      <c r="M12" s="71">
        <f>EnergyBalance!M12-'EB1'!M12</f>
        <v>-2.4808000000000003</v>
      </c>
      <c r="N12" s="71">
        <f>EnergyBalance!N12-'EB1'!N12</f>
        <v>0</v>
      </c>
      <c r="O12" s="71">
        <f>EnergyBalance!O12-'EB1'!O12</f>
        <v>0</v>
      </c>
      <c r="P12" s="71">
        <f>EnergyBalance!P12-'EB1'!P12</f>
        <v>-0.78449999999999998</v>
      </c>
      <c r="Q12" s="71">
        <f>EnergyBalance!Q12-'EB1'!Q12</f>
        <v>329.37150000000003</v>
      </c>
      <c r="R12" s="71">
        <f>EnergyBalance!R12-'EB1'!R12</f>
        <v>0</v>
      </c>
      <c r="S12" s="188">
        <f>SUM(D12:R12)</f>
        <v>-7.4682999999999993</v>
      </c>
    </row>
    <row r="13" spans="2:24" ht="13.15" x14ac:dyDescent="0.4">
      <c r="B13" s="69" t="s">
        <v>75</v>
      </c>
      <c r="C13" s="89" t="s">
        <v>76</v>
      </c>
      <c r="D13" s="72">
        <f>EnergyBalance!D13-'EB1'!D13</f>
        <v>0</v>
      </c>
      <c r="E13" s="72">
        <f>EnergyBalance!E13-'EB1'!E13</f>
        <v>0</v>
      </c>
      <c r="F13" s="71">
        <f>EnergyBalance!F13-'EB1'!F13</f>
        <v>-22215.522700000001</v>
      </c>
      <c r="G13" s="71">
        <f>EnergyBalance!G13-'EB1'!G13</f>
        <v>7981.8760000000002</v>
      </c>
      <c r="H13" s="71">
        <f>EnergyBalance!H13-'EB1'!H13</f>
        <v>1357.2692</v>
      </c>
      <c r="I13" s="71">
        <f>EnergyBalance!I13-'EB1'!I13</f>
        <v>1520.8256000000001</v>
      </c>
      <c r="J13" s="71">
        <f>EnergyBalance!J13-'EB1'!J13</f>
        <v>4696.8768</v>
      </c>
      <c r="K13" s="71">
        <f>EnergyBalance!K13-'EB1'!K13</f>
        <v>1358.4032000000002</v>
      </c>
      <c r="L13" s="71">
        <f>EnergyBalance!L13-'EB1'!L13</f>
        <v>3199.1427999999996</v>
      </c>
      <c r="M13" s="71">
        <f>EnergyBalance!M13-'EB1'!M13</f>
        <v>1819.9229999999998</v>
      </c>
      <c r="N13" s="72">
        <f>EnergyBalance!N13-'EB1'!N13</f>
        <v>0</v>
      </c>
      <c r="O13" s="72">
        <f>EnergyBalance!O13-'EB1'!O13</f>
        <v>0</v>
      </c>
      <c r="P13" s="72">
        <f>EnergyBalance!P13-'EB1'!P13</f>
        <v>0</v>
      </c>
      <c r="Q13" s="72">
        <f>EnergyBalance!Q13-'EB1'!Q13</f>
        <v>0</v>
      </c>
      <c r="R13" s="72">
        <f>EnergyBalance!R13-'EB1'!R13</f>
        <v>0</v>
      </c>
      <c r="S13" s="188">
        <f>SUM(D13:R13)</f>
        <v>-281.20610000000033</v>
      </c>
    </row>
    <row r="14" spans="2:24" ht="14.25" x14ac:dyDescent="0.45">
      <c r="B14" s="64"/>
      <c r="C14" s="83" t="s">
        <v>77</v>
      </c>
      <c r="D14" s="87">
        <f t="shared" ref="D14:R14" si="2">SUM(D10:D13)</f>
        <v>0</v>
      </c>
      <c r="E14" s="85">
        <f t="shared" si="2"/>
        <v>-6729.8249999999998</v>
      </c>
      <c r="F14" s="85">
        <f t="shared" si="2"/>
        <v>-22215.522700000001</v>
      </c>
      <c r="G14" s="85">
        <f t="shared" ref="G14:M14" si="3">SUM(G10:G13)</f>
        <v>7906.1871000000001</v>
      </c>
      <c r="H14" s="85">
        <f t="shared" si="3"/>
        <v>1357.2391</v>
      </c>
      <c r="I14" s="85">
        <f t="shared" si="3"/>
        <v>746.86430000000007</v>
      </c>
      <c r="J14" s="85">
        <f t="shared" si="3"/>
        <v>4466.5655999999999</v>
      </c>
      <c r="K14" s="85">
        <f t="shared" si="3"/>
        <v>1357.5408000000002</v>
      </c>
      <c r="L14" s="85">
        <f t="shared" si="3"/>
        <v>2154.9387999999999</v>
      </c>
      <c r="M14" s="85">
        <f t="shared" si="3"/>
        <v>1770.5015999999998</v>
      </c>
      <c r="N14" s="85">
        <f t="shared" si="2"/>
        <v>-10775.148999999999</v>
      </c>
      <c r="O14" s="85">
        <f t="shared" si="2"/>
        <v>0</v>
      </c>
      <c r="P14" s="85">
        <f t="shared" si="2"/>
        <v>-18.019000000000002</v>
      </c>
      <c r="Q14" s="85">
        <f t="shared" si="2"/>
        <v>1198.1510000000001</v>
      </c>
      <c r="R14" s="85">
        <f t="shared" si="2"/>
        <v>5790.52</v>
      </c>
      <c r="S14" s="86">
        <f>SUM(S10:S13)</f>
        <v>-12990.007399999999</v>
      </c>
    </row>
    <row r="15" spans="2:24" ht="13.15" x14ac:dyDescent="0.4">
      <c r="B15" s="64"/>
      <c r="C15" s="186" t="s">
        <v>78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187"/>
    </row>
    <row r="16" spans="2:24" ht="14.25" x14ac:dyDescent="0.45">
      <c r="B16" s="69" t="s">
        <v>79</v>
      </c>
      <c r="C16" s="90" t="s">
        <v>80</v>
      </c>
      <c r="D16" s="189">
        <f>EnergyBalance!D16-'EB1'!D16</f>
        <v>0</v>
      </c>
      <c r="E16" s="75">
        <f>EnergyBalance!E16-'EB1'!E16</f>
        <v>5159.7929999999997</v>
      </c>
      <c r="F16" s="189"/>
      <c r="G16" s="189">
        <f>EnergyBalance!G16-'EB1'!G16</f>
        <v>1206.8742</v>
      </c>
      <c r="H16" s="189">
        <f>EnergyBalance!H16-'EB1'!H16</f>
        <v>102.1293</v>
      </c>
      <c r="I16" s="189">
        <f>EnergyBalance!I16-'EB1'!I16</f>
        <v>266.24639999999999</v>
      </c>
      <c r="J16" s="189">
        <f>EnergyBalance!J16-'EB1'!J16</f>
        <v>4.4352</v>
      </c>
      <c r="K16" s="189">
        <f>EnergyBalance!K16-'EB1'!K16</f>
        <v>0</v>
      </c>
      <c r="L16" s="189">
        <f>EnergyBalance!L16-'EB1'!L16</f>
        <v>21.532000000000004</v>
      </c>
      <c r="M16" s="189">
        <f>EnergyBalance!M16-'EB1'!M16</f>
        <v>1.288</v>
      </c>
      <c r="N16" s="190">
        <f>EnergyBalance!N16-'EB1'!N16</f>
        <v>0</v>
      </c>
      <c r="O16" s="189">
        <f>EnergyBalance!O16-'EB1'!O16</f>
        <v>0</v>
      </c>
      <c r="P16" s="189">
        <f>EnergyBalance!P16-'EB1'!P16</f>
        <v>0</v>
      </c>
      <c r="Q16" s="189">
        <f>EnergyBalance!Q16-'EB1'!Q16</f>
        <v>432.74250000000001</v>
      </c>
      <c r="R16" s="189">
        <f>EnergyBalance!R16-'EB1'!R16</f>
        <v>1435.8710000000001</v>
      </c>
      <c r="S16" s="191">
        <f>SUM(D16:R16)</f>
        <v>8630.9115999999995</v>
      </c>
    </row>
    <row r="17" spans="2:19" ht="13.15" x14ac:dyDescent="0.4">
      <c r="B17" s="69" t="s">
        <v>81</v>
      </c>
      <c r="C17" s="91" t="s">
        <v>82</v>
      </c>
      <c r="D17" s="189">
        <f>EnergyBalance!D17-'EB1'!D17</f>
        <v>0</v>
      </c>
      <c r="E17" s="189">
        <f>EnergyBalance!E17-'EB1'!E17</f>
        <v>1751.73</v>
      </c>
      <c r="F17" s="189"/>
      <c r="G17" s="189">
        <f>EnergyBalance!G17-'EB1'!G17</f>
        <v>516.38159999999993</v>
      </c>
      <c r="H17" s="189">
        <f>EnergyBalance!H17-'EB1'!H17</f>
        <v>2.3478000000000003</v>
      </c>
      <c r="I17" s="189">
        <f>EnergyBalance!I17-'EB1'!I17</f>
        <v>44.242800000000003</v>
      </c>
      <c r="J17" s="189">
        <f>EnergyBalance!J17-'EB1'!J17</f>
        <v>8.0079999999999991</v>
      </c>
      <c r="K17" s="189">
        <f>EnergyBalance!K17-'EB1'!K17</f>
        <v>0</v>
      </c>
      <c r="L17" s="189">
        <f>EnergyBalance!L17-'EB1'!L17</f>
        <v>27.048000000000002</v>
      </c>
      <c r="M17" s="189">
        <f>EnergyBalance!M17-'EB1'!M17</f>
        <v>0.33879999999999999</v>
      </c>
      <c r="N17" s="190">
        <f>EnergyBalance!N17-'EB1'!N17</f>
        <v>0</v>
      </c>
      <c r="O17" s="189">
        <f>EnergyBalance!O17-'EB1'!O17</f>
        <v>0</v>
      </c>
      <c r="P17" s="189">
        <f>EnergyBalance!P17-'EB1'!P17</f>
        <v>0.60850000000000004</v>
      </c>
      <c r="Q17" s="189">
        <f>EnergyBalance!Q17-'EB1'!Q17</f>
        <v>127.32299999999999</v>
      </c>
      <c r="R17" s="189">
        <f>EnergyBalance!R17-'EB1'!R17</f>
        <v>1263.6955</v>
      </c>
      <c r="S17" s="191">
        <f t="shared" ref="S17:S23" si="4">SUM(D17:R17)</f>
        <v>3741.7240000000002</v>
      </c>
    </row>
    <row r="18" spans="2:19" ht="13.15" x14ac:dyDescent="0.4">
      <c r="B18" s="69" t="s">
        <v>83</v>
      </c>
      <c r="C18" s="91" t="s">
        <v>84</v>
      </c>
      <c r="D18" s="189">
        <f>EnergyBalance!D18-'EB1'!D18</f>
        <v>0</v>
      </c>
      <c r="E18" s="189">
        <f>EnergyBalance!E18-'EB1'!E18</f>
        <v>4437.1610000000001</v>
      </c>
      <c r="F18" s="189"/>
      <c r="G18" s="189">
        <f>EnergyBalance!G18-'EB1'!G18</f>
        <v>418.15200000000004</v>
      </c>
      <c r="H18" s="189">
        <f>EnergyBalance!H18-'EB1'!H18</f>
        <v>50.899099999999997</v>
      </c>
      <c r="I18" s="189">
        <f>EnergyBalance!I18-'EB1'!I18</f>
        <v>200.1601</v>
      </c>
      <c r="J18" s="189">
        <f>EnergyBalance!J18-'EB1'!J18</f>
        <v>10.872399999999999</v>
      </c>
      <c r="K18" s="189">
        <f>EnergyBalance!K18-'EB1'!K18</f>
        <v>61.692400000000006</v>
      </c>
      <c r="L18" s="189">
        <f>EnergyBalance!L18-'EB1'!L18</f>
        <v>400.47069999999997</v>
      </c>
      <c r="M18" s="189">
        <f>EnergyBalance!M18-'EB1'!M18</f>
        <v>268.2022</v>
      </c>
      <c r="N18" s="190">
        <f>EnergyBalance!N18-'EB1'!N18</f>
        <v>0</v>
      </c>
      <c r="O18" s="189">
        <f>EnergyBalance!O18-'EB1'!O18</f>
        <v>0</v>
      </c>
      <c r="P18" s="189">
        <f>EnergyBalance!P18-'EB1'!P18</f>
        <v>58.595999999999997</v>
      </c>
      <c r="Q18" s="189">
        <f>EnergyBalance!Q18-'EB1'!Q18</f>
        <v>316.79149999999998</v>
      </c>
      <c r="R18" s="189">
        <f>EnergyBalance!R18-'EB1'!R18</f>
        <v>2044.222</v>
      </c>
      <c r="S18" s="191">
        <f t="shared" si="4"/>
        <v>8267.2194</v>
      </c>
    </row>
    <row r="19" spans="2:19" ht="13.15" x14ac:dyDescent="0.4">
      <c r="B19" s="69" t="s">
        <v>85</v>
      </c>
      <c r="C19" s="91" t="s">
        <v>86</v>
      </c>
      <c r="D19" s="189">
        <f>EnergyBalance!D19-'EB1'!D19</f>
        <v>0</v>
      </c>
      <c r="E19" s="189">
        <f>EnergyBalance!E19-'EB1'!E19</f>
        <v>201.20599999999999</v>
      </c>
      <c r="F19" s="189"/>
      <c r="G19" s="189">
        <f>EnergyBalance!G19-'EB1'!G19</f>
        <v>513.22320000000002</v>
      </c>
      <c r="H19" s="189">
        <f>EnergyBalance!H19-'EB1'!H19</f>
        <v>0.6621999999999999</v>
      </c>
      <c r="I19" s="189">
        <f>EnergyBalance!I19-'EB1'!I19</f>
        <v>22.636600000000001</v>
      </c>
      <c r="J19" s="189">
        <f>EnergyBalance!J19-'EB1'!J19</f>
        <v>2.4024000000000001</v>
      </c>
      <c r="K19" s="189">
        <f>EnergyBalance!K19-'EB1'!K19</f>
        <v>0</v>
      </c>
      <c r="L19" s="189">
        <f>EnergyBalance!L19-'EB1'!L19</f>
        <v>19.236000000000001</v>
      </c>
      <c r="M19" s="189">
        <f>EnergyBalance!M19-'EB1'!M19</f>
        <v>0</v>
      </c>
      <c r="N19" s="190">
        <f>EnergyBalance!N19-'EB1'!N19</f>
        <v>0</v>
      </c>
      <c r="O19" s="189">
        <f>EnergyBalance!O19-'EB1'!O19</f>
        <v>0</v>
      </c>
      <c r="P19" s="189">
        <f>EnergyBalance!P19-'EB1'!P19</f>
        <v>5.0000000000000001E-4</v>
      </c>
      <c r="Q19" s="189">
        <f>EnergyBalance!Q19-'EB1'!Q19</f>
        <v>7.7869999999999999</v>
      </c>
      <c r="R19" s="189">
        <f>EnergyBalance!R19-'EB1'!R19</f>
        <v>9.6930000000000014</v>
      </c>
      <c r="S19" s="191">
        <f t="shared" si="4"/>
        <v>776.84690000000001</v>
      </c>
    </row>
    <row r="20" spans="2:19" ht="14.25" x14ac:dyDescent="0.45">
      <c r="B20" s="69" t="s">
        <v>87</v>
      </c>
      <c r="C20" s="91" t="s">
        <v>88</v>
      </c>
      <c r="D20" s="189">
        <f>EnergyBalance!D20-'EB1'!D20</f>
        <v>0</v>
      </c>
      <c r="E20" s="189">
        <f>EnergyBalance!E20-'EB1'!E20</f>
        <v>21.248999999999999</v>
      </c>
      <c r="F20" s="189"/>
      <c r="G20" s="75">
        <f>EnergyBalance!G20-'EB1'!G20</f>
        <v>5398.7996999999996</v>
      </c>
      <c r="H20" s="75">
        <f>EnergyBalance!H20-'EB1'!H20</f>
        <v>1466.7128000000002</v>
      </c>
      <c r="I20" s="75">
        <f>EnergyBalance!I20-'EB1'!I20</f>
        <v>131.92339999999999</v>
      </c>
      <c r="J20" s="75">
        <f>EnergyBalance!J20-'EB1'!J20</f>
        <v>3351.9023999999999</v>
      </c>
      <c r="K20" s="75">
        <f>EnergyBalance!K20-'EB1'!K20</f>
        <v>0</v>
      </c>
      <c r="L20" s="75">
        <f>EnergyBalance!L20-'EB1'!L20</f>
        <v>46.536000000000001</v>
      </c>
      <c r="M20" s="75">
        <f>EnergyBalance!M20-'EB1'!M20</f>
        <v>0</v>
      </c>
      <c r="N20" s="190">
        <f>EnergyBalance!N20-'EB1'!N20</f>
        <v>0</v>
      </c>
      <c r="O20" s="189">
        <f>EnergyBalance!O20-'EB1'!O20</f>
        <v>0</v>
      </c>
      <c r="P20" s="189">
        <f>EnergyBalance!P20-'EB1'!P20</f>
        <v>0</v>
      </c>
      <c r="Q20" s="189">
        <f>EnergyBalance!Q20-'EB1'!Q20</f>
        <v>0</v>
      </c>
      <c r="R20" s="189">
        <f>EnergyBalance!R20-'EB1'!R20</f>
        <v>132.98599999999999</v>
      </c>
      <c r="S20" s="191">
        <f t="shared" si="4"/>
        <v>10550.1093</v>
      </c>
    </row>
    <row r="21" spans="2:19" ht="13.15" x14ac:dyDescent="0.4">
      <c r="B21" s="69" t="s">
        <v>89</v>
      </c>
      <c r="C21" s="92" t="s">
        <v>90</v>
      </c>
      <c r="D21" s="74">
        <f>EnergyBalance!D21-'EB1'!D21</f>
        <v>0</v>
      </c>
      <c r="E21" s="74">
        <f>EnergyBalance!E21-'EB1'!E21</f>
        <v>0</v>
      </c>
      <c r="F21" s="74"/>
      <c r="G21" s="74">
        <f>EnergyBalance!G21-'EB1'!G21</f>
        <v>0</v>
      </c>
      <c r="H21" s="74">
        <f>EnergyBalance!H21-'EB1'!H21</f>
        <v>0</v>
      </c>
      <c r="I21" s="74">
        <f>EnergyBalance!I21-'EB1'!I21</f>
        <v>0</v>
      </c>
      <c r="J21" s="74">
        <f>EnergyBalance!J21-'EB1'!J21</f>
        <v>0</v>
      </c>
      <c r="K21" s="74">
        <f>EnergyBalance!K21-'EB1'!K21</f>
        <v>0</v>
      </c>
      <c r="L21" s="74">
        <f>EnergyBalance!L21-'EB1'!L21</f>
        <v>0</v>
      </c>
      <c r="M21" s="74">
        <f>EnergyBalance!M21-'EB1'!M21</f>
        <v>0</v>
      </c>
      <c r="N21" s="74">
        <f>EnergyBalance!N21-'EB1'!N21</f>
        <v>0</v>
      </c>
      <c r="O21" s="74">
        <f>EnergyBalance!O21-'EB1'!O21</f>
        <v>0</v>
      </c>
      <c r="P21" s="74">
        <f>EnergyBalance!P21-'EB1'!P21</f>
        <v>0</v>
      </c>
      <c r="Q21" s="74">
        <f>EnergyBalance!Q21-'EB1'!Q21</f>
        <v>313.51900000000001</v>
      </c>
      <c r="R21" s="74">
        <f>EnergyBalance!R21-'EB1'!R21</f>
        <v>325</v>
      </c>
      <c r="S21" s="192">
        <f t="shared" si="4"/>
        <v>638.51900000000001</v>
      </c>
    </row>
    <row r="22" spans="2:19" ht="13.15" x14ac:dyDescent="0.4">
      <c r="B22" s="69" t="s">
        <v>108</v>
      </c>
      <c r="C22" s="91" t="s">
        <v>91</v>
      </c>
      <c r="D22" s="189">
        <f>EnergyBalance!D22-'EB1'!D22</f>
        <v>0</v>
      </c>
      <c r="E22" s="189">
        <f>EnergyBalance!E22-'EB1'!E22</f>
        <v>633.82299999999998</v>
      </c>
      <c r="F22" s="189"/>
      <c r="G22" s="189">
        <f>EnergyBalance!G22-'EB1'!G22</f>
        <v>107.05100000000002</v>
      </c>
      <c r="H22" s="189">
        <f>EnergyBalance!H22-'EB1'!H22</f>
        <v>6.7123000000000008</v>
      </c>
      <c r="I22" s="189">
        <f>EnergyBalance!I22-'EB1'!I22</f>
        <v>279.8229</v>
      </c>
      <c r="J22" s="189">
        <f>EnergyBalance!J22-'EB1'!J22</f>
        <v>4.4043999999999999</v>
      </c>
      <c r="K22" s="189">
        <f>EnergyBalance!K22-'EB1'!K22</f>
        <v>1258.8884</v>
      </c>
      <c r="L22" s="189">
        <f>EnergyBalance!L22-'EB1'!L22</f>
        <v>72.855999999999995</v>
      </c>
      <c r="M22" s="189">
        <f>EnergyBalance!M22-'EB1'!M22</f>
        <v>1121.0206000000001</v>
      </c>
      <c r="N22" s="190">
        <f>EnergyBalance!N22-'EB1'!N22</f>
        <v>0</v>
      </c>
      <c r="O22" s="189">
        <f>EnergyBalance!O22-'EB1'!O22</f>
        <v>0</v>
      </c>
      <c r="P22" s="189">
        <f>EnergyBalance!P22-'EB1'!P22</f>
        <v>0</v>
      </c>
      <c r="Q22" s="189">
        <f>EnergyBalance!Q22-'EB1'!Q22</f>
        <v>0</v>
      </c>
      <c r="R22" s="189">
        <f>EnergyBalance!R22-'EB1'!R22</f>
        <v>0</v>
      </c>
      <c r="S22" s="191">
        <f t="shared" si="4"/>
        <v>3484.5785999999998</v>
      </c>
    </row>
    <row r="23" spans="2:19" ht="13.15" x14ac:dyDescent="0.4">
      <c r="B23" s="69" t="s">
        <v>109</v>
      </c>
      <c r="C23" s="91" t="s">
        <v>92</v>
      </c>
      <c r="D23" s="189">
        <f>EnergyBalance!D23-'EB1'!D23</f>
        <v>0</v>
      </c>
      <c r="E23" s="189">
        <f>EnergyBalance!E23-'EB1'!E23</f>
        <v>0</v>
      </c>
      <c r="F23" s="189"/>
      <c r="G23" s="189">
        <f>EnergyBalance!G23-'EB1'!G23</f>
        <v>205.66840000000002</v>
      </c>
      <c r="H23" s="189">
        <f>EnergyBalance!H23-'EB1'!H23</f>
        <v>0</v>
      </c>
      <c r="I23" s="189">
        <f>EnergyBalance!I23-'EB1'!I23</f>
        <v>0</v>
      </c>
      <c r="J23" s="189">
        <f>EnergyBalance!J23-'EB1'!J23</f>
        <v>0</v>
      </c>
      <c r="K23" s="189">
        <f>EnergyBalance!K23-'EB1'!K23</f>
        <v>0</v>
      </c>
      <c r="L23" s="189">
        <f>EnergyBalance!L23-'EB1'!L23</f>
        <v>1262.9960000000001</v>
      </c>
      <c r="M23" s="189">
        <f>EnergyBalance!M23-'EB1'!M23</f>
        <v>9.1</v>
      </c>
      <c r="N23" s="190">
        <f>EnergyBalance!N23-'EB1'!N23</f>
        <v>0</v>
      </c>
      <c r="O23" s="189">
        <f>EnergyBalance!O23-'EB1'!O23</f>
        <v>0</v>
      </c>
      <c r="P23" s="189">
        <f>EnergyBalance!P23-'EB1'!P23</f>
        <v>0</v>
      </c>
      <c r="Q23" s="189">
        <f>EnergyBalance!Q23-'EB1'!Q23</f>
        <v>0</v>
      </c>
      <c r="R23" s="189">
        <f>EnergyBalance!R23-'EB1'!R23</f>
        <v>0</v>
      </c>
      <c r="S23" s="191">
        <f t="shared" si="4"/>
        <v>1477.7644</v>
      </c>
    </row>
    <row r="24" spans="2:19" ht="14.25" x14ac:dyDescent="0.45">
      <c r="B24" s="177" t="s">
        <v>111</v>
      </c>
      <c r="C24" s="83" t="s">
        <v>218</v>
      </c>
      <c r="D24" s="81">
        <f t="shared" ref="D24:S24" si="5">SUM(D16:D23)</f>
        <v>0</v>
      </c>
      <c r="E24" s="80">
        <f t="shared" si="5"/>
        <v>12204.962</v>
      </c>
      <c r="F24" s="80"/>
      <c r="G24" s="80">
        <f t="shared" ref="G24:M24" si="6">SUM(G16:G23)</f>
        <v>8366.1500999999989</v>
      </c>
      <c r="H24" s="80">
        <f t="shared" si="6"/>
        <v>1629.4635000000001</v>
      </c>
      <c r="I24" s="80">
        <f t="shared" si="6"/>
        <v>945.03219999999999</v>
      </c>
      <c r="J24" s="80">
        <f t="shared" si="6"/>
        <v>3382.0247999999997</v>
      </c>
      <c r="K24" s="80">
        <f t="shared" si="6"/>
        <v>1320.5808</v>
      </c>
      <c r="L24" s="80">
        <f t="shared" si="6"/>
        <v>1850.6747</v>
      </c>
      <c r="M24" s="80">
        <f t="shared" si="6"/>
        <v>1399.9495999999999</v>
      </c>
      <c r="N24" s="80">
        <f t="shared" si="5"/>
        <v>0</v>
      </c>
      <c r="O24" s="80">
        <f t="shared" si="5"/>
        <v>0</v>
      </c>
      <c r="P24" s="80">
        <f t="shared" si="5"/>
        <v>59.204999999999998</v>
      </c>
      <c r="Q24" s="80">
        <f t="shared" si="5"/>
        <v>1198.163</v>
      </c>
      <c r="R24" s="81">
        <f t="shared" si="5"/>
        <v>5211.4674999999997</v>
      </c>
      <c r="S24" s="82">
        <f t="shared" si="5"/>
        <v>37567.673199999997</v>
      </c>
    </row>
    <row r="25" spans="2:19" x14ac:dyDescent="0.35">
      <c r="D25" s="8"/>
      <c r="F25" s="8"/>
      <c r="G25" s="8"/>
      <c r="H25" s="8"/>
      <c r="I25" s="8"/>
      <c r="J25" s="8"/>
      <c r="K25" s="8"/>
      <c r="L25" s="8"/>
      <c r="M25" s="8"/>
    </row>
    <row r="26" spans="2:19" x14ac:dyDescent="0.35">
      <c r="D26" s="8"/>
      <c r="F26" s="8"/>
      <c r="G26" s="8"/>
      <c r="H26" s="8"/>
      <c r="I26" s="8"/>
      <c r="J26" s="8"/>
      <c r="K26" s="8"/>
      <c r="L26" s="8"/>
      <c r="M26" s="8"/>
    </row>
    <row r="27" spans="2:19" ht="14.25" x14ac:dyDescent="0.45">
      <c r="C27" s="75" t="s">
        <v>208</v>
      </c>
      <c r="D27" s="75"/>
      <c r="E27" s="75"/>
      <c r="F27" s="8"/>
      <c r="G27" s="8"/>
      <c r="H27" s="8"/>
      <c r="I27" s="8"/>
      <c r="J27" s="8"/>
      <c r="K27" s="8"/>
      <c r="L27" s="8"/>
      <c r="M27" s="8"/>
    </row>
    <row r="28" spans="2:19" x14ac:dyDescent="0.35">
      <c r="D28" s="8"/>
      <c r="F28" s="8"/>
      <c r="G28" s="8"/>
      <c r="H28" s="8"/>
      <c r="I28" s="8"/>
      <c r="J28" s="8"/>
      <c r="K28" s="8"/>
      <c r="L28" s="8"/>
      <c r="M28" s="8"/>
    </row>
    <row r="29" spans="2:19" x14ac:dyDescent="0.35">
      <c r="D29" s="8"/>
      <c r="F29" s="8"/>
      <c r="G29" s="8"/>
      <c r="H29" s="8"/>
      <c r="I29" s="8"/>
      <c r="J29" s="8"/>
      <c r="K29" s="8"/>
      <c r="L29" s="8"/>
      <c r="M29" s="8"/>
    </row>
    <row r="30" spans="2:19" x14ac:dyDescent="0.35">
      <c r="D30" s="8"/>
      <c r="F30" s="8"/>
      <c r="G30" s="8"/>
      <c r="H30" s="8"/>
      <c r="I30" s="8"/>
      <c r="J30" s="8"/>
      <c r="K30" s="8"/>
      <c r="L30" s="8"/>
      <c r="M30" s="8"/>
    </row>
    <row r="31" spans="2:19" x14ac:dyDescent="0.35">
      <c r="D31" s="8"/>
      <c r="F31" s="8"/>
      <c r="G31" s="8"/>
      <c r="H31" s="8"/>
      <c r="I31" s="8"/>
      <c r="J31" s="8"/>
      <c r="K31" s="8"/>
      <c r="L31" s="8"/>
      <c r="M31" s="8"/>
    </row>
    <row r="32" spans="2:19" x14ac:dyDescent="0.35">
      <c r="D32" s="8"/>
      <c r="F32" s="8"/>
      <c r="G32" s="8"/>
      <c r="H32" s="8"/>
      <c r="I32" s="8"/>
      <c r="J32" s="8"/>
      <c r="K32" s="8"/>
      <c r="L32" s="8"/>
      <c r="M32" s="8"/>
    </row>
    <row r="33" spans="2:21" x14ac:dyDescent="0.35">
      <c r="D33" s="8"/>
      <c r="F33" s="8"/>
      <c r="G33" s="8"/>
      <c r="H33" s="8"/>
      <c r="I33" s="8"/>
      <c r="J33" s="8"/>
      <c r="K33" s="8"/>
      <c r="L33" s="8"/>
      <c r="M33" s="8"/>
    </row>
    <row r="34" spans="2:21" x14ac:dyDescent="0.35">
      <c r="D34" s="8"/>
      <c r="F34" s="8"/>
      <c r="G34" s="8"/>
      <c r="H34" s="8"/>
      <c r="I34" s="8"/>
      <c r="J34" s="8"/>
      <c r="K34" s="8"/>
      <c r="L34" s="8"/>
      <c r="M34" s="8"/>
    </row>
    <row r="35" spans="2:21" x14ac:dyDescent="0.35">
      <c r="D35" s="8"/>
      <c r="F35" s="8"/>
      <c r="G35" s="8"/>
      <c r="H35" s="8"/>
      <c r="I35" s="8"/>
      <c r="J35" s="8"/>
      <c r="K35" s="8"/>
      <c r="L35" s="8"/>
      <c r="M35" s="8"/>
    </row>
    <row r="36" spans="2:21" x14ac:dyDescent="0.35">
      <c r="D36" s="23" t="s">
        <v>47</v>
      </c>
      <c r="E36" s="23" t="s">
        <v>48</v>
      </c>
      <c r="F36" s="23" t="s">
        <v>49</v>
      </c>
      <c r="G36" s="1"/>
      <c r="H36" s="1"/>
      <c r="I36" s="1"/>
      <c r="J36" s="1"/>
      <c r="K36" s="1"/>
      <c r="L36" s="1"/>
      <c r="M36" s="1"/>
    </row>
    <row r="37" spans="2:21" x14ac:dyDescent="0.35">
      <c r="C37" s="24" t="s">
        <v>148</v>
      </c>
      <c r="D37" s="25">
        <v>0.75</v>
      </c>
      <c r="E37" s="25">
        <v>0.5</v>
      </c>
      <c r="F37" s="25">
        <v>0.8</v>
      </c>
      <c r="G37" s="28"/>
      <c r="H37" s="28"/>
      <c r="I37" s="28"/>
      <c r="J37" s="28"/>
      <c r="K37" s="28"/>
      <c r="L37" s="28"/>
      <c r="M37" s="28"/>
    </row>
    <row r="38" spans="2:21" x14ac:dyDescent="0.35">
      <c r="C38" s="26" t="s">
        <v>149</v>
      </c>
      <c r="D38" s="27">
        <v>0.25</v>
      </c>
      <c r="E38" s="27">
        <v>0.5</v>
      </c>
      <c r="F38" s="27">
        <v>0.2</v>
      </c>
      <c r="G38" s="28"/>
      <c r="H38" s="28"/>
      <c r="I38" s="28"/>
      <c r="J38" s="28"/>
      <c r="K38" s="28"/>
      <c r="L38" s="28"/>
      <c r="M38" s="28"/>
    </row>
    <row r="39" spans="2:21" x14ac:dyDescent="0.35">
      <c r="C39" s="1"/>
      <c r="D39" s="28"/>
    </row>
    <row r="40" spans="2:21" x14ac:dyDescent="0.35">
      <c r="C40" s="1"/>
      <c r="D40" s="28"/>
    </row>
    <row r="41" spans="2:21" ht="39.4" x14ac:dyDescent="0.4">
      <c r="B41" s="31" t="s">
        <v>125</v>
      </c>
      <c r="C41" s="101" t="s">
        <v>150</v>
      </c>
      <c r="D41" s="68" t="s">
        <v>55</v>
      </c>
      <c r="E41" s="68" t="s">
        <v>56</v>
      </c>
      <c r="F41" s="68" t="s">
        <v>180</v>
      </c>
      <c r="G41" s="68" t="s">
        <v>196</v>
      </c>
      <c r="H41" s="68" t="s">
        <v>190</v>
      </c>
      <c r="I41" s="68" t="s">
        <v>183</v>
      </c>
      <c r="J41" s="68" t="s">
        <v>191</v>
      </c>
      <c r="K41" s="68" t="s">
        <v>192</v>
      </c>
      <c r="L41" s="68" t="s">
        <v>188</v>
      </c>
      <c r="M41" s="68" t="s">
        <v>189</v>
      </c>
      <c r="N41" s="68" t="s">
        <v>57</v>
      </c>
      <c r="O41" s="68" t="s">
        <v>58</v>
      </c>
      <c r="P41" s="68" t="s">
        <v>59</v>
      </c>
      <c r="Q41" s="68" t="s">
        <v>60</v>
      </c>
      <c r="R41" s="68" t="s">
        <v>110</v>
      </c>
      <c r="S41" s="32"/>
    </row>
    <row r="42" spans="2:21" ht="13.15" x14ac:dyDescent="0.4">
      <c r="B42" s="69" t="s">
        <v>79</v>
      </c>
      <c r="C42" s="90" t="s">
        <v>126</v>
      </c>
      <c r="D42" s="93"/>
      <c r="E42" s="95"/>
      <c r="F42" s="95"/>
      <c r="G42" s="95"/>
      <c r="H42" s="95"/>
      <c r="I42" s="95"/>
      <c r="J42" s="95"/>
      <c r="K42" s="95"/>
      <c r="L42" s="95"/>
      <c r="M42" s="95"/>
      <c r="N42" s="95"/>
      <c r="O42" s="95"/>
      <c r="P42" s="95"/>
      <c r="Q42" s="95"/>
      <c r="R42" s="96"/>
      <c r="U42" s="90" t="s">
        <v>129</v>
      </c>
    </row>
    <row r="43" spans="2:21" ht="13.15" x14ac:dyDescent="0.4">
      <c r="B43" s="69" t="s">
        <v>79</v>
      </c>
      <c r="C43" s="91" t="s">
        <v>127</v>
      </c>
      <c r="D43" s="94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97"/>
      <c r="U43" s="91" t="s">
        <v>130</v>
      </c>
    </row>
    <row r="44" spans="2:21" ht="14.25" x14ac:dyDescent="0.45">
      <c r="B44" s="69" t="s">
        <v>79</v>
      </c>
      <c r="C44" s="91" t="s">
        <v>128</v>
      </c>
      <c r="D44" s="94"/>
      <c r="E44" s="75">
        <v>1</v>
      </c>
      <c r="F44" s="70"/>
      <c r="G44" s="70"/>
      <c r="H44" s="70"/>
      <c r="I44" s="70"/>
      <c r="J44" s="70"/>
      <c r="K44" s="70"/>
      <c r="L44" s="70"/>
      <c r="M44" s="70"/>
      <c r="N44" s="70"/>
      <c r="O44" s="70"/>
      <c r="P44" s="70"/>
      <c r="Q44" s="70"/>
      <c r="R44" s="97"/>
      <c r="U44" s="91" t="s">
        <v>90</v>
      </c>
    </row>
    <row r="45" spans="2:21" ht="13.15" x14ac:dyDescent="0.4">
      <c r="B45" s="69"/>
      <c r="C45" s="91"/>
      <c r="D45" s="94"/>
      <c r="E45" s="70"/>
      <c r="F45" s="70"/>
      <c r="G45" s="70"/>
      <c r="H45" s="70"/>
      <c r="I45" s="70"/>
      <c r="J45" s="70"/>
      <c r="K45" s="70"/>
      <c r="L45" s="70"/>
      <c r="M45" s="70"/>
      <c r="N45" s="70"/>
      <c r="O45" s="70"/>
      <c r="P45" s="70"/>
      <c r="Q45" s="70"/>
      <c r="R45" s="97"/>
      <c r="U45" s="91"/>
    </row>
    <row r="46" spans="2:21" ht="13.15" x14ac:dyDescent="0.4">
      <c r="B46" s="69" t="s">
        <v>81</v>
      </c>
      <c r="C46" s="91" t="s">
        <v>131</v>
      </c>
      <c r="D46" s="94"/>
      <c r="E46" s="70"/>
      <c r="F46" s="70"/>
      <c r="G46" s="70"/>
      <c r="H46" s="70"/>
      <c r="I46" s="70"/>
      <c r="J46" s="70"/>
      <c r="K46" s="70"/>
      <c r="L46" s="70"/>
      <c r="M46" s="70"/>
      <c r="N46" s="70"/>
      <c r="O46" s="70"/>
      <c r="P46" s="70"/>
      <c r="Q46" s="70"/>
      <c r="R46" s="97"/>
      <c r="U46" s="91" t="s">
        <v>133</v>
      </c>
    </row>
    <row r="47" spans="2:21" ht="13.15" x14ac:dyDescent="0.4">
      <c r="B47" s="69" t="s">
        <v>81</v>
      </c>
      <c r="C47" s="91" t="s">
        <v>132</v>
      </c>
      <c r="D47" s="94"/>
      <c r="E47" s="70"/>
      <c r="F47" s="70"/>
      <c r="G47" s="70"/>
      <c r="H47" s="70"/>
      <c r="I47" s="70"/>
      <c r="J47" s="70"/>
      <c r="K47" s="70"/>
      <c r="L47" s="70"/>
      <c r="M47" s="70"/>
      <c r="N47" s="70"/>
      <c r="O47" s="70"/>
      <c r="P47" s="70"/>
      <c r="Q47" s="70"/>
      <c r="R47" s="97"/>
      <c r="U47" s="91" t="s">
        <v>134</v>
      </c>
    </row>
    <row r="48" spans="2:21" ht="13.15" x14ac:dyDescent="0.4">
      <c r="B48" s="69"/>
      <c r="C48" s="91"/>
      <c r="D48" s="94"/>
      <c r="E48" s="70"/>
      <c r="F48" s="70"/>
      <c r="G48" s="70"/>
      <c r="H48" s="70"/>
      <c r="I48" s="70"/>
      <c r="J48" s="70"/>
      <c r="K48" s="70"/>
      <c r="L48" s="70"/>
      <c r="M48" s="70"/>
      <c r="N48" s="70"/>
      <c r="O48" s="70"/>
      <c r="P48" s="70"/>
      <c r="Q48" s="70"/>
      <c r="R48" s="97"/>
      <c r="U48" s="91"/>
    </row>
    <row r="49" spans="2:21" ht="14.25" x14ac:dyDescent="0.45">
      <c r="B49" s="69" t="s">
        <v>87</v>
      </c>
      <c r="C49" s="92" t="s">
        <v>131</v>
      </c>
      <c r="D49" s="98"/>
      <c r="E49" s="73"/>
      <c r="F49" s="73"/>
      <c r="G49" s="76">
        <v>1</v>
      </c>
      <c r="H49" s="76"/>
      <c r="I49" s="76"/>
      <c r="J49" s="76"/>
      <c r="K49" s="76"/>
      <c r="L49" s="76"/>
      <c r="M49" s="76"/>
      <c r="N49" s="73"/>
      <c r="O49" s="73"/>
      <c r="P49" s="73"/>
      <c r="Q49" s="73"/>
      <c r="R49" s="99"/>
      <c r="U49" s="92" t="s">
        <v>133</v>
      </c>
    </row>
    <row r="52" spans="2:21" ht="13.15" x14ac:dyDescent="0.4">
      <c r="C52" s="105" t="s">
        <v>138</v>
      </c>
      <c r="D52" s="107" t="s">
        <v>139</v>
      </c>
      <c r="E52" s="106" t="s">
        <v>140</v>
      </c>
    </row>
    <row r="53" spans="2:21" ht="13.15" x14ac:dyDescent="0.4">
      <c r="B53" s="22" t="s">
        <v>151</v>
      </c>
      <c r="C53" s="100" t="s">
        <v>141</v>
      </c>
      <c r="D53" s="100" t="s">
        <v>142</v>
      </c>
      <c r="E53" s="103" t="s">
        <v>140</v>
      </c>
    </row>
    <row r="54" spans="2:21" ht="13.15" x14ac:dyDescent="0.4">
      <c r="B54" s="69" t="s">
        <v>79</v>
      </c>
      <c r="C54" s="102">
        <v>1</v>
      </c>
      <c r="D54" s="102"/>
      <c r="E54" s="102"/>
    </row>
    <row r="55" spans="2:21" ht="13.15" x14ac:dyDescent="0.4">
      <c r="B55" s="69" t="s">
        <v>87</v>
      </c>
      <c r="C55" s="102">
        <v>1</v>
      </c>
      <c r="D55" s="102"/>
      <c r="E55" s="102"/>
    </row>
    <row r="56" spans="2:21" ht="13.15" x14ac:dyDescent="0.4">
      <c r="B56" s="69" t="s">
        <v>89</v>
      </c>
      <c r="C56" s="102">
        <v>1</v>
      </c>
      <c r="D56" s="102"/>
      <c r="E56" s="102"/>
    </row>
    <row r="57" spans="2:21" ht="13.15" x14ac:dyDescent="0.4">
      <c r="B57" s="69" t="s">
        <v>54</v>
      </c>
      <c r="C57" s="104">
        <v>1</v>
      </c>
      <c r="D57" s="104"/>
      <c r="E57" s="104"/>
    </row>
  </sheetData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AD58"/>
  <sheetViews>
    <sheetView zoomScale="60" zoomScaleNormal="60" workbookViewId="0">
      <selection activeCell="B2" sqref="B2:D10"/>
    </sheetView>
  </sheetViews>
  <sheetFormatPr defaultRowHeight="12.75" x14ac:dyDescent="0.35"/>
  <cols>
    <col min="1" max="1" width="1.86328125" customWidth="1"/>
    <col min="2" max="2" width="7.73046875" customWidth="1"/>
    <col min="3" max="3" width="6.86328125" customWidth="1"/>
    <col min="10" max="10" width="9.1328125" customWidth="1"/>
    <col min="12" max="12" width="26.1328125" customWidth="1"/>
    <col min="13" max="13" width="22.59765625" customWidth="1"/>
    <col min="15" max="15" width="7.1328125" customWidth="1"/>
    <col min="25" max="25" width="2.86328125" customWidth="1"/>
  </cols>
  <sheetData>
    <row r="2" spans="2:16" ht="17.649999999999999" x14ac:dyDescent="0.5">
      <c r="B2" s="160" t="s">
        <v>217</v>
      </c>
      <c r="K2" s="160"/>
      <c r="L2" s="162"/>
      <c r="M2" s="162"/>
      <c r="N2" s="162"/>
    </row>
    <row r="3" spans="2:16" ht="17.649999999999999" x14ac:dyDescent="0.5">
      <c r="B3" s="160" t="s">
        <v>226</v>
      </c>
      <c r="L3" s="163"/>
      <c r="M3" s="164"/>
      <c r="N3" s="163"/>
    </row>
    <row r="4" spans="2:16" ht="15" x14ac:dyDescent="0.4">
      <c r="L4" s="163"/>
      <c r="M4" s="164"/>
      <c r="N4" s="163"/>
    </row>
    <row r="5" spans="2:16" ht="15" x14ac:dyDescent="0.4">
      <c r="L5" s="163"/>
      <c r="M5" s="163"/>
      <c r="N5" s="163"/>
    </row>
    <row r="6" spans="2:16" ht="15" x14ac:dyDescent="0.4">
      <c r="B6" s="31" t="s">
        <v>227</v>
      </c>
      <c r="L6" s="163"/>
      <c r="M6" s="163"/>
      <c r="N6" s="163"/>
    </row>
    <row r="7" spans="2:16" ht="15" x14ac:dyDescent="0.4">
      <c r="B7" s="1" t="s">
        <v>228</v>
      </c>
      <c r="L7" s="163"/>
      <c r="M7" s="163"/>
      <c r="N7" s="163"/>
    </row>
    <row r="8" spans="2:16" ht="15" x14ac:dyDescent="0.4">
      <c r="B8" s="1" t="s">
        <v>229</v>
      </c>
      <c r="L8" s="163"/>
      <c r="M8" s="163"/>
      <c r="N8" s="163"/>
    </row>
    <row r="9" spans="2:16" ht="15" x14ac:dyDescent="0.4">
      <c r="B9" s="1" t="s">
        <v>230</v>
      </c>
      <c r="D9" t="s">
        <v>232</v>
      </c>
      <c r="L9" s="163"/>
      <c r="M9" s="163"/>
      <c r="N9" s="163"/>
    </row>
    <row r="10" spans="2:16" ht="15" x14ac:dyDescent="0.4">
      <c r="B10" s="1" t="s">
        <v>231</v>
      </c>
      <c r="D10" t="s">
        <v>232</v>
      </c>
      <c r="L10" s="163"/>
      <c r="M10" s="163"/>
      <c r="N10" s="163"/>
    </row>
    <row r="11" spans="2:16" ht="15" x14ac:dyDescent="0.4">
      <c r="B11" s="1"/>
      <c r="L11" s="163"/>
      <c r="M11" s="163"/>
      <c r="N11" s="163"/>
    </row>
    <row r="12" spans="2:16" ht="15" x14ac:dyDescent="0.4">
      <c r="B12" s="1"/>
      <c r="L12" s="163"/>
      <c r="M12" s="162"/>
      <c r="N12" s="163"/>
    </row>
    <row r="13" spans="2:16" ht="15" x14ac:dyDescent="0.4">
      <c r="B13" s="1"/>
      <c r="L13" s="163"/>
      <c r="M13" s="163"/>
      <c r="N13" s="163"/>
    </row>
    <row r="14" spans="2:16" x14ac:dyDescent="0.35">
      <c r="B14" s="1"/>
    </row>
    <row r="15" spans="2:16" ht="13.15" x14ac:dyDescent="0.4">
      <c r="O15" s="31"/>
      <c r="P15" s="31"/>
    </row>
    <row r="16" spans="2:16" x14ac:dyDescent="0.35">
      <c r="P16" s="1"/>
    </row>
    <row r="17" spans="2:30" x14ac:dyDescent="0.35">
      <c r="P17" s="1"/>
    </row>
    <row r="18" spans="2:30" ht="17.649999999999999" x14ac:dyDescent="0.5">
      <c r="B18" s="160" t="s">
        <v>233</v>
      </c>
    </row>
    <row r="20" spans="2:30" ht="13.15" x14ac:dyDescent="0.4">
      <c r="D20" s="161" t="s">
        <v>213</v>
      </c>
      <c r="E20" s="161"/>
      <c r="F20" s="161"/>
      <c r="G20" s="161"/>
      <c r="H20" s="161"/>
      <c r="I20" s="161"/>
      <c r="L20" s="161" t="s">
        <v>212</v>
      </c>
      <c r="M20" s="161"/>
      <c r="N20" s="161"/>
      <c r="P20" s="161" t="s">
        <v>214</v>
      </c>
      <c r="Q20" s="161"/>
      <c r="R20" s="161"/>
      <c r="S20" s="161"/>
      <c r="AA20" s="161" t="s">
        <v>215</v>
      </c>
      <c r="AB20" s="161"/>
      <c r="AC20" s="161"/>
      <c r="AD20" s="161"/>
    </row>
    <row r="21" spans="2:30" ht="13.15" x14ac:dyDescent="0.4">
      <c r="L21" s="161" t="s">
        <v>216</v>
      </c>
      <c r="M21" s="161"/>
      <c r="N21" s="161"/>
    </row>
    <row r="58" spans="12:14" ht="13.15" x14ac:dyDescent="0.4">
      <c r="L58" s="31"/>
      <c r="M58" s="31"/>
      <c r="N58" s="31"/>
    </row>
  </sheetData>
  <pageMargins left="0.7" right="0.7" top="0.75" bottom="0.75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R26"/>
  <sheetViews>
    <sheetView zoomScaleNormal="100" workbookViewId="0">
      <selection sqref="A1:XFD1"/>
    </sheetView>
  </sheetViews>
  <sheetFormatPr defaultRowHeight="12.75" x14ac:dyDescent="0.35"/>
  <cols>
    <col min="1" max="1" width="2" bestFit="1" customWidth="1"/>
    <col min="2" max="2" width="13.265625" bestFit="1" customWidth="1"/>
    <col min="3" max="3" width="11.265625" bestFit="1" customWidth="1"/>
    <col min="4" max="4" width="11.73046875" customWidth="1"/>
    <col min="5" max="5" width="14.3984375" customWidth="1"/>
    <col min="6" max="6" width="8.3984375" bestFit="1" customWidth="1"/>
    <col min="7" max="7" width="14" customWidth="1"/>
    <col min="8" max="8" width="2" bestFit="1" customWidth="1"/>
    <col min="9" max="9" width="13.73046875" customWidth="1"/>
    <col min="10" max="10" width="7.1328125" customWidth="1"/>
    <col min="11" max="11" width="11.3984375" bestFit="1" customWidth="1"/>
    <col min="12" max="12" width="35" bestFit="1" customWidth="1"/>
    <col min="13" max="13" width="6.1328125" bestFit="1" customWidth="1"/>
    <col min="14" max="14" width="11.59765625" customWidth="1"/>
    <col min="15" max="15" width="13" customWidth="1"/>
    <col min="16" max="16" width="15.1328125" customWidth="1"/>
    <col min="17" max="17" width="7.59765625" bestFit="1" customWidth="1"/>
  </cols>
  <sheetData>
    <row r="1" spans="2:17" ht="28.5" x14ac:dyDescent="0.45">
      <c r="B1" s="29" t="s">
        <v>94</v>
      </c>
      <c r="C1" s="29" t="s">
        <v>95</v>
      </c>
      <c r="D1" s="29" t="s">
        <v>96</v>
      </c>
      <c r="E1" s="29" t="s">
        <v>98</v>
      </c>
      <c r="F1" s="29" t="s">
        <v>99</v>
      </c>
    </row>
    <row r="2" spans="2:17" ht="15.75" x14ac:dyDescent="0.5">
      <c r="B2" s="12"/>
      <c r="C2" s="12" t="str">
        <f>EnergyBalance!D2</f>
        <v>COA</v>
      </c>
      <c r="D2" s="12" t="str">
        <f>EnergyBalance!D3</f>
        <v>Solid Fuels</v>
      </c>
      <c r="E2" s="12" t="str">
        <f>EnergyBalance!W2</f>
        <v>PJ</v>
      </c>
      <c r="F2" s="12" t="str">
        <f>EnergyBalance!V2</f>
        <v>M€2005</v>
      </c>
      <c r="I2" s="195" t="s">
        <v>14</v>
      </c>
      <c r="J2" s="195"/>
      <c r="K2" s="196"/>
      <c r="L2" s="196"/>
      <c r="M2" s="196"/>
      <c r="N2" s="196"/>
      <c r="O2" s="196"/>
      <c r="P2" s="196"/>
      <c r="Q2" s="196"/>
    </row>
    <row r="3" spans="2:17" ht="13.15" x14ac:dyDescent="0.4">
      <c r="I3" s="197" t="s">
        <v>7</v>
      </c>
      <c r="J3" s="198" t="s">
        <v>30</v>
      </c>
      <c r="K3" s="197" t="s">
        <v>0</v>
      </c>
      <c r="L3" s="197" t="s">
        <v>3</v>
      </c>
      <c r="M3" s="197" t="s">
        <v>4</v>
      </c>
      <c r="N3" s="197" t="s">
        <v>8</v>
      </c>
      <c r="O3" s="197" t="s">
        <v>9</v>
      </c>
      <c r="P3" s="197" t="s">
        <v>10</v>
      </c>
      <c r="Q3" s="197" t="s">
        <v>12</v>
      </c>
    </row>
    <row r="4" spans="2:17" ht="21" thickBot="1" x14ac:dyDescent="0.4">
      <c r="C4" s="1"/>
      <c r="I4" s="199" t="s">
        <v>40</v>
      </c>
      <c r="J4" s="199" t="s">
        <v>31</v>
      </c>
      <c r="K4" s="199" t="s">
        <v>26</v>
      </c>
      <c r="L4" s="199" t="s">
        <v>27</v>
      </c>
      <c r="M4" s="199" t="s">
        <v>4</v>
      </c>
      <c r="N4" s="199" t="s">
        <v>43</v>
      </c>
      <c r="O4" s="199" t="s">
        <v>44</v>
      </c>
      <c r="P4" s="199" t="s">
        <v>28</v>
      </c>
      <c r="Q4" s="199" t="s">
        <v>29</v>
      </c>
    </row>
    <row r="5" spans="2:17" x14ac:dyDescent="0.35">
      <c r="I5" s="196" t="s">
        <v>93</v>
      </c>
      <c r="J5" s="200"/>
      <c r="K5" s="196" t="str">
        <f>C2</f>
        <v>COA</v>
      </c>
      <c r="L5" s="196" t="str">
        <f>D2</f>
        <v>Solid Fuels</v>
      </c>
      <c r="M5" s="196" t="str">
        <f>$E$2</f>
        <v>PJ</v>
      </c>
      <c r="N5" s="196"/>
      <c r="O5" s="196"/>
      <c r="P5" s="196"/>
      <c r="Q5" s="196"/>
    </row>
    <row r="7" spans="2:17" ht="13.15" x14ac:dyDescent="0.4">
      <c r="C7" s="5" t="s">
        <v>13</v>
      </c>
      <c r="F7" s="5"/>
      <c r="I7" s="195" t="s">
        <v>15</v>
      </c>
      <c r="J7" s="195"/>
      <c r="K7" s="200"/>
      <c r="L7" s="200"/>
      <c r="M7" s="200"/>
      <c r="N7" s="200"/>
      <c r="O7" s="200"/>
      <c r="P7" s="200"/>
      <c r="Q7" s="200"/>
    </row>
    <row r="8" spans="2:17" ht="13.15" x14ac:dyDescent="0.4">
      <c r="B8" s="18" t="s">
        <v>234</v>
      </c>
      <c r="C8" s="18" t="s">
        <v>235</v>
      </c>
      <c r="D8" s="18" t="s">
        <v>5</v>
      </c>
      <c r="E8" s="166" t="s">
        <v>6</v>
      </c>
      <c r="F8" s="208">
        <v>0</v>
      </c>
      <c r="G8" s="208">
        <v>2005</v>
      </c>
      <c r="I8" s="197" t="s">
        <v>11</v>
      </c>
      <c r="J8" s="198" t="s">
        <v>30</v>
      </c>
      <c r="K8" s="197" t="s">
        <v>1</v>
      </c>
      <c r="L8" s="197" t="s">
        <v>2</v>
      </c>
      <c r="M8" s="197" t="s">
        <v>16</v>
      </c>
      <c r="N8" s="197" t="s">
        <v>17</v>
      </c>
      <c r="O8" s="197" t="s">
        <v>18</v>
      </c>
      <c r="P8" s="197" t="s">
        <v>19</v>
      </c>
      <c r="Q8" s="197" t="s">
        <v>20</v>
      </c>
    </row>
    <row r="9" spans="2:17" ht="21" thickBot="1" x14ac:dyDescent="0.4">
      <c r="B9" s="16" t="s">
        <v>42</v>
      </c>
      <c r="C9" s="16"/>
      <c r="D9" s="16" t="s">
        <v>32</v>
      </c>
      <c r="E9" s="16" t="s">
        <v>33</v>
      </c>
      <c r="F9" s="16"/>
      <c r="G9" s="16"/>
      <c r="I9" s="199" t="s">
        <v>41</v>
      </c>
      <c r="J9" s="199" t="s">
        <v>31</v>
      </c>
      <c r="K9" s="199" t="s">
        <v>21</v>
      </c>
      <c r="L9" s="199" t="s">
        <v>22</v>
      </c>
      <c r="M9" s="199" t="s">
        <v>23</v>
      </c>
      <c r="N9" s="199" t="s">
        <v>24</v>
      </c>
      <c r="O9" s="199" t="s">
        <v>46</v>
      </c>
      <c r="P9" s="199" t="s">
        <v>45</v>
      </c>
      <c r="Q9" s="199" t="s">
        <v>25</v>
      </c>
    </row>
    <row r="10" spans="2:17" ht="14.65" thickBot="1" x14ac:dyDescent="0.5">
      <c r="B10" s="209" t="s">
        <v>236</v>
      </c>
      <c r="C10" s="209" t="s">
        <v>101</v>
      </c>
      <c r="D10" s="209"/>
      <c r="E10" s="209"/>
      <c r="F10" s="209">
        <v>5</v>
      </c>
      <c r="G10" s="210">
        <f>'EB1'!$D$5*'EB1'!D37</f>
        <v>6073.7685000000001</v>
      </c>
      <c r="I10" s="199" t="s">
        <v>104</v>
      </c>
      <c r="J10" s="201"/>
      <c r="K10" s="201"/>
      <c r="L10" s="201"/>
      <c r="M10" s="201"/>
      <c r="N10" s="201"/>
      <c r="O10" s="201"/>
      <c r="P10" s="201"/>
      <c r="Q10" s="201"/>
    </row>
    <row r="11" spans="2:17" ht="14.25" x14ac:dyDescent="0.45">
      <c r="B11" s="209" t="s">
        <v>236</v>
      </c>
      <c r="C11" s="209" t="s">
        <v>237</v>
      </c>
      <c r="D11" s="209"/>
      <c r="E11" s="209"/>
      <c r="F11" s="209"/>
      <c r="G11" s="209">
        <v>80000</v>
      </c>
      <c r="I11" s="196" t="str">
        <f>EnergyBalance!$B$5</f>
        <v>MIN</v>
      </c>
      <c r="J11" s="200"/>
      <c r="K11" s="200" t="str">
        <f>$I$11&amp;$C$2&amp;1</f>
        <v>MINCOA1</v>
      </c>
      <c r="L11" s="202" t="str">
        <f>"Domestic Supply of "&amp;$D$2&amp; " Step "&amp;RIGHT(K11,1)</f>
        <v>Domestic Supply of Solid Fuels Step 1</v>
      </c>
      <c r="M11" s="200" t="str">
        <f>$E$2</f>
        <v>PJ</v>
      </c>
      <c r="N11" s="200"/>
      <c r="O11" s="200"/>
      <c r="P11" s="200"/>
      <c r="Q11" s="200"/>
    </row>
    <row r="12" spans="2:17" ht="14.25" x14ac:dyDescent="0.45">
      <c r="B12" s="209" t="s">
        <v>236</v>
      </c>
      <c r="C12" s="209" t="s">
        <v>38</v>
      </c>
      <c r="D12" s="209"/>
      <c r="E12" s="209" t="s">
        <v>47</v>
      </c>
      <c r="F12" s="209"/>
      <c r="G12" s="209">
        <v>2</v>
      </c>
      <c r="I12" s="200"/>
      <c r="J12" s="200"/>
      <c r="K12" s="200" t="str">
        <f>$I$11&amp;$C$2&amp;2</f>
        <v>MINCOA2</v>
      </c>
      <c r="L12" s="202" t="str">
        <f>"Domestic Supply of "&amp;$D$2&amp; " Step "&amp;RIGHT(K12,1)</f>
        <v>Domestic Supply of Solid Fuels Step 2</v>
      </c>
      <c r="M12" s="200" t="str">
        <f>$E$2</f>
        <v>PJ</v>
      </c>
      <c r="N12" s="200"/>
      <c r="O12" s="200"/>
      <c r="P12" s="200"/>
      <c r="Q12" s="200"/>
    </row>
    <row r="13" spans="2:17" ht="14.25" x14ac:dyDescent="0.45">
      <c r="B13" s="209" t="s">
        <v>238</v>
      </c>
      <c r="C13" s="209" t="s">
        <v>101</v>
      </c>
      <c r="D13" s="209"/>
      <c r="E13" s="209"/>
      <c r="F13" s="209">
        <v>5</v>
      </c>
      <c r="G13" s="211">
        <f>'EB1'!$D$5*'EB1'!D38</f>
        <v>2024.5895</v>
      </c>
      <c r="I13" s="200"/>
      <c r="J13" s="200"/>
      <c r="K13" s="200" t="str">
        <f>$I$11&amp;$C$2&amp;3</f>
        <v>MINCOA3</v>
      </c>
      <c r="L13" s="202" t="str">
        <f>"Domestic Supply of "&amp;$D$2&amp; " Step "&amp;RIGHT(K13,1)</f>
        <v>Domestic Supply of Solid Fuels Step 3</v>
      </c>
      <c r="M13" s="200" t="str">
        <f>$E$2</f>
        <v>PJ</v>
      </c>
      <c r="N13" s="200"/>
      <c r="O13" s="200"/>
      <c r="P13" s="200"/>
      <c r="Q13" s="200"/>
    </row>
    <row r="14" spans="2:17" ht="14.25" x14ac:dyDescent="0.45">
      <c r="B14" s="209" t="s">
        <v>238</v>
      </c>
      <c r="C14" s="209" t="s">
        <v>237</v>
      </c>
      <c r="D14" s="209"/>
      <c r="E14" s="209"/>
      <c r="F14" s="209"/>
      <c r="G14" s="209">
        <v>160000</v>
      </c>
      <c r="I14" s="200" t="str">
        <f>EnergyBalance!$B$6</f>
        <v>IMP</v>
      </c>
      <c r="J14" s="200"/>
      <c r="K14" s="200" t="str">
        <f>$I$14&amp;$C$2&amp;1</f>
        <v>IMPCOA1</v>
      </c>
      <c r="L14" s="202" t="str">
        <f>"Import of "&amp;$D$2&amp; " Step "&amp;RIGHT(K14,1)</f>
        <v>Import of Solid Fuels Step 1</v>
      </c>
      <c r="M14" s="200" t="str">
        <f>$E$2</f>
        <v>PJ</v>
      </c>
      <c r="N14" s="200"/>
      <c r="O14" s="200"/>
      <c r="P14" s="200"/>
      <c r="Q14" s="200"/>
    </row>
    <row r="15" spans="2:17" ht="14.25" x14ac:dyDescent="0.45">
      <c r="B15" s="209" t="s">
        <v>238</v>
      </c>
      <c r="C15" s="209" t="s">
        <v>38</v>
      </c>
      <c r="D15" s="209"/>
      <c r="E15" s="209" t="s">
        <v>47</v>
      </c>
      <c r="F15" s="209"/>
      <c r="G15" s="209">
        <v>2.5</v>
      </c>
      <c r="I15" s="200" t="str">
        <f>EnergyBalance!B7</f>
        <v>EXP</v>
      </c>
      <c r="J15" s="200"/>
      <c r="K15" s="200" t="str">
        <f>$I$15&amp;$C$2&amp;1</f>
        <v>EXPCOA1</v>
      </c>
      <c r="L15" s="202" t="str">
        <f>"Export of "&amp;$D$2&amp; " Step "&amp;RIGHT(K15,1)</f>
        <v>Export of Solid Fuels Step 1</v>
      </c>
      <c r="M15" s="200" t="str">
        <f>$E$2</f>
        <v>PJ</v>
      </c>
      <c r="N15" s="200"/>
      <c r="O15" s="200"/>
      <c r="P15" s="200"/>
      <c r="Q15" s="200"/>
    </row>
    <row r="16" spans="2:17" ht="14.25" x14ac:dyDescent="0.45">
      <c r="B16" s="209" t="s">
        <v>239</v>
      </c>
      <c r="C16" s="209" t="s">
        <v>237</v>
      </c>
      <c r="D16" s="209"/>
      <c r="E16" s="209"/>
      <c r="F16" s="209"/>
      <c r="G16" s="209">
        <v>320000</v>
      </c>
    </row>
    <row r="17" spans="2:18" ht="14.25" x14ac:dyDescent="0.45">
      <c r="B17" s="209" t="s">
        <v>239</v>
      </c>
      <c r="C17" s="209" t="s">
        <v>38</v>
      </c>
      <c r="D17" s="209"/>
      <c r="E17" s="209" t="s">
        <v>47</v>
      </c>
      <c r="F17" s="209"/>
      <c r="G17" s="209">
        <v>3</v>
      </c>
    </row>
    <row r="18" spans="2:18" ht="14.25" x14ac:dyDescent="0.45">
      <c r="B18" s="209" t="s">
        <v>240</v>
      </c>
      <c r="C18" s="209"/>
      <c r="D18" s="209"/>
      <c r="E18" s="209"/>
      <c r="F18" s="209"/>
      <c r="G18" s="209"/>
    </row>
    <row r="19" spans="2:18" ht="14.25" x14ac:dyDescent="0.45">
      <c r="B19" s="209" t="s">
        <v>241</v>
      </c>
      <c r="C19" s="209" t="s">
        <v>38</v>
      </c>
      <c r="D19" s="209"/>
      <c r="E19" s="209" t="s">
        <v>47</v>
      </c>
      <c r="F19" s="209"/>
      <c r="G19" s="209">
        <v>2.75</v>
      </c>
    </row>
    <row r="20" spans="2:18" ht="14.25" x14ac:dyDescent="0.45">
      <c r="B20" s="209" t="s">
        <v>240</v>
      </c>
      <c r="C20" s="209"/>
      <c r="D20" s="209"/>
      <c r="E20" s="209"/>
      <c r="F20" s="209"/>
      <c r="G20" s="209"/>
    </row>
    <row r="21" spans="2:18" ht="14.25" x14ac:dyDescent="0.45">
      <c r="B21" s="209" t="s">
        <v>242</v>
      </c>
      <c r="C21" s="209" t="s">
        <v>101</v>
      </c>
      <c r="D21" s="209"/>
      <c r="E21" s="209"/>
      <c r="F21" s="209">
        <v>5</v>
      </c>
      <c r="G21" s="212">
        <f>-'EB1'!D7</f>
        <v>1147.069</v>
      </c>
    </row>
    <row r="22" spans="2:18" s="1" customFormat="1" ht="14.25" x14ac:dyDescent="0.45">
      <c r="B22" s="209" t="s">
        <v>242</v>
      </c>
      <c r="C22" s="209" t="s">
        <v>38</v>
      </c>
      <c r="D22" s="209" t="s">
        <v>47</v>
      </c>
      <c r="E22" s="209"/>
      <c r="F22" s="209"/>
      <c r="G22" s="209">
        <v>2.75</v>
      </c>
      <c r="H22"/>
      <c r="I22"/>
      <c r="J22"/>
      <c r="K22"/>
      <c r="L22"/>
      <c r="M22"/>
      <c r="N22"/>
      <c r="O22"/>
      <c r="P22"/>
      <c r="Q22"/>
      <c r="R22"/>
    </row>
    <row r="23" spans="2:18" x14ac:dyDescent="0.35">
      <c r="R23" s="1"/>
    </row>
    <row r="25" spans="2:18" x14ac:dyDescent="0.35">
      <c r="B25" s="150"/>
      <c r="C25" s="1" t="s">
        <v>210</v>
      </c>
    </row>
    <row r="26" spans="2:18" x14ac:dyDescent="0.35">
      <c r="B26" s="146"/>
      <c r="C26" s="1" t="s">
        <v>211</v>
      </c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R28"/>
  <sheetViews>
    <sheetView zoomScaleNormal="100" workbookViewId="0">
      <selection activeCell="G10" sqref="G10"/>
    </sheetView>
  </sheetViews>
  <sheetFormatPr defaultRowHeight="12.75" x14ac:dyDescent="0.35"/>
  <cols>
    <col min="1" max="1" width="2" bestFit="1" customWidth="1"/>
    <col min="2" max="2" width="13.265625" bestFit="1" customWidth="1"/>
    <col min="3" max="3" width="11.265625" bestFit="1" customWidth="1"/>
    <col min="4" max="4" width="11.73046875" customWidth="1"/>
    <col min="5" max="5" width="14.59765625" bestFit="1" customWidth="1"/>
    <col min="6" max="6" width="8.73046875" customWidth="1"/>
    <col min="7" max="7" width="14.265625" customWidth="1"/>
    <col min="8" max="8" width="2" bestFit="1" customWidth="1"/>
    <col min="9" max="9" width="13.73046875" customWidth="1"/>
    <col min="10" max="10" width="7.1328125" customWidth="1"/>
    <col min="11" max="11" width="11.3984375" bestFit="1" customWidth="1"/>
    <col min="12" max="12" width="35" bestFit="1" customWidth="1"/>
    <col min="13" max="13" width="6.73046875" customWidth="1"/>
    <col min="14" max="14" width="11.59765625" customWidth="1"/>
    <col min="15" max="15" width="13" customWidth="1"/>
    <col min="16" max="16" width="15.1328125" customWidth="1"/>
    <col min="17" max="17" width="7.59765625" bestFit="1" customWidth="1"/>
  </cols>
  <sheetData>
    <row r="1" spans="2:17" ht="28.5" x14ac:dyDescent="0.45">
      <c r="B1" s="29" t="s">
        <v>94</v>
      </c>
      <c r="C1" s="29" t="s">
        <v>95</v>
      </c>
      <c r="D1" s="29" t="s">
        <v>96</v>
      </c>
      <c r="E1" s="29" t="s">
        <v>98</v>
      </c>
      <c r="F1" s="29" t="s">
        <v>99</v>
      </c>
    </row>
    <row r="2" spans="2:17" ht="15.75" x14ac:dyDescent="0.5">
      <c r="B2" s="12"/>
      <c r="C2" s="12" t="str">
        <f>EnergyBalance!E2</f>
        <v>GAS</v>
      </c>
      <c r="D2" s="12" t="str">
        <f>EnergyBalance!E3</f>
        <v>Natural Gas</v>
      </c>
      <c r="E2" s="12" t="str">
        <f>EnergyBalance!W2</f>
        <v>PJ</v>
      </c>
      <c r="F2" s="12" t="str">
        <f>EnergyBalance!V2</f>
        <v>M€2005</v>
      </c>
      <c r="I2" s="195" t="s">
        <v>14</v>
      </c>
      <c r="J2" s="195"/>
      <c r="K2" s="196"/>
      <c r="L2" s="196"/>
      <c r="M2" s="196"/>
      <c r="N2" s="196"/>
      <c r="O2" s="196"/>
      <c r="P2" s="196"/>
      <c r="Q2" s="196"/>
    </row>
    <row r="3" spans="2:17" ht="13.15" x14ac:dyDescent="0.4">
      <c r="I3" s="197" t="s">
        <v>7</v>
      </c>
      <c r="J3" s="198" t="s">
        <v>30</v>
      </c>
      <c r="K3" s="197" t="s">
        <v>0</v>
      </c>
      <c r="L3" s="197" t="s">
        <v>3</v>
      </c>
      <c r="M3" s="197" t="s">
        <v>4</v>
      </c>
      <c r="N3" s="197" t="s">
        <v>8</v>
      </c>
      <c r="O3" s="197" t="s">
        <v>9</v>
      </c>
      <c r="P3" s="197" t="s">
        <v>10</v>
      </c>
      <c r="Q3" s="197" t="s">
        <v>12</v>
      </c>
    </row>
    <row r="4" spans="2:17" ht="21" thickBot="1" x14ac:dyDescent="0.4">
      <c r="C4" s="1"/>
      <c r="I4" s="199" t="s">
        <v>40</v>
      </c>
      <c r="J4" s="199" t="s">
        <v>31</v>
      </c>
      <c r="K4" s="199" t="s">
        <v>26</v>
      </c>
      <c r="L4" s="199" t="s">
        <v>27</v>
      </c>
      <c r="M4" s="199" t="s">
        <v>4</v>
      </c>
      <c r="N4" s="199" t="s">
        <v>43</v>
      </c>
      <c r="O4" s="199" t="s">
        <v>44</v>
      </c>
      <c r="P4" s="199" t="s">
        <v>28</v>
      </c>
      <c r="Q4" s="199" t="s">
        <v>29</v>
      </c>
    </row>
    <row r="5" spans="2:17" x14ac:dyDescent="0.35">
      <c r="I5" s="196" t="s">
        <v>93</v>
      </c>
      <c r="J5" s="200"/>
      <c r="K5" s="196" t="str">
        <f>C2</f>
        <v>GAS</v>
      </c>
      <c r="L5" s="196" t="str">
        <f>D2</f>
        <v>Natural Gas</v>
      </c>
      <c r="M5" s="196" t="str">
        <f>$E$2</f>
        <v>PJ</v>
      </c>
      <c r="N5" s="196"/>
      <c r="O5" s="196"/>
      <c r="P5" s="196"/>
      <c r="Q5" s="196"/>
    </row>
    <row r="7" spans="2:17" ht="13.15" x14ac:dyDescent="0.4">
      <c r="C7" s="5" t="s">
        <v>13</v>
      </c>
      <c r="F7" s="5"/>
      <c r="I7" s="195" t="s">
        <v>15</v>
      </c>
      <c r="J7" s="195"/>
      <c r="K7" s="200"/>
      <c r="L7" s="200"/>
      <c r="M7" s="200"/>
      <c r="N7" s="200"/>
      <c r="O7" s="200"/>
      <c r="P7" s="200"/>
      <c r="Q7" s="200"/>
    </row>
    <row r="8" spans="2:17" ht="13.15" x14ac:dyDescent="0.4">
      <c r="B8" s="18" t="s">
        <v>234</v>
      </c>
      <c r="C8" s="18" t="s">
        <v>235</v>
      </c>
      <c r="D8" s="18" t="s">
        <v>5</v>
      </c>
      <c r="E8" s="166" t="s">
        <v>6</v>
      </c>
      <c r="F8" s="208">
        <v>0</v>
      </c>
      <c r="G8" s="208">
        <v>2005</v>
      </c>
      <c r="I8" s="197" t="s">
        <v>11</v>
      </c>
      <c r="J8" s="198" t="s">
        <v>30</v>
      </c>
      <c r="K8" s="197" t="s">
        <v>1</v>
      </c>
      <c r="L8" s="197" t="s">
        <v>2</v>
      </c>
      <c r="M8" s="197" t="s">
        <v>16</v>
      </c>
      <c r="N8" s="197" t="s">
        <v>17</v>
      </c>
      <c r="O8" s="197" t="s">
        <v>18</v>
      </c>
      <c r="P8" s="197" t="s">
        <v>19</v>
      </c>
      <c r="Q8" s="197" t="s">
        <v>20</v>
      </c>
    </row>
    <row r="9" spans="2:17" ht="21" thickBot="1" x14ac:dyDescent="0.4">
      <c r="B9" s="16" t="s">
        <v>42</v>
      </c>
      <c r="C9" s="16"/>
      <c r="D9" s="16" t="s">
        <v>32</v>
      </c>
      <c r="E9" s="16" t="s">
        <v>33</v>
      </c>
      <c r="F9" s="16"/>
      <c r="G9" s="16"/>
      <c r="I9" s="199" t="s">
        <v>41</v>
      </c>
      <c r="J9" s="199" t="s">
        <v>31</v>
      </c>
      <c r="K9" s="199" t="s">
        <v>21</v>
      </c>
      <c r="L9" s="199" t="s">
        <v>22</v>
      </c>
      <c r="M9" s="199" t="s">
        <v>23</v>
      </c>
      <c r="N9" s="199" t="s">
        <v>24</v>
      </c>
      <c r="O9" s="199" t="s">
        <v>46</v>
      </c>
      <c r="P9" s="199" t="s">
        <v>45</v>
      </c>
      <c r="Q9" s="199" t="s">
        <v>25</v>
      </c>
    </row>
    <row r="10" spans="2:17" ht="14.65" thickBot="1" x14ac:dyDescent="0.5">
      <c r="B10" s="209" t="s">
        <v>243</v>
      </c>
      <c r="C10" s="209" t="s">
        <v>101</v>
      </c>
      <c r="D10" s="209"/>
      <c r="E10" s="209"/>
      <c r="F10" s="209">
        <v>5</v>
      </c>
      <c r="G10" s="212">
        <f>'EB1'!$E$5*'EB1'!E37</f>
        <v>0</v>
      </c>
      <c r="I10" s="199" t="s">
        <v>104</v>
      </c>
      <c r="J10" s="201"/>
      <c r="K10" s="201"/>
      <c r="L10" s="201"/>
      <c r="M10" s="201"/>
      <c r="N10" s="201"/>
      <c r="O10" s="201"/>
      <c r="P10" s="201"/>
      <c r="Q10" s="201"/>
    </row>
    <row r="11" spans="2:17" ht="14.25" x14ac:dyDescent="0.45">
      <c r="B11" s="209" t="s">
        <v>243</v>
      </c>
      <c r="C11" s="209" t="s">
        <v>237</v>
      </c>
      <c r="D11" s="209"/>
      <c r="E11" s="209"/>
      <c r="F11" s="209"/>
      <c r="G11" s="213">
        <v>0</v>
      </c>
      <c r="I11" s="196" t="str">
        <f>EnergyBalance!$B$5</f>
        <v>MIN</v>
      </c>
      <c r="J11" s="200"/>
      <c r="K11" s="200" t="str">
        <f>$I$11&amp;$C$2&amp;1</f>
        <v>MINGAS1</v>
      </c>
      <c r="L11" s="202" t="str">
        <f>"Domestic Supply of "&amp;$D$2&amp; " Step "&amp;RIGHT(K11,1)</f>
        <v>Domestic Supply of Natural Gas Step 1</v>
      </c>
      <c r="M11" s="200" t="str">
        <f>$E$2</f>
        <v>PJ</v>
      </c>
      <c r="N11" s="200"/>
      <c r="O11" s="200"/>
      <c r="P11" s="200"/>
      <c r="Q11" s="200"/>
    </row>
    <row r="12" spans="2:17" ht="14.25" x14ac:dyDescent="0.45">
      <c r="B12" s="209" t="s">
        <v>243</v>
      </c>
      <c r="C12" s="209" t="s">
        <v>38</v>
      </c>
      <c r="D12" s="209"/>
      <c r="E12" s="209" t="s">
        <v>48</v>
      </c>
      <c r="F12" s="209"/>
      <c r="G12" s="213">
        <v>3.6</v>
      </c>
      <c r="I12" s="200"/>
      <c r="J12" s="200"/>
      <c r="K12" s="200" t="str">
        <f>$I$11&amp;$C$2&amp;2</f>
        <v>MINGAS2</v>
      </c>
      <c r="L12" s="202" t="str">
        <f>"Domestic Supply of "&amp;$D$2&amp; " Step "&amp;RIGHT(K12,1)</f>
        <v>Domestic Supply of Natural Gas Step 2</v>
      </c>
      <c r="M12" s="200" t="str">
        <f>$E$2</f>
        <v>PJ</v>
      </c>
      <c r="N12" s="200"/>
      <c r="O12" s="200"/>
      <c r="P12" s="200"/>
      <c r="Q12" s="200"/>
    </row>
    <row r="13" spans="2:17" ht="14.25" x14ac:dyDescent="0.45">
      <c r="B13" s="209" t="s">
        <v>244</v>
      </c>
      <c r="C13" s="209" t="s">
        <v>101</v>
      </c>
      <c r="D13" s="209"/>
      <c r="E13" s="209"/>
      <c r="F13" s="209">
        <v>5</v>
      </c>
      <c r="G13" s="212">
        <f>'EB1'!$E$5*'EB1'!E38</f>
        <v>0</v>
      </c>
      <c r="I13" s="200"/>
      <c r="J13" s="200"/>
      <c r="K13" s="200" t="str">
        <f>$I$11&amp;$C$2&amp;3</f>
        <v>MINGAS3</v>
      </c>
      <c r="L13" s="202" t="str">
        <f>"Domestic Supply of "&amp;$D$2&amp; " Step "&amp;RIGHT(K13,1)</f>
        <v>Domestic Supply of Natural Gas Step 3</v>
      </c>
      <c r="M13" s="200" t="str">
        <f>$E$2</f>
        <v>PJ</v>
      </c>
      <c r="N13" s="200"/>
      <c r="O13" s="200"/>
      <c r="P13" s="200"/>
      <c r="Q13" s="200"/>
    </row>
    <row r="14" spans="2:17" ht="14.25" x14ac:dyDescent="0.45">
      <c r="B14" s="209" t="s">
        <v>244</v>
      </c>
      <c r="C14" s="209" t="s">
        <v>237</v>
      </c>
      <c r="D14" s="209"/>
      <c r="E14" s="209"/>
      <c r="F14" s="209"/>
      <c r="G14" s="213">
        <v>0</v>
      </c>
      <c r="I14" s="200" t="str">
        <f>EnergyBalance!$B$6</f>
        <v>IMP</v>
      </c>
      <c r="J14" s="200"/>
      <c r="K14" s="200" t="str">
        <f>$I$14&amp;$C$2&amp;1</f>
        <v>IMPGAS1</v>
      </c>
      <c r="L14" s="202" t="str">
        <f>"Import of "&amp;$D$2&amp; " Step "&amp;RIGHT(K14,1)</f>
        <v>Import of Natural Gas Step 1</v>
      </c>
      <c r="M14" s="200" t="str">
        <f>$E$2</f>
        <v>PJ</v>
      </c>
      <c r="N14" s="200"/>
      <c r="O14" s="200"/>
      <c r="P14" s="200"/>
      <c r="Q14" s="200"/>
    </row>
    <row r="15" spans="2:17" ht="14.25" x14ac:dyDescent="0.45">
      <c r="B15" s="209" t="s">
        <v>244</v>
      </c>
      <c r="C15" s="209" t="s">
        <v>38</v>
      </c>
      <c r="D15" s="209"/>
      <c r="E15" s="209" t="s">
        <v>48</v>
      </c>
      <c r="F15" s="209"/>
      <c r="G15" s="213">
        <v>4.1399999999999997</v>
      </c>
      <c r="I15" s="200" t="str">
        <f>EnergyBalance!B7</f>
        <v>EXP</v>
      </c>
      <c r="J15" s="200"/>
      <c r="K15" s="200" t="str">
        <f>$I$15&amp;$C$2&amp;1</f>
        <v>EXPGAS1</v>
      </c>
      <c r="L15" s="202" t="str">
        <f>"Export of "&amp;$D$2&amp; " Step "&amp;RIGHT(K15,1)</f>
        <v>Export of Natural Gas Step 1</v>
      </c>
      <c r="M15" s="200" t="str">
        <f>$E$2</f>
        <v>PJ</v>
      </c>
      <c r="N15" s="200"/>
      <c r="O15" s="200"/>
      <c r="P15" s="200"/>
      <c r="Q15" s="200"/>
    </row>
    <row r="16" spans="2:17" x14ac:dyDescent="0.35">
      <c r="B16" s="214" t="s">
        <v>245</v>
      </c>
      <c r="C16" s="214" t="s">
        <v>101</v>
      </c>
      <c r="D16" s="214"/>
      <c r="E16" s="214"/>
      <c r="F16" s="215">
        <v>5</v>
      </c>
      <c r="G16" s="216">
        <v>0</v>
      </c>
    </row>
    <row r="17" spans="2:18" x14ac:dyDescent="0.35">
      <c r="B17" s="214" t="s">
        <v>245</v>
      </c>
      <c r="C17" s="214" t="s">
        <v>237</v>
      </c>
      <c r="D17" s="214"/>
      <c r="E17" s="214"/>
      <c r="F17" s="215"/>
      <c r="G17" s="216">
        <v>0</v>
      </c>
    </row>
    <row r="18" spans="2:18" ht="14.25" x14ac:dyDescent="0.45">
      <c r="B18" s="209" t="s">
        <v>245</v>
      </c>
      <c r="C18" s="209" t="s">
        <v>38</v>
      </c>
      <c r="D18" s="209"/>
      <c r="E18" s="209" t="s">
        <v>48</v>
      </c>
      <c r="F18" s="209"/>
      <c r="G18" s="213">
        <v>5.4</v>
      </c>
    </row>
    <row r="19" spans="2:18" ht="14.25" x14ac:dyDescent="0.45">
      <c r="B19" s="209" t="s">
        <v>240</v>
      </c>
      <c r="C19" s="209"/>
      <c r="D19" s="209"/>
      <c r="E19" s="209"/>
      <c r="F19" s="209"/>
      <c r="G19" s="209"/>
    </row>
    <row r="20" spans="2:18" ht="14.25" x14ac:dyDescent="0.45">
      <c r="B20" s="209" t="s">
        <v>246</v>
      </c>
      <c r="C20" s="214" t="s">
        <v>101</v>
      </c>
      <c r="D20" s="209"/>
      <c r="E20" s="209"/>
      <c r="F20" s="209"/>
      <c r="G20" s="212">
        <f>'EB1'!E6</f>
        <v>0</v>
      </c>
    </row>
    <row r="21" spans="2:18" ht="14.25" x14ac:dyDescent="0.45">
      <c r="B21" s="209" t="s">
        <v>246</v>
      </c>
      <c r="C21" s="209" t="s">
        <v>38</v>
      </c>
      <c r="D21" s="209"/>
      <c r="E21" s="209" t="s">
        <v>48</v>
      </c>
      <c r="F21" s="209"/>
      <c r="G21" s="213">
        <v>4.5</v>
      </c>
    </row>
    <row r="22" spans="2:18" ht="14.25" x14ac:dyDescent="0.45">
      <c r="B22" s="209" t="s">
        <v>240</v>
      </c>
      <c r="C22" s="209"/>
      <c r="D22" s="209"/>
      <c r="E22" s="209"/>
      <c r="F22" s="209"/>
      <c r="G22" s="209"/>
    </row>
    <row r="23" spans="2:18" s="1" customFormat="1" ht="14.25" x14ac:dyDescent="0.45">
      <c r="B23" s="209" t="s">
        <v>247</v>
      </c>
      <c r="C23" s="209" t="s">
        <v>101</v>
      </c>
      <c r="D23" s="209"/>
      <c r="E23" s="209"/>
      <c r="F23" s="209">
        <v>5</v>
      </c>
      <c r="G23" s="212">
        <f>'EB1'!E7</f>
        <v>0</v>
      </c>
      <c r="H23"/>
      <c r="I23"/>
      <c r="J23"/>
      <c r="K23"/>
      <c r="L23"/>
      <c r="M23"/>
      <c r="N23"/>
      <c r="O23"/>
      <c r="P23"/>
      <c r="Q23"/>
      <c r="R23"/>
    </row>
    <row r="24" spans="2:18" ht="14.25" x14ac:dyDescent="0.45">
      <c r="B24" s="209" t="s">
        <v>247</v>
      </c>
      <c r="C24" s="209" t="s">
        <v>38</v>
      </c>
      <c r="D24" s="209" t="s">
        <v>48</v>
      </c>
      <c r="E24" s="209"/>
      <c r="F24" s="209"/>
      <c r="G24" s="213">
        <v>4.5</v>
      </c>
      <c r="H24" s="1"/>
      <c r="R24" s="1"/>
    </row>
    <row r="27" spans="2:18" x14ac:dyDescent="0.35">
      <c r="B27" s="150"/>
      <c r="C27" s="1" t="s">
        <v>210</v>
      </c>
    </row>
    <row r="28" spans="2:18" x14ac:dyDescent="0.35">
      <c r="B28" s="146"/>
      <c r="C28" s="1" t="s">
        <v>211</v>
      </c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W26"/>
  <sheetViews>
    <sheetView zoomScaleNormal="100" workbookViewId="0"/>
  </sheetViews>
  <sheetFormatPr defaultRowHeight="12.75" x14ac:dyDescent="0.35"/>
  <cols>
    <col min="1" max="1" width="2" bestFit="1" customWidth="1"/>
    <col min="2" max="2" width="13.265625" bestFit="1" customWidth="1"/>
    <col min="3" max="3" width="11.265625" bestFit="1" customWidth="1"/>
    <col min="4" max="4" width="11.73046875" customWidth="1"/>
    <col min="5" max="5" width="14.59765625" bestFit="1" customWidth="1"/>
    <col min="6" max="6" width="8.1328125" customWidth="1"/>
    <col min="7" max="7" width="14.1328125" customWidth="1"/>
    <col min="8" max="8" width="2" bestFit="1" customWidth="1"/>
    <col min="9" max="9" width="13.73046875" customWidth="1"/>
    <col min="10" max="10" width="7.1328125" customWidth="1"/>
    <col min="11" max="11" width="11.3984375" bestFit="1" customWidth="1"/>
    <col min="12" max="12" width="35" bestFit="1" customWidth="1"/>
    <col min="13" max="13" width="6.59765625" customWidth="1"/>
    <col min="14" max="14" width="11.59765625" customWidth="1"/>
    <col min="15" max="15" width="13" customWidth="1"/>
    <col min="16" max="16" width="15.1328125" customWidth="1"/>
    <col min="17" max="17" width="7.59765625" bestFit="1" customWidth="1"/>
  </cols>
  <sheetData>
    <row r="1" spans="2:17" ht="28.5" x14ac:dyDescent="0.45">
      <c r="B1" s="29" t="s">
        <v>94</v>
      </c>
      <c r="C1" s="29" t="s">
        <v>95</v>
      </c>
      <c r="D1" s="29" t="s">
        <v>96</v>
      </c>
      <c r="E1" s="29" t="s">
        <v>98</v>
      </c>
      <c r="F1" s="29" t="s">
        <v>99</v>
      </c>
    </row>
    <row r="2" spans="2:17" ht="15.75" x14ac:dyDescent="0.5">
      <c r="B2" s="12"/>
      <c r="C2" s="12" t="str">
        <f>EnergyBalance!F2</f>
        <v>OIL</v>
      </c>
      <c r="D2" s="12" t="str">
        <f>EnergyBalance!F3</f>
        <v>Crude Oil</v>
      </c>
      <c r="E2" s="12" t="str">
        <f>EnergyBalance!W2</f>
        <v>PJ</v>
      </c>
      <c r="F2" s="12" t="str">
        <f>EnergyBalance!V2</f>
        <v>M€2005</v>
      </c>
      <c r="I2" s="195" t="s">
        <v>14</v>
      </c>
      <c r="J2" s="195"/>
      <c r="K2" s="196"/>
      <c r="L2" s="196"/>
      <c r="M2" s="196"/>
      <c r="N2" s="196"/>
      <c r="O2" s="196"/>
      <c r="P2" s="196"/>
      <c r="Q2" s="196"/>
    </row>
    <row r="3" spans="2:17" ht="13.15" x14ac:dyDescent="0.4">
      <c r="I3" s="197" t="s">
        <v>7</v>
      </c>
      <c r="J3" s="198" t="s">
        <v>30</v>
      </c>
      <c r="K3" s="197" t="s">
        <v>0</v>
      </c>
      <c r="L3" s="197" t="s">
        <v>3</v>
      </c>
      <c r="M3" s="197" t="s">
        <v>4</v>
      </c>
      <c r="N3" s="197" t="s">
        <v>8</v>
      </c>
      <c r="O3" s="197" t="s">
        <v>9</v>
      </c>
      <c r="P3" s="197" t="s">
        <v>10</v>
      </c>
      <c r="Q3" s="197" t="s">
        <v>12</v>
      </c>
    </row>
    <row r="4" spans="2:17" ht="21" thickBot="1" x14ac:dyDescent="0.4">
      <c r="C4" s="1"/>
      <c r="I4" s="199" t="s">
        <v>40</v>
      </c>
      <c r="J4" s="199" t="s">
        <v>31</v>
      </c>
      <c r="K4" s="199" t="s">
        <v>26</v>
      </c>
      <c r="L4" s="199" t="s">
        <v>27</v>
      </c>
      <c r="M4" s="199" t="s">
        <v>4</v>
      </c>
      <c r="N4" s="199" t="s">
        <v>43</v>
      </c>
      <c r="O4" s="199" t="s">
        <v>44</v>
      </c>
      <c r="P4" s="199" t="s">
        <v>28</v>
      </c>
      <c r="Q4" s="199" t="s">
        <v>29</v>
      </c>
    </row>
    <row r="5" spans="2:17" x14ac:dyDescent="0.35">
      <c r="I5" s="196" t="s">
        <v>93</v>
      </c>
      <c r="J5" s="200"/>
      <c r="K5" s="196" t="str">
        <f>C2</f>
        <v>OIL</v>
      </c>
      <c r="L5" s="196" t="str">
        <f>D2</f>
        <v>Crude Oil</v>
      </c>
      <c r="M5" s="196" t="str">
        <f>$E$2</f>
        <v>PJ</v>
      </c>
      <c r="N5" s="196"/>
      <c r="O5" s="196"/>
      <c r="P5" s="196"/>
      <c r="Q5" s="196"/>
    </row>
    <row r="7" spans="2:17" ht="13.15" x14ac:dyDescent="0.4">
      <c r="C7" s="217" t="s">
        <v>13</v>
      </c>
      <c r="F7" s="217"/>
      <c r="I7" s="195" t="s">
        <v>15</v>
      </c>
      <c r="J7" s="195"/>
      <c r="K7" s="200"/>
      <c r="L7" s="200"/>
      <c r="M7" s="200"/>
      <c r="N7" s="200"/>
      <c r="O7" s="200"/>
      <c r="P7" s="200"/>
      <c r="Q7" s="200"/>
    </row>
    <row r="8" spans="2:17" ht="13.15" x14ac:dyDescent="0.4">
      <c r="B8" s="218" t="s">
        <v>234</v>
      </c>
      <c r="C8" s="218" t="s">
        <v>235</v>
      </c>
      <c r="D8" s="218" t="s">
        <v>5</v>
      </c>
      <c r="E8" s="219" t="s">
        <v>6</v>
      </c>
      <c r="F8" s="208">
        <v>0</v>
      </c>
      <c r="G8" s="208">
        <v>2005</v>
      </c>
      <c r="I8" s="197" t="s">
        <v>11</v>
      </c>
      <c r="J8" s="198" t="s">
        <v>30</v>
      </c>
      <c r="K8" s="197" t="s">
        <v>1</v>
      </c>
      <c r="L8" s="197" t="s">
        <v>2</v>
      </c>
      <c r="M8" s="197" t="s">
        <v>16</v>
      </c>
      <c r="N8" s="197" t="s">
        <v>17</v>
      </c>
      <c r="O8" s="197" t="s">
        <v>18</v>
      </c>
      <c r="P8" s="197" t="s">
        <v>19</v>
      </c>
      <c r="Q8" s="197" t="s">
        <v>20</v>
      </c>
    </row>
    <row r="9" spans="2:17" ht="21" thickBot="1" x14ac:dyDescent="0.4">
      <c r="B9" s="16" t="s">
        <v>42</v>
      </c>
      <c r="C9" s="16"/>
      <c r="D9" s="16" t="s">
        <v>32</v>
      </c>
      <c r="E9" s="16" t="s">
        <v>33</v>
      </c>
      <c r="F9" s="16"/>
      <c r="G9" s="16"/>
      <c r="I9" s="199" t="s">
        <v>41</v>
      </c>
      <c r="J9" s="199" t="s">
        <v>31</v>
      </c>
      <c r="K9" s="199" t="s">
        <v>21</v>
      </c>
      <c r="L9" s="199" t="s">
        <v>22</v>
      </c>
      <c r="M9" s="199" t="s">
        <v>23</v>
      </c>
      <c r="N9" s="199" t="s">
        <v>24</v>
      </c>
      <c r="O9" s="199" t="s">
        <v>46</v>
      </c>
      <c r="P9" s="199" t="s">
        <v>45</v>
      </c>
      <c r="Q9" s="199" t="s">
        <v>25</v>
      </c>
    </row>
    <row r="10" spans="2:17" ht="14.65" thickBot="1" x14ac:dyDescent="0.5">
      <c r="B10" s="209" t="s">
        <v>252</v>
      </c>
      <c r="C10" s="209" t="s">
        <v>101</v>
      </c>
      <c r="D10" s="209"/>
      <c r="E10" s="209"/>
      <c r="F10" s="209">
        <v>5</v>
      </c>
      <c r="G10" s="210">
        <f>'EB1'!$F$5*'EB1'!F37</f>
        <v>1289.4009599999999</v>
      </c>
      <c r="I10" s="199" t="s">
        <v>104</v>
      </c>
      <c r="J10" s="201"/>
      <c r="K10" s="201"/>
      <c r="L10" s="201"/>
      <c r="M10" s="201"/>
      <c r="N10" s="201"/>
      <c r="O10" s="201"/>
      <c r="P10" s="201"/>
      <c r="Q10" s="201"/>
    </row>
    <row r="11" spans="2:17" ht="14.25" x14ac:dyDescent="0.45">
      <c r="B11" s="209" t="s">
        <v>252</v>
      </c>
      <c r="C11" s="209" t="s">
        <v>237</v>
      </c>
      <c r="D11" s="209"/>
      <c r="E11" s="209"/>
      <c r="F11" s="209"/>
      <c r="G11" s="72">
        <v>7200</v>
      </c>
      <c r="I11" s="196" t="str">
        <f>EnergyBalance!$B$5</f>
        <v>MIN</v>
      </c>
      <c r="J11" s="200"/>
      <c r="K11" s="200" t="str">
        <f>$I$11&amp;$C$2&amp;1</f>
        <v>MINOIL1</v>
      </c>
      <c r="L11" s="202" t="str">
        <f>"Domestic Supply of "&amp;$D$2&amp; " Step "&amp;RIGHT(K11,1)</f>
        <v>Domestic Supply of Crude Oil Step 1</v>
      </c>
      <c r="M11" s="200" t="str">
        <f>$E$2</f>
        <v>PJ</v>
      </c>
      <c r="N11" s="200"/>
      <c r="O11" s="200"/>
      <c r="P11" s="200"/>
      <c r="Q11" s="200"/>
    </row>
    <row r="12" spans="2:17" ht="14.25" x14ac:dyDescent="0.45">
      <c r="B12" s="209" t="s">
        <v>252</v>
      </c>
      <c r="C12" s="209" t="s">
        <v>38</v>
      </c>
      <c r="D12" s="209"/>
      <c r="E12" s="209" t="s">
        <v>49</v>
      </c>
      <c r="F12" s="209"/>
      <c r="G12" s="213">
        <v>6.4</v>
      </c>
      <c r="I12" s="200"/>
      <c r="J12" s="200"/>
      <c r="K12" s="200" t="str">
        <f>$I$11&amp;$C$2&amp;2</f>
        <v>MINOIL2</v>
      </c>
      <c r="L12" s="202" t="str">
        <f>"Domestic Supply of "&amp;$D$2&amp; " Step "&amp;RIGHT(K12,1)</f>
        <v>Domestic Supply of Crude Oil Step 2</v>
      </c>
      <c r="M12" s="200" t="str">
        <f>$E$2</f>
        <v>PJ</v>
      </c>
      <c r="N12" s="200"/>
      <c r="O12" s="200"/>
      <c r="P12" s="200"/>
      <c r="Q12" s="200"/>
    </row>
    <row r="13" spans="2:17" ht="14.25" x14ac:dyDescent="0.45">
      <c r="B13" s="209" t="s">
        <v>251</v>
      </c>
      <c r="C13" s="209" t="s">
        <v>101</v>
      </c>
      <c r="D13" s="209"/>
      <c r="E13" s="209"/>
      <c r="F13" s="209">
        <v>5</v>
      </c>
      <c r="G13" s="210">
        <f>'EB1'!$F$5*'EB1'!F38</f>
        <v>322.35023999999999</v>
      </c>
      <c r="I13" s="200"/>
      <c r="J13" s="200"/>
      <c r="K13" s="200" t="str">
        <f>$I$11&amp;$C$2&amp;3</f>
        <v>MINOIL3</v>
      </c>
      <c r="L13" s="202" t="str">
        <f>"Domestic Supply of "&amp;$D$2&amp; " Step "&amp;RIGHT(K13,1)</f>
        <v>Domestic Supply of Crude Oil Step 3</v>
      </c>
      <c r="M13" s="200" t="str">
        <f>$E$2</f>
        <v>PJ</v>
      </c>
      <c r="N13" s="200"/>
      <c r="O13" s="200"/>
      <c r="P13" s="200"/>
      <c r="Q13" s="200"/>
    </row>
    <row r="14" spans="2:17" ht="14.25" x14ac:dyDescent="0.45">
      <c r="B14" s="209" t="s">
        <v>251</v>
      </c>
      <c r="C14" s="209" t="s">
        <v>237</v>
      </c>
      <c r="D14" s="209"/>
      <c r="E14" s="209"/>
      <c r="F14" s="209"/>
      <c r="G14" s="72">
        <v>1800</v>
      </c>
      <c r="I14" s="200" t="str">
        <f>EnergyBalance!$B$6</f>
        <v>IMP</v>
      </c>
      <c r="J14" s="200"/>
      <c r="K14" s="200" t="str">
        <f>$I$14&amp;$C$2&amp;1</f>
        <v>IMPOIL1</v>
      </c>
      <c r="L14" s="202" t="str">
        <f>"Import of "&amp;$D$2&amp; " Step "&amp;RIGHT(K14,1)</f>
        <v>Import of Crude Oil Step 1</v>
      </c>
      <c r="M14" s="200" t="str">
        <f>$E$2</f>
        <v>PJ</v>
      </c>
      <c r="N14" s="200"/>
      <c r="O14" s="200"/>
      <c r="P14" s="200"/>
      <c r="Q14" s="200"/>
    </row>
    <row r="15" spans="2:17" ht="14.25" x14ac:dyDescent="0.45">
      <c r="B15" s="209" t="s">
        <v>251</v>
      </c>
      <c r="C15" s="209" t="s">
        <v>38</v>
      </c>
      <c r="D15" s="209"/>
      <c r="E15" s="209" t="s">
        <v>49</v>
      </c>
      <c r="F15" s="209"/>
      <c r="G15" s="213">
        <v>7.36</v>
      </c>
      <c r="I15" s="200" t="str">
        <f>EnergyBalance!B7</f>
        <v>EXP</v>
      </c>
      <c r="J15" s="200"/>
      <c r="K15" s="200" t="str">
        <f>$I$15&amp;$C$2&amp;1</f>
        <v>EXPOIL1</v>
      </c>
      <c r="L15" s="202" t="str">
        <f>"Export of "&amp;$D$2&amp; " Step "&amp;RIGHT(K15,1)</f>
        <v>Export of Crude Oil Step 1</v>
      </c>
      <c r="M15" s="200" t="str">
        <f>$E$2</f>
        <v>PJ</v>
      </c>
      <c r="N15" s="200"/>
      <c r="O15" s="200"/>
      <c r="P15" s="200"/>
      <c r="Q15" s="200"/>
    </row>
    <row r="16" spans="2:17" ht="14.25" x14ac:dyDescent="0.45">
      <c r="B16" s="209" t="s">
        <v>250</v>
      </c>
      <c r="C16" s="209" t="s">
        <v>237</v>
      </c>
      <c r="D16" s="209"/>
      <c r="E16" s="209"/>
      <c r="F16" s="209"/>
      <c r="G16" s="72">
        <v>12000</v>
      </c>
    </row>
    <row r="17" spans="2:23" ht="14.25" x14ac:dyDescent="0.45">
      <c r="B17" s="209" t="s">
        <v>250</v>
      </c>
      <c r="C17" s="209" t="s">
        <v>38</v>
      </c>
      <c r="D17" s="209"/>
      <c r="E17" s="209" t="s">
        <v>49</v>
      </c>
      <c r="F17" s="209"/>
      <c r="G17" s="213">
        <v>9.6</v>
      </c>
    </row>
    <row r="18" spans="2:23" ht="14.25" x14ac:dyDescent="0.45">
      <c r="B18" s="209" t="s">
        <v>240</v>
      </c>
      <c r="C18" s="209"/>
      <c r="D18" s="209"/>
      <c r="E18" s="209"/>
      <c r="F18" s="209"/>
      <c r="G18" s="209"/>
      <c r="T18" s="1"/>
      <c r="U18" s="1"/>
    </row>
    <row r="19" spans="2:23" ht="14.25" x14ac:dyDescent="0.45">
      <c r="B19" s="209" t="s">
        <v>249</v>
      </c>
      <c r="C19" s="209" t="s">
        <v>38</v>
      </c>
      <c r="D19" s="209"/>
      <c r="E19" s="209" t="s">
        <v>49</v>
      </c>
      <c r="F19" s="209"/>
      <c r="G19" s="213">
        <v>8</v>
      </c>
      <c r="S19" s="1"/>
      <c r="V19" s="1"/>
      <c r="W19" s="1"/>
    </row>
    <row r="20" spans="2:23" ht="14.25" x14ac:dyDescent="0.45">
      <c r="B20" s="209" t="s">
        <v>240</v>
      </c>
      <c r="C20" s="209"/>
      <c r="D20" s="209"/>
      <c r="E20" s="209"/>
      <c r="F20" s="209"/>
      <c r="G20" s="209"/>
    </row>
    <row r="21" spans="2:23" ht="14.25" x14ac:dyDescent="0.45">
      <c r="B21" s="209" t="s">
        <v>248</v>
      </c>
      <c r="C21" s="209" t="s">
        <v>101</v>
      </c>
      <c r="D21" s="209"/>
      <c r="E21" s="209"/>
      <c r="F21" s="209">
        <v>5</v>
      </c>
      <c r="G21" s="211">
        <f>-'EB1'!F7</f>
        <v>989.09129999999982</v>
      </c>
    </row>
    <row r="22" spans="2:23" ht="14.25" x14ac:dyDescent="0.45">
      <c r="B22" s="209" t="s">
        <v>248</v>
      </c>
      <c r="C22" s="209" t="s">
        <v>38</v>
      </c>
      <c r="D22" s="209" t="s">
        <v>49</v>
      </c>
      <c r="E22" s="209"/>
      <c r="F22" s="209"/>
      <c r="G22" s="213">
        <v>8</v>
      </c>
    </row>
    <row r="24" spans="2:23" x14ac:dyDescent="0.35">
      <c r="H24" s="1"/>
    </row>
    <row r="25" spans="2:23" x14ac:dyDescent="0.35">
      <c r="B25" s="150"/>
      <c r="C25" s="1" t="s">
        <v>210</v>
      </c>
    </row>
    <row r="26" spans="2:23" x14ac:dyDescent="0.35">
      <c r="B26" s="146"/>
      <c r="C26" s="1" t="s">
        <v>211</v>
      </c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Q24"/>
  <sheetViews>
    <sheetView zoomScaleNormal="100" workbookViewId="0"/>
  </sheetViews>
  <sheetFormatPr defaultColWidth="8.86328125" defaultRowHeight="12.75" x14ac:dyDescent="0.35"/>
  <cols>
    <col min="1" max="1" width="2" style="33" bestFit="1" customWidth="1"/>
    <col min="2" max="2" width="13.86328125" customWidth="1"/>
    <col min="3" max="3" width="11.86328125" bestFit="1" customWidth="1"/>
    <col min="4" max="4" width="11" customWidth="1"/>
    <col min="5" max="5" width="13.1328125" bestFit="1" customWidth="1"/>
    <col min="6" max="6" width="8.3984375" bestFit="1" customWidth="1"/>
    <col min="7" max="7" width="13.265625" customWidth="1"/>
    <col min="8" max="8" width="2" style="33" bestFit="1" customWidth="1"/>
    <col min="9" max="9" width="11.86328125" bestFit="1" customWidth="1"/>
    <col min="10" max="10" width="7.3984375" bestFit="1" customWidth="1"/>
    <col min="11" max="11" width="12.1328125" bestFit="1" customWidth="1"/>
    <col min="12" max="12" width="40.59765625" customWidth="1"/>
    <col min="13" max="13" width="6.1328125" bestFit="1" customWidth="1"/>
    <col min="14" max="14" width="10.3984375" bestFit="1" customWidth="1"/>
    <col min="15" max="15" width="12.86328125" bestFit="1" customWidth="1"/>
    <col min="16" max="16" width="14.1328125" bestFit="1" customWidth="1"/>
    <col min="17" max="17" width="8" bestFit="1" customWidth="1"/>
    <col min="18" max="16384" width="8.86328125" style="33"/>
  </cols>
  <sheetData>
    <row r="1" spans="2:17" ht="28.5" x14ac:dyDescent="0.45">
      <c r="B1" s="29" t="s">
        <v>94</v>
      </c>
      <c r="C1" s="29" t="s">
        <v>95</v>
      </c>
      <c r="D1" s="29" t="s">
        <v>96</v>
      </c>
      <c r="E1" s="29" t="s">
        <v>98</v>
      </c>
      <c r="F1" s="29" t="s">
        <v>99</v>
      </c>
    </row>
    <row r="2" spans="2:17" ht="15.75" x14ac:dyDescent="0.5">
      <c r="B2" s="12"/>
      <c r="C2" s="12" t="str">
        <f>EnergyBalance!O2</f>
        <v>RNW</v>
      </c>
      <c r="D2" s="12" t="str">
        <f>EnergyBalance!O3</f>
        <v>Renewable Energies</v>
      </c>
      <c r="E2" s="12" t="str">
        <f>EnergyBalance!W2</f>
        <v>PJ</v>
      </c>
      <c r="F2" s="12" t="str">
        <f>EnergyBalance!V2</f>
        <v>M€2005</v>
      </c>
      <c r="I2" s="195" t="s">
        <v>14</v>
      </c>
      <c r="J2" s="195"/>
      <c r="K2" s="196"/>
      <c r="L2" s="196"/>
      <c r="M2" s="196"/>
      <c r="N2" s="196"/>
      <c r="O2" s="196"/>
      <c r="P2" s="196"/>
      <c r="Q2" s="196"/>
    </row>
    <row r="3" spans="2:17" ht="13.15" x14ac:dyDescent="0.4">
      <c r="F3" s="11"/>
      <c r="I3" s="197" t="s">
        <v>7</v>
      </c>
      <c r="J3" s="198" t="s">
        <v>30</v>
      </c>
      <c r="K3" s="197" t="s">
        <v>0</v>
      </c>
      <c r="L3" s="197" t="s">
        <v>3</v>
      </c>
      <c r="M3" s="197" t="s">
        <v>4</v>
      </c>
      <c r="N3" s="197" t="s">
        <v>8</v>
      </c>
      <c r="O3" s="197" t="s">
        <v>9</v>
      </c>
      <c r="P3" s="197" t="s">
        <v>10</v>
      </c>
      <c r="Q3" s="197" t="s">
        <v>12</v>
      </c>
    </row>
    <row r="4" spans="2:17" ht="21" thickBot="1" x14ac:dyDescent="0.4">
      <c r="B4" s="1"/>
      <c r="I4" s="199" t="s">
        <v>40</v>
      </c>
      <c r="J4" s="199" t="s">
        <v>31</v>
      </c>
      <c r="K4" s="199" t="s">
        <v>26</v>
      </c>
      <c r="L4" s="199" t="s">
        <v>27</v>
      </c>
      <c r="M4" s="199" t="s">
        <v>4</v>
      </c>
      <c r="N4" s="199" t="s">
        <v>43</v>
      </c>
      <c r="O4" s="199" t="s">
        <v>44</v>
      </c>
      <c r="P4" s="199" t="s">
        <v>28</v>
      </c>
      <c r="Q4" s="199" t="s">
        <v>29</v>
      </c>
    </row>
    <row r="5" spans="2:17" x14ac:dyDescent="0.35">
      <c r="I5" s="196" t="s">
        <v>93</v>
      </c>
      <c r="J5" s="200"/>
      <c r="K5" s="196" t="str">
        <f>C2</f>
        <v>RNW</v>
      </c>
      <c r="L5" s="196" t="str">
        <f>D2</f>
        <v>Renewable Energies</v>
      </c>
      <c r="M5" s="196" t="str">
        <f>$E$2</f>
        <v>PJ</v>
      </c>
      <c r="N5" s="196"/>
      <c r="O5" s="196"/>
      <c r="P5" s="196"/>
      <c r="Q5" s="196"/>
    </row>
    <row r="7" spans="2:17" ht="13.15" x14ac:dyDescent="0.4">
      <c r="D7" s="5" t="s">
        <v>13</v>
      </c>
      <c r="F7" s="5"/>
      <c r="I7" s="195" t="s">
        <v>15</v>
      </c>
      <c r="J7" s="195"/>
      <c r="K7" s="200"/>
      <c r="L7" s="200"/>
      <c r="M7" s="200"/>
      <c r="N7" s="200"/>
      <c r="O7" s="200"/>
      <c r="P7" s="200"/>
      <c r="Q7" s="200"/>
    </row>
    <row r="8" spans="2:17" ht="13.15" x14ac:dyDescent="0.4">
      <c r="B8" s="3" t="s">
        <v>1</v>
      </c>
      <c r="C8" s="19" t="s">
        <v>5</v>
      </c>
      <c r="D8" s="3" t="s">
        <v>6</v>
      </c>
      <c r="E8" s="168" t="s">
        <v>37</v>
      </c>
      <c r="F8" s="168" t="s">
        <v>38</v>
      </c>
      <c r="G8" s="168" t="s">
        <v>101</v>
      </c>
      <c r="I8" s="197" t="s">
        <v>11</v>
      </c>
      <c r="J8" s="198" t="s">
        <v>30</v>
      </c>
      <c r="K8" s="197" t="s">
        <v>1</v>
      </c>
      <c r="L8" s="197" t="s">
        <v>2</v>
      </c>
      <c r="M8" s="197" t="s">
        <v>16</v>
      </c>
      <c r="N8" s="197" t="s">
        <v>17</v>
      </c>
      <c r="O8" s="197" t="s">
        <v>18</v>
      </c>
      <c r="P8" s="197" t="s">
        <v>19</v>
      </c>
      <c r="Q8" s="197" t="s">
        <v>20</v>
      </c>
    </row>
    <row r="9" spans="2:17" ht="21" thickBot="1" x14ac:dyDescent="0.4">
      <c r="B9" s="16" t="s">
        <v>42</v>
      </c>
      <c r="C9" s="16" t="s">
        <v>32</v>
      </c>
      <c r="D9" s="16" t="s">
        <v>33</v>
      </c>
      <c r="E9" s="16" t="s">
        <v>39</v>
      </c>
      <c r="F9" s="16" t="s">
        <v>116</v>
      </c>
      <c r="G9" s="16" t="s">
        <v>115</v>
      </c>
      <c r="I9" s="199" t="s">
        <v>41</v>
      </c>
      <c r="J9" s="199" t="s">
        <v>31</v>
      </c>
      <c r="K9" s="199" t="s">
        <v>21</v>
      </c>
      <c r="L9" s="199" t="s">
        <v>22</v>
      </c>
      <c r="M9" s="199" t="s">
        <v>23</v>
      </c>
      <c r="N9" s="199" t="s">
        <v>24</v>
      </c>
      <c r="O9" s="199" t="s">
        <v>46</v>
      </c>
      <c r="P9" s="199" t="s">
        <v>45</v>
      </c>
      <c r="Q9" s="199" t="s">
        <v>25</v>
      </c>
    </row>
    <row r="10" spans="2:17" ht="13.15" thickBot="1" x14ac:dyDescent="0.4">
      <c r="B10" s="16" t="s">
        <v>113</v>
      </c>
      <c r="C10" s="15"/>
      <c r="D10" s="15"/>
      <c r="E10" s="15" t="str">
        <f>$E$2</f>
        <v>PJ</v>
      </c>
      <c r="F10" s="15" t="str">
        <f>$F$2&amp;"/"&amp;$E$2</f>
        <v>M€2005/PJ</v>
      </c>
      <c r="G10" s="15" t="str">
        <f>$E$2</f>
        <v>PJ</v>
      </c>
      <c r="I10" s="199" t="s">
        <v>104</v>
      </c>
      <c r="J10" s="201"/>
      <c r="K10" s="201"/>
      <c r="L10" s="201"/>
      <c r="M10" s="201"/>
      <c r="N10" s="201"/>
      <c r="O10" s="201"/>
      <c r="P10" s="201"/>
      <c r="Q10" s="201"/>
    </row>
    <row r="11" spans="2:17" x14ac:dyDescent="0.35">
      <c r="B11" s="1" t="str">
        <f>K11</f>
        <v>MINRNW1</v>
      </c>
      <c r="C11" s="1"/>
      <c r="D11" s="1" t="str">
        <f>$K$5</f>
        <v>RNW</v>
      </c>
      <c r="E11" s="169"/>
      <c r="F11" s="170"/>
      <c r="G11" s="32"/>
      <c r="I11" s="196" t="str">
        <f>EnergyBalance!$B$5</f>
        <v>MIN</v>
      </c>
      <c r="J11" s="200"/>
      <c r="K11" s="200" t="str">
        <f>$I$11&amp;$C$2&amp;1</f>
        <v>MINRNW1</v>
      </c>
      <c r="L11" s="202" t="str">
        <f>"Domestic Supply of "&amp;$D$2&amp; " Step "&amp;RIGHT(K11,1)</f>
        <v>Domestic Supply of Renewable Energies Step 1</v>
      </c>
      <c r="M11" s="200" t="str">
        <f>$E$2</f>
        <v>PJ</v>
      </c>
      <c r="N11" s="200"/>
      <c r="O11" s="200"/>
      <c r="P11" s="200"/>
      <c r="Q11" s="200"/>
    </row>
    <row r="12" spans="2:17" x14ac:dyDescent="0.35">
      <c r="B12" s="1"/>
      <c r="C12" s="1"/>
      <c r="D12" s="1"/>
      <c r="E12" s="169"/>
      <c r="F12" s="170"/>
      <c r="G12" s="32"/>
      <c r="L12" s="20"/>
    </row>
    <row r="13" spans="2:17" x14ac:dyDescent="0.35">
      <c r="B13" s="1"/>
      <c r="C13" s="1"/>
      <c r="D13" s="1"/>
      <c r="E13" s="169"/>
      <c r="F13" s="170"/>
      <c r="G13" s="32"/>
      <c r="L13" s="20"/>
    </row>
    <row r="14" spans="2:17" x14ac:dyDescent="0.35">
      <c r="B14" s="1"/>
      <c r="C14" s="1"/>
      <c r="D14" s="1"/>
      <c r="E14" s="1"/>
      <c r="F14" s="30"/>
      <c r="L14" s="20"/>
    </row>
    <row r="15" spans="2:17" x14ac:dyDescent="0.35">
      <c r="B15" s="1"/>
      <c r="C15" s="1"/>
      <c r="D15" s="1"/>
      <c r="E15" s="1"/>
      <c r="F15" s="30"/>
      <c r="G15" s="8"/>
      <c r="L15" s="20"/>
    </row>
    <row r="16" spans="2:17" x14ac:dyDescent="0.35">
      <c r="B16" s="1"/>
      <c r="C16" s="1"/>
      <c r="E16" s="1"/>
      <c r="F16" s="1"/>
      <c r="G16" s="8"/>
    </row>
    <row r="20" spans="2:3" ht="19.5" customHeight="1" x14ac:dyDescent="0.35"/>
    <row r="23" spans="2:3" x14ac:dyDescent="0.35">
      <c r="B23" s="72"/>
      <c r="C23" s="1" t="s">
        <v>210</v>
      </c>
    </row>
    <row r="24" spans="2:3" x14ac:dyDescent="0.35">
      <c r="B24" s="146"/>
      <c r="C24" s="1" t="s">
        <v>211</v>
      </c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Q24"/>
  <sheetViews>
    <sheetView zoomScaleNormal="100" workbookViewId="0">
      <selection activeCell="D11" sqref="D11"/>
    </sheetView>
  </sheetViews>
  <sheetFormatPr defaultColWidth="8.86328125" defaultRowHeight="12.75" x14ac:dyDescent="0.35"/>
  <cols>
    <col min="1" max="1" width="2" style="33" bestFit="1" customWidth="1"/>
    <col min="2" max="2" width="13.86328125" customWidth="1"/>
    <col min="3" max="3" width="11.86328125" bestFit="1" customWidth="1"/>
    <col min="4" max="4" width="11" customWidth="1"/>
    <col min="5" max="5" width="13.1328125" bestFit="1" customWidth="1"/>
    <col min="6" max="6" width="8.3984375" bestFit="1" customWidth="1"/>
    <col min="7" max="7" width="13.265625" customWidth="1"/>
    <col min="8" max="8" width="2" style="33" bestFit="1" customWidth="1"/>
    <col min="9" max="9" width="11.86328125" bestFit="1" customWidth="1"/>
    <col min="10" max="10" width="7.3984375" bestFit="1" customWidth="1"/>
    <col min="11" max="11" width="12.1328125" bestFit="1" customWidth="1"/>
    <col min="12" max="12" width="37.265625" bestFit="1" customWidth="1"/>
    <col min="13" max="13" width="6.1328125" bestFit="1" customWidth="1"/>
    <col min="14" max="14" width="10.3984375" bestFit="1" customWidth="1"/>
    <col min="15" max="15" width="12.86328125" bestFit="1" customWidth="1"/>
    <col min="16" max="16" width="14.1328125" bestFit="1" customWidth="1"/>
    <col min="17" max="17" width="8" bestFit="1" customWidth="1"/>
    <col min="18" max="16384" width="8.86328125" style="33"/>
  </cols>
  <sheetData>
    <row r="1" spans="2:17" ht="28.5" x14ac:dyDescent="0.45">
      <c r="B1" s="29" t="s">
        <v>94</v>
      </c>
      <c r="C1" s="29" t="s">
        <v>95</v>
      </c>
      <c r="D1" s="29" t="s">
        <v>96</v>
      </c>
      <c r="E1" s="29" t="s">
        <v>98</v>
      </c>
      <c r="F1" s="29" t="s">
        <v>99</v>
      </c>
    </row>
    <row r="2" spans="2:17" ht="15.75" x14ac:dyDescent="0.5">
      <c r="B2" s="12"/>
      <c r="C2" s="12" t="str">
        <f>EnergyBalance!N2</f>
        <v>NUC</v>
      </c>
      <c r="D2" s="12" t="str">
        <f>EnergyBalance!N3</f>
        <v>Nuclear Energy</v>
      </c>
      <c r="E2" s="12" t="str">
        <f>EnergyBalance!W2</f>
        <v>PJ</v>
      </c>
      <c r="F2" s="12" t="str">
        <f>EnergyBalance!V2</f>
        <v>M€2005</v>
      </c>
      <c r="I2" s="195" t="s">
        <v>14</v>
      </c>
      <c r="J2" s="195"/>
      <c r="K2" s="196"/>
      <c r="L2" s="196"/>
      <c r="M2" s="196"/>
      <c r="N2" s="196"/>
      <c r="O2" s="196"/>
      <c r="P2" s="196"/>
      <c r="Q2" s="196"/>
    </row>
    <row r="3" spans="2:17" ht="13.15" x14ac:dyDescent="0.4">
      <c r="F3" s="11"/>
      <c r="I3" s="197" t="s">
        <v>7</v>
      </c>
      <c r="J3" s="198" t="s">
        <v>30</v>
      </c>
      <c r="K3" s="197" t="s">
        <v>0</v>
      </c>
      <c r="L3" s="197" t="s">
        <v>3</v>
      </c>
      <c r="M3" s="197" t="s">
        <v>4</v>
      </c>
      <c r="N3" s="197" t="s">
        <v>8</v>
      </c>
      <c r="O3" s="197" t="s">
        <v>9</v>
      </c>
      <c r="P3" s="197" t="s">
        <v>10</v>
      </c>
      <c r="Q3" s="197" t="s">
        <v>12</v>
      </c>
    </row>
    <row r="4" spans="2:17" ht="21" thickBot="1" x14ac:dyDescent="0.4">
      <c r="B4" s="1"/>
      <c r="I4" s="199" t="s">
        <v>40</v>
      </c>
      <c r="J4" s="199" t="s">
        <v>31</v>
      </c>
      <c r="K4" s="199" t="s">
        <v>26</v>
      </c>
      <c r="L4" s="199" t="s">
        <v>27</v>
      </c>
      <c r="M4" s="199" t="s">
        <v>4</v>
      </c>
      <c r="N4" s="199" t="s">
        <v>43</v>
      </c>
      <c r="O4" s="199" t="s">
        <v>44</v>
      </c>
      <c r="P4" s="199" t="s">
        <v>28</v>
      </c>
      <c r="Q4" s="199" t="s">
        <v>29</v>
      </c>
    </row>
    <row r="5" spans="2:17" x14ac:dyDescent="0.35">
      <c r="I5" s="196" t="s">
        <v>93</v>
      </c>
      <c r="J5" s="200"/>
      <c r="K5" s="196" t="str">
        <f>C2</f>
        <v>NUC</v>
      </c>
      <c r="L5" s="196" t="str">
        <f>D2</f>
        <v>Nuclear Energy</v>
      </c>
      <c r="M5" s="196" t="str">
        <f>$E$2</f>
        <v>PJ</v>
      </c>
      <c r="N5" s="196"/>
      <c r="O5" s="196"/>
      <c r="P5" s="196"/>
      <c r="Q5" s="196"/>
    </row>
    <row r="7" spans="2:17" ht="13.15" x14ac:dyDescent="0.4">
      <c r="D7" s="5" t="s">
        <v>13</v>
      </c>
      <c r="F7" s="5"/>
      <c r="I7" s="195" t="s">
        <v>15</v>
      </c>
      <c r="J7" s="195"/>
      <c r="K7" s="200"/>
      <c r="L7" s="200"/>
      <c r="M7" s="200"/>
      <c r="N7" s="200"/>
      <c r="O7" s="200"/>
      <c r="P7" s="200"/>
      <c r="Q7" s="200"/>
    </row>
    <row r="8" spans="2:17" ht="13.15" x14ac:dyDescent="0.4">
      <c r="B8" s="3" t="s">
        <v>1</v>
      </c>
      <c r="C8" s="19" t="s">
        <v>5</v>
      </c>
      <c r="D8" s="3" t="s">
        <v>6</v>
      </c>
      <c r="E8" s="168" t="s">
        <v>37</v>
      </c>
      <c r="F8" s="168" t="s">
        <v>38</v>
      </c>
      <c r="G8" s="168" t="s">
        <v>101</v>
      </c>
      <c r="I8" s="197" t="s">
        <v>11</v>
      </c>
      <c r="J8" s="198" t="s">
        <v>30</v>
      </c>
      <c r="K8" s="197" t="s">
        <v>1</v>
      </c>
      <c r="L8" s="197" t="s">
        <v>2</v>
      </c>
      <c r="M8" s="197" t="s">
        <v>16</v>
      </c>
      <c r="N8" s="197" t="s">
        <v>17</v>
      </c>
      <c r="O8" s="197" t="s">
        <v>18</v>
      </c>
      <c r="P8" s="197" t="s">
        <v>19</v>
      </c>
      <c r="Q8" s="197" t="s">
        <v>20</v>
      </c>
    </row>
    <row r="9" spans="2:17" ht="21" thickBot="1" x14ac:dyDescent="0.4">
      <c r="B9" s="16" t="s">
        <v>42</v>
      </c>
      <c r="C9" s="16" t="s">
        <v>32</v>
      </c>
      <c r="D9" s="16" t="s">
        <v>33</v>
      </c>
      <c r="E9" s="16" t="s">
        <v>39</v>
      </c>
      <c r="F9" s="16" t="s">
        <v>116</v>
      </c>
      <c r="G9" s="16" t="s">
        <v>115</v>
      </c>
      <c r="I9" s="199" t="s">
        <v>41</v>
      </c>
      <c r="J9" s="199" t="s">
        <v>31</v>
      </c>
      <c r="K9" s="199" t="s">
        <v>21</v>
      </c>
      <c r="L9" s="199" t="s">
        <v>22</v>
      </c>
      <c r="M9" s="199" t="s">
        <v>23</v>
      </c>
      <c r="N9" s="199" t="s">
        <v>24</v>
      </c>
      <c r="O9" s="199" t="s">
        <v>46</v>
      </c>
      <c r="P9" s="199" t="s">
        <v>45</v>
      </c>
      <c r="Q9" s="199" t="s">
        <v>25</v>
      </c>
    </row>
    <row r="10" spans="2:17" ht="13.15" thickBot="1" x14ac:dyDescent="0.4">
      <c r="B10" s="16" t="s">
        <v>113</v>
      </c>
      <c r="C10" s="15"/>
      <c r="D10" s="15"/>
      <c r="E10" s="15" t="str">
        <f>$E$2</f>
        <v>PJ</v>
      </c>
      <c r="F10" s="15" t="str">
        <f>$F$2&amp;"/"&amp;$E$2</f>
        <v>M€2005/PJ</v>
      </c>
      <c r="G10" s="15" t="str">
        <f>$E$2</f>
        <v>PJ</v>
      </c>
      <c r="I10" s="199" t="s">
        <v>104</v>
      </c>
      <c r="J10" s="201"/>
      <c r="K10" s="201"/>
      <c r="L10" s="201"/>
      <c r="M10" s="201"/>
      <c r="N10" s="201"/>
      <c r="O10" s="201"/>
      <c r="P10" s="201"/>
      <c r="Q10" s="201"/>
    </row>
    <row r="11" spans="2:17" x14ac:dyDescent="0.35">
      <c r="B11" s="1" t="str">
        <f>K11</f>
        <v>MINNUC1</v>
      </c>
      <c r="C11" s="1"/>
      <c r="D11" s="1" t="str">
        <f>$K$5</f>
        <v>NUC</v>
      </c>
      <c r="E11" s="169"/>
      <c r="F11" s="170"/>
      <c r="G11" s="32"/>
      <c r="I11" s="196" t="str">
        <f>EnergyBalance!$B$5</f>
        <v>MIN</v>
      </c>
      <c r="J11" s="200"/>
      <c r="K11" s="200" t="str">
        <f>$I$11&amp;$C$2&amp;1</f>
        <v>MINNUC1</v>
      </c>
      <c r="L11" s="202" t="str">
        <f>"Domestic Supply of "&amp;$D$2&amp; " Step "&amp;RIGHT(K11,1)</f>
        <v>Domestic Supply of Nuclear Energy Step 1</v>
      </c>
      <c r="M11" s="200" t="str">
        <f>$E$2</f>
        <v>PJ</v>
      </c>
      <c r="N11" s="200"/>
      <c r="O11" s="200"/>
      <c r="P11" s="200"/>
      <c r="Q11" s="200"/>
    </row>
    <row r="12" spans="2:17" x14ac:dyDescent="0.35">
      <c r="B12" s="1"/>
      <c r="C12" s="1"/>
      <c r="D12" s="1"/>
      <c r="E12" s="169"/>
      <c r="F12" s="170"/>
      <c r="G12" s="32"/>
      <c r="L12" s="20"/>
    </row>
    <row r="13" spans="2:17" x14ac:dyDescent="0.35">
      <c r="B13" s="1"/>
      <c r="C13" s="1"/>
      <c r="D13" s="1"/>
      <c r="E13" s="169"/>
      <c r="F13" s="170"/>
      <c r="G13" s="32"/>
      <c r="L13" s="20"/>
    </row>
    <row r="14" spans="2:17" x14ac:dyDescent="0.35">
      <c r="B14" s="1"/>
      <c r="C14" s="1"/>
      <c r="D14" s="1"/>
      <c r="E14" s="1"/>
      <c r="F14" s="30"/>
      <c r="L14" s="20"/>
    </row>
    <row r="15" spans="2:17" x14ac:dyDescent="0.35">
      <c r="B15" s="1"/>
      <c r="C15" s="1"/>
      <c r="D15" s="1"/>
      <c r="E15" s="1"/>
      <c r="F15" s="30"/>
      <c r="G15" s="8"/>
      <c r="L15" s="20"/>
    </row>
    <row r="16" spans="2:17" x14ac:dyDescent="0.35">
      <c r="B16" s="1"/>
      <c r="C16" s="1"/>
      <c r="E16" s="1"/>
      <c r="F16" s="1"/>
      <c r="G16" s="8"/>
    </row>
    <row r="20" spans="2:3" ht="19.5" customHeight="1" x14ac:dyDescent="0.35"/>
    <row r="23" spans="2:3" x14ac:dyDescent="0.35">
      <c r="B23" s="72"/>
      <c r="C23" s="1" t="s">
        <v>210</v>
      </c>
    </row>
    <row r="24" spans="2:3" x14ac:dyDescent="0.35">
      <c r="B24" s="146"/>
      <c r="C24" s="1" t="s">
        <v>211</v>
      </c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EnergyBalance</vt:lpstr>
      <vt:lpstr>EB1</vt:lpstr>
      <vt:lpstr>EB2</vt:lpstr>
      <vt:lpstr>RES&amp;OBJ</vt:lpstr>
      <vt:lpstr>Pri_COA</vt:lpstr>
      <vt:lpstr>Pri_GAS</vt:lpstr>
      <vt:lpstr>Pri_OIL</vt:lpstr>
      <vt:lpstr>Pri_RNW</vt:lpstr>
      <vt:lpstr>Pri_NUC</vt:lpstr>
      <vt:lpstr>Pri_PP</vt:lpstr>
      <vt:lpstr>Sector_Fuels</vt:lpstr>
      <vt:lpstr>Con_REF</vt:lpstr>
      <vt:lpstr>Con_ELC</vt:lpstr>
      <vt:lpstr>DemTechs_TPS</vt:lpstr>
      <vt:lpstr>DemTechs_ELC</vt:lpstr>
      <vt:lpstr>DemTechs_RSD</vt:lpstr>
      <vt:lpstr>DemTechs_TRA</vt:lpstr>
      <vt:lpstr>Demands</vt:lpstr>
      <vt:lpstr>Emi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2004-11-16T14:57:57Z</cp:lastPrinted>
  <dcterms:created xsi:type="dcterms:W3CDTF">2000-12-13T15:53:11Z</dcterms:created>
  <dcterms:modified xsi:type="dcterms:W3CDTF">2024-06-13T09:01:57Z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595731556415557</vt:r8>
  </property>
</Properties>
</file>