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drawings/drawing2.xml" ContentType="application/vnd.openxmlformats-officedocument.drawing+xml"/>
  <Override PartName="/xl/activeX/activeX3.xml" ContentType="application/vnd.ms-office.activeX+xml"/>
  <Override PartName="/xl/activeX/activeX3.bin" ContentType="application/vnd.ms-office.activeX"/>
  <Override PartName="/xl/activeX/activeX4.xml" ContentType="application/vnd.ms-office.activeX+xml"/>
  <Override PartName="/xl/activeX/activeX4.bin" ContentType="application/vnd.ms-office.activeX"/>
  <Override PartName="/xl/activeX/activeX5.xml" ContentType="application/vnd.ms-office.activeX+xml"/>
  <Override PartName="/xl/activeX/activeX5.bin" ContentType="application/vnd.ms-office.activeX"/>
  <Override PartName="/xl/drawings/drawing3.xml" ContentType="application/vnd.openxmlformats-officedocument.drawing+xml"/>
  <Override PartName="/xl/activeX/activeX6.xml" ContentType="application/vnd.ms-office.activeX+xml"/>
  <Override PartName="/xl/activeX/activeX6.bin" ContentType="application/vnd.ms-office.activeX"/>
  <Override PartName="/xl/activeX/activeX7.xml" ContentType="application/vnd.ms-office.activeX+xml"/>
  <Override PartName="/xl/activeX/activeX7.bin" ContentType="application/vnd.ms-office.activeX"/>
  <Override PartName="/xl/activeX/activeX8.xml" ContentType="application/vnd.ms-office.activeX+xml"/>
  <Override PartName="/xl/activeX/activeX8.bin" ContentType="application/vnd.ms-office.activeX"/>
  <Override PartName="/xl/drawings/drawing4.xml" ContentType="application/vnd.openxmlformats-officedocument.drawing+xml"/>
  <Override PartName="/xl/activeX/activeX9.xml" ContentType="application/vnd.ms-office.activeX+xml"/>
  <Override PartName="/xl/activeX/activeX9.bin" ContentType="application/vnd.ms-office.activeX"/>
  <Override PartName="/xl/activeX/activeX10.xml" ContentType="application/vnd.ms-office.activeX+xml"/>
  <Override PartName="/xl/activeX/activeX10.bin" ContentType="application/vnd.ms-office.activeX"/>
  <Override PartName="/xl/activeX/activeX11.xml" ContentType="application/vnd.ms-office.activeX+xml"/>
  <Override PartName="/xl/activeX/activeX11.bin" ContentType="application/vnd.ms-office.activeX"/>
  <Override PartName="/xl/drawings/drawing5.xml" ContentType="application/vnd.openxmlformats-officedocument.drawing+xml"/>
  <Override PartName="/xl/activeX/activeX12.xml" ContentType="application/vnd.ms-office.activeX+xml"/>
  <Override PartName="/xl/activeX/activeX12.bin" ContentType="application/vnd.ms-office.activeX"/>
  <Override PartName="/xl/activeX/activeX13.xml" ContentType="application/vnd.ms-office.activeX+xml"/>
  <Override PartName="/xl/activeX/activeX13.bin" ContentType="application/vnd.ms-office.activeX"/>
  <Override PartName="/xl/activeX/activeX14.xml" ContentType="application/vnd.ms-office.activeX+xml"/>
  <Override PartName="/xl/activeX/activeX14.bin" ContentType="application/vnd.ms-office.activeX"/>
  <Override PartName="/xl/drawings/drawing6.xml" ContentType="application/vnd.openxmlformats-officedocument.drawing+xml"/>
  <Override PartName="/xl/activeX/activeX15.xml" ContentType="application/vnd.ms-office.activeX+xml"/>
  <Override PartName="/xl/activeX/activeX15.bin" ContentType="application/vnd.ms-office.activeX"/>
  <Override PartName="/xl/activeX/activeX16.xml" ContentType="application/vnd.ms-office.activeX+xml"/>
  <Override PartName="/xl/activeX/activeX16.bin" ContentType="application/vnd.ms-office.activeX"/>
  <Override PartName="/xl/activeX/activeX17.xml" ContentType="application/vnd.ms-office.activeX+xml"/>
  <Override PartName="/xl/activeX/activeX17.bin" ContentType="application/vnd.ms-office.activeX"/>
  <Override PartName="/xl/activeX/activeX18.xml" ContentType="application/vnd.ms-office.activeX+xml"/>
  <Override PartName="/xl/activeX/activeX18.bin" ContentType="application/vnd.ms-office.activeX"/>
  <Override PartName="/xl/activeX/activeX19.xml" ContentType="application/vnd.ms-office.activeX+xml"/>
  <Override PartName="/xl/activeX/activeX19.bin" ContentType="application/vnd.ms-office.activeX"/>
  <Override PartName="/xl/drawings/drawing7.xml" ContentType="application/vnd.openxmlformats-officedocument.drawing+xml"/>
  <Override PartName="/xl/activeX/activeX20.xml" ContentType="application/vnd.ms-office.activeX+xml"/>
  <Override PartName="/xl/activeX/activeX20.bin" ContentType="application/vnd.ms-office.activeX"/>
  <Override PartName="/xl/activeX/activeX21.xml" ContentType="application/vnd.ms-office.activeX+xml"/>
  <Override PartName="/xl/activeX/activeX21.bin" ContentType="application/vnd.ms-office.activeX"/>
  <Override PartName="/xl/activeX/activeX22.xml" ContentType="application/vnd.ms-office.activeX+xml"/>
  <Override PartName="/xl/activeX/activeX22.bin" ContentType="application/vnd.ms-office.activeX"/>
  <Override PartName="/xl/drawings/drawing8.xml" ContentType="application/vnd.openxmlformats-officedocument.drawing+xml"/>
  <Override PartName="/xl/activeX/activeX23.xml" ContentType="application/vnd.ms-office.activeX+xml"/>
  <Override PartName="/xl/activeX/activeX23.bin" ContentType="application/vnd.ms-office.activeX"/>
  <Override PartName="/xl/activeX/activeX24.xml" ContentType="application/vnd.ms-office.activeX+xml"/>
  <Override PartName="/xl/activeX/activeX24.bin" ContentType="application/vnd.ms-office.activeX"/>
  <Override PartName="/xl/activeX/activeX25.xml" ContentType="application/vnd.ms-office.activeX+xml"/>
  <Override PartName="/xl/activeX/activeX25.bin" ContentType="application/vnd.ms-office.activeX"/>
  <Override PartName="/xl/activeX/activeX26.xml" ContentType="application/vnd.ms-office.activeX+xml"/>
  <Override PartName="/xl/activeX/activeX26.bin" ContentType="application/vnd.ms-office.activeX"/>
  <Override PartName="/xl/activeX/activeX27.xml" ContentType="application/vnd.ms-office.activeX+xml"/>
  <Override PartName="/xl/activeX/activeX27.bin" ContentType="application/vnd.ms-office.activeX"/>
  <Override PartName="/xl/drawings/drawing9.xml" ContentType="application/vnd.openxmlformats-officedocument.drawing+xml"/>
  <Override PartName="/xl/activeX/activeX28.xml" ContentType="application/vnd.ms-office.activeX+xml"/>
  <Override PartName="/xl/activeX/activeX28.bin" ContentType="application/vnd.ms-office.activeX"/>
  <Override PartName="/xl/activeX/activeX29.xml" ContentType="application/vnd.ms-office.activeX+xml"/>
  <Override PartName="/xl/activeX/activeX29.bin" ContentType="application/vnd.ms-office.activeX"/>
  <Override PartName="/xl/activeX/activeX30.xml" ContentType="application/vnd.ms-office.activeX+xml"/>
  <Override PartName="/xl/activeX/activeX30.bin" ContentType="application/vnd.ms-office.activeX"/>
  <Override PartName="/xl/activeX/activeX31.xml" ContentType="application/vnd.ms-office.activeX+xml"/>
  <Override PartName="/xl/activeX/activeX31.bin" ContentType="application/vnd.ms-office.activeX"/>
  <Override PartName="/xl/activeX/activeX32.xml" ContentType="application/vnd.ms-office.activeX+xml"/>
  <Override PartName="/xl/activeX/activeX32.bin" ContentType="application/vnd.ms-office.activeX"/>
  <Override PartName="/xl/activeX/activeX33.xml" ContentType="application/vnd.ms-office.activeX+xml"/>
  <Override PartName="/xl/activeX/activeX33.bin" ContentType="application/vnd.ms-office.activeX"/>
  <Override PartName="/xl/activeX/activeX34.xml" ContentType="application/vnd.ms-office.activeX+xml"/>
  <Override PartName="/xl/activeX/activeX34.bin" ContentType="application/vnd.ms-office.activeX"/>
  <Override PartName="/xl/comments1.xml" ContentType="application/vnd.openxmlformats-officedocument.spreadsheetml.comments+xml"/>
  <Override PartName="/xl/drawings/drawing10.xml" ContentType="application/vnd.openxmlformats-officedocument.drawing+xml"/>
  <Override PartName="/xl/activeX/activeX35.xml" ContentType="application/vnd.ms-office.activeX+xml"/>
  <Override PartName="/xl/activeX/activeX35.bin" ContentType="application/vnd.ms-office.activeX"/>
  <Override PartName="/xl/activeX/activeX36.xml" ContentType="application/vnd.ms-office.activeX+xml"/>
  <Override PartName="/xl/activeX/activeX36.bin" ContentType="application/vnd.ms-office.activeX"/>
  <Override PartName="/xl/activeX/activeX37.xml" ContentType="application/vnd.ms-office.activeX+xml"/>
  <Override PartName="/xl/activeX/activeX37.bin" ContentType="application/vnd.ms-office.activeX"/>
  <Override PartName="/xl/activeX/activeX38.xml" ContentType="application/vnd.ms-office.activeX+xml"/>
  <Override PartName="/xl/activeX/activeX38.bin" ContentType="application/vnd.ms-office.activeX"/>
  <Override PartName="/xl/activeX/activeX39.xml" ContentType="application/vnd.ms-office.activeX+xml"/>
  <Override PartName="/xl/activeX/activeX39.bin" ContentType="application/vnd.ms-office.activeX"/>
  <Override PartName="/xl/activeX/activeX40.xml" ContentType="application/vnd.ms-office.activeX+xml"/>
  <Override PartName="/xl/activeX/activeX40.bin" ContentType="application/vnd.ms-office.activeX"/>
  <Override PartName="/xl/activeX/activeX41.xml" ContentType="application/vnd.ms-office.activeX+xml"/>
  <Override PartName="/xl/activeX/activeX41.bin" ContentType="application/vnd.ms-office.activeX"/>
  <Override PartName="/xl/comments2.xml" ContentType="application/vnd.openxmlformats-officedocument.spreadsheetml.comments+xml"/>
  <Override PartName="/xl/drawings/drawing11.xml" ContentType="application/vnd.openxmlformats-officedocument.drawing+xml"/>
  <Override PartName="/xl/activeX/activeX42.xml" ContentType="application/vnd.ms-office.activeX+xml"/>
  <Override PartName="/xl/activeX/activeX42.bin" ContentType="application/vnd.ms-office.activeX"/>
  <Override PartName="/xl/activeX/activeX43.xml" ContentType="application/vnd.ms-office.activeX+xml"/>
  <Override PartName="/xl/activeX/activeX43.bin" ContentType="application/vnd.ms-office.activeX"/>
  <Override PartName="/xl/activeX/activeX44.xml" ContentType="application/vnd.ms-office.activeX+xml"/>
  <Override PartName="/xl/activeX/activeX44.bin" ContentType="application/vnd.ms-office.activeX"/>
  <Override PartName="/xl/activeX/activeX45.xml" ContentType="application/vnd.ms-office.activeX+xml"/>
  <Override PartName="/xl/activeX/activeX45.bin" ContentType="application/vnd.ms-office.activeX"/>
  <Override PartName="/xl/activeX/activeX46.xml" ContentType="application/vnd.ms-office.activeX+xml"/>
  <Override PartName="/xl/activeX/activeX46.bin" ContentType="application/vnd.ms-office.activeX"/>
  <Override PartName="/xl/activeX/activeX47.xml" ContentType="application/vnd.ms-office.activeX+xml"/>
  <Override PartName="/xl/activeX/activeX47.bin" ContentType="application/vnd.ms-office.activeX"/>
  <Override PartName="/xl/activeX/activeX48.xml" ContentType="application/vnd.ms-office.activeX+xml"/>
  <Override PartName="/xl/activeX/activeX48.bin" ContentType="application/vnd.ms-office.activeX"/>
  <Override PartName="/xl/comments3.xml" ContentType="application/vnd.openxmlformats-officedocument.spreadsheetml.comments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omments4.xml" ContentType="application/vnd.openxmlformats-officedocument.spreadsheetml.comments+xml"/>
  <Override PartName="/xl/threadedComments/threadedComment1.xml" ContentType="application/vnd.ms-excel.threadedcomments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comments5.xml" ContentType="application/vnd.openxmlformats-officedocument.spreadsheetml.comments+xml"/>
  <Override PartName="/xl/threadedComments/threadedComment2.xml" ContentType="application/vnd.ms-excel.threaded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comments6.xml" ContentType="application/vnd.openxmlformats-officedocument.spreadsheetml.comments+xml"/>
  <Override PartName="/xl/threadedComments/threadedComment3.xml" ContentType="application/vnd.ms-excel.threadedcomments+xml"/>
  <Override PartName="/xl/drawings/drawing20.xml" ContentType="application/vnd.openxmlformats-officedocument.drawing+xml"/>
  <Override PartName="/xl/activeX/activeX49.xml" ContentType="application/vnd.ms-office.activeX+xml"/>
  <Override PartName="/xl/activeX/activeX49.bin" ContentType="application/vnd.ms-office.activeX"/>
  <Override PartName="/xl/activeX/activeX50.xml" ContentType="application/vnd.ms-office.activeX+xml"/>
  <Override PartName="/xl/activeX/activeX50.bin" ContentType="application/vnd.ms-office.activeX"/>
  <Override PartName="/xl/activeX/activeX51.xml" ContentType="application/vnd.ms-office.activeX+xml"/>
  <Override PartName="/xl/activeX/activeX51.bin" ContentType="application/vnd.ms-office.activeX"/>
  <Override PartName="/xl/activeX/activeX52.xml" ContentType="application/vnd.ms-office.activeX+xml"/>
  <Override PartName="/xl/activeX/activeX52.bin" ContentType="application/vnd.ms-office.activeX"/>
  <Override PartName="/xl/activeX/activeX53.xml" ContentType="application/vnd.ms-office.activeX+xml"/>
  <Override PartName="/xl/activeX/activeX53.bin" ContentType="application/vnd.ms-office.activeX"/>
  <Override PartName="/xl/activeX/activeX54.xml" ContentType="application/vnd.ms-office.activeX+xml"/>
  <Override PartName="/xl/activeX/activeX54.bin" ContentType="application/vnd.ms-office.activeX"/>
  <Override PartName="/xl/activeX/activeX55.xml" ContentType="application/vnd.ms-office.activeX+xml"/>
  <Override PartName="/xl/activeX/activeX55.bin" ContentType="application/vnd.ms-office.activeX"/>
  <Override PartName="/xl/activeX/activeX56.xml" ContentType="application/vnd.ms-office.activeX+xml"/>
  <Override PartName="/xl/activeX/activeX56.bin" ContentType="application/vnd.ms-office.activeX"/>
  <Override PartName="/xl/comments7.xml" ContentType="application/vnd.openxmlformats-officedocument.spreadsheetml.comments+xml"/>
  <Override PartName="/xl/drawings/drawing21.xml" ContentType="application/vnd.openxmlformats-officedocument.drawing+xml"/>
  <Override PartName="/xl/activeX/activeX57.xml" ContentType="application/vnd.ms-office.activeX+xml"/>
  <Override PartName="/xl/activeX/activeX57.bin" ContentType="application/vnd.ms-office.activeX"/>
  <Override PartName="/xl/activeX/activeX58.xml" ContentType="application/vnd.ms-office.activeX+xml"/>
  <Override PartName="/xl/activeX/activeX58.bin" ContentType="application/vnd.ms-office.activeX"/>
  <Override PartName="/xl/activeX/activeX59.xml" ContentType="application/vnd.ms-office.activeX+xml"/>
  <Override PartName="/xl/activeX/activeX59.bin" ContentType="application/vnd.ms-office.activeX"/>
  <Override PartName="/xl/activeX/activeX60.xml" ContentType="application/vnd.ms-office.activeX+xml"/>
  <Override PartName="/xl/activeX/activeX60.bin" ContentType="application/vnd.ms-office.activeX"/>
  <Override PartName="/xl/drawings/drawing22.xml" ContentType="application/vnd.openxmlformats-officedocument.drawing+xml"/>
  <Override PartName="/xl/activeX/activeX61.xml" ContentType="application/vnd.ms-office.activeX+xml"/>
  <Override PartName="/xl/activeX/activeX61.bin" ContentType="application/vnd.ms-office.activeX"/>
  <Override PartName="/xl/activeX/activeX62.xml" ContentType="application/vnd.ms-office.activeX+xml"/>
  <Override PartName="/xl/activeX/activeX62.bin" ContentType="application/vnd.ms-office.activeX"/>
  <Override PartName="/xl/activeX/activeX63.xml" ContentType="application/vnd.ms-office.activeX+xml"/>
  <Override PartName="/xl/activeX/activeX63.bin" ContentType="application/vnd.ms-office.activeX"/>
  <Override PartName="/xl/activeX/activeX64.xml" ContentType="application/vnd.ms-office.activeX+xml"/>
  <Override PartName="/xl/activeX/activeX64.bin" ContentType="application/vnd.ms-office.activeX"/>
  <Override PartName="/xl/activeX/activeX65.xml" ContentType="application/vnd.ms-office.activeX+xml"/>
  <Override PartName="/xl/activeX/activeX65.bin" ContentType="application/vnd.ms-office.activeX"/>
  <Override PartName="/xl/activeX/activeX66.xml" ContentType="application/vnd.ms-office.activeX+xml"/>
  <Override PartName="/xl/activeX/activeX66.bin" ContentType="application/vnd.ms-office.activeX"/>
  <Override PartName="/xl/activeX/activeX67.xml" ContentType="application/vnd.ms-office.activeX+xml"/>
  <Override PartName="/xl/activeX/activeX67.bin" ContentType="application/vnd.ms-office.activeX"/>
  <Override PartName="/xl/activeX/activeX68.xml" ContentType="application/vnd.ms-office.activeX+xml"/>
  <Override PartName="/xl/activeX/activeX68.bin" ContentType="application/vnd.ms-office.activeX"/>
  <Override PartName="/xl/activeX/activeX69.xml" ContentType="application/vnd.ms-office.activeX+xml"/>
  <Override PartName="/xl/activeX/activeX69.bin" ContentType="application/vnd.ms-office.activeX"/>
  <Override PartName="/xl/activeX/activeX70.xml" ContentType="application/vnd.ms-office.activeX+xml"/>
  <Override PartName="/xl/activeX/activeX70.bin" ContentType="application/vnd.ms-office.activeX"/>
  <Override PartName="/xl/drawings/drawing23.xml" ContentType="application/vnd.openxmlformats-officedocument.drawing+xml"/>
  <Override PartName="/xl/activeX/activeX71.xml" ContentType="application/vnd.ms-office.activeX+xml"/>
  <Override PartName="/xl/activeX/activeX71.bin" ContentType="application/vnd.ms-office.activeX"/>
  <Override PartName="/xl/activeX/activeX72.xml" ContentType="application/vnd.ms-office.activeX+xml"/>
  <Override PartName="/xl/activeX/activeX72.bin" ContentType="application/vnd.ms-office.activeX"/>
  <Override PartName="/xl/activeX/activeX73.xml" ContentType="application/vnd.ms-office.activeX+xml"/>
  <Override PartName="/xl/activeX/activeX73.bin" ContentType="application/vnd.ms-office.activeX"/>
  <Override PartName="/xl/activeX/activeX74.xml" ContentType="application/vnd.ms-office.activeX+xml"/>
  <Override PartName="/xl/activeX/activeX74.bin" ContentType="application/vnd.ms-office.activeX"/>
  <Override PartName="/xl/activeX/activeX75.xml" ContentType="application/vnd.ms-office.activeX+xml"/>
  <Override PartName="/xl/activeX/activeX75.bin" ContentType="application/vnd.ms-office.activeX"/>
  <Override PartName="/xl/activeX/activeX76.xml" ContentType="application/vnd.ms-office.activeX+xml"/>
  <Override PartName="/xl/activeX/activeX76.bin" ContentType="application/vnd.ms-office.activeX"/>
  <Override PartName="/xl/activeX/activeX77.xml" ContentType="application/vnd.ms-office.activeX+xml"/>
  <Override PartName="/xl/activeX/activeX77.bin" ContentType="application/vnd.ms-office.activeX"/>
  <Override PartName="/xl/activeX/activeX78.xml" ContentType="application/vnd.ms-office.activeX+xml"/>
  <Override PartName="/xl/activeX/activeX78.bin" ContentType="application/vnd.ms-office.activeX"/>
  <Override PartName="/xl/drawings/drawing24.xml" ContentType="application/vnd.openxmlformats-officedocument.drawing+xml"/>
  <Override PartName="/xl/activeX/activeX79.xml" ContentType="application/vnd.ms-office.activeX+xml"/>
  <Override PartName="/xl/activeX/activeX79.bin" ContentType="application/vnd.ms-office.activeX"/>
  <Override PartName="/xl/activeX/activeX80.xml" ContentType="application/vnd.ms-office.activeX+xml"/>
  <Override PartName="/xl/activeX/activeX80.bin" ContentType="application/vnd.ms-office.activeX"/>
  <Override PartName="/xl/activeX/activeX81.xml" ContentType="application/vnd.ms-office.activeX+xml"/>
  <Override PartName="/xl/activeX/activeX81.bin" ContentType="application/vnd.ms-office.activeX"/>
  <Override PartName="/xl/activeX/activeX82.xml" ContentType="application/vnd.ms-office.activeX+xml"/>
  <Override PartName="/xl/activeX/activeX82.bin" ContentType="application/vnd.ms-office.activeX"/>
  <Override PartName="/xl/activeX/activeX83.xml" ContentType="application/vnd.ms-office.activeX+xml"/>
  <Override PartName="/xl/activeX/activeX83.bin" ContentType="application/vnd.ms-office.activeX"/>
  <Override PartName="/xl/activeX/activeX84.xml" ContentType="application/vnd.ms-office.activeX+xml"/>
  <Override PartName="/xl/activeX/activeX84.bin" ContentType="application/vnd.ms-office.activeX"/>
  <Override PartName="/xl/activeX/activeX85.xml" ContentType="application/vnd.ms-office.activeX+xml"/>
  <Override PartName="/xl/activeX/activeX85.bin" ContentType="application/vnd.ms-office.activeX"/>
  <Override PartName="/xl/activeX/activeX86.xml" ContentType="application/vnd.ms-office.activeX+xml"/>
  <Override PartName="/xl/activeX/activeX86.bin" ContentType="application/vnd.ms-office.activeX"/>
  <Override PartName="/xl/activeX/activeX87.xml" ContentType="application/vnd.ms-office.activeX+xml"/>
  <Override PartName="/xl/activeX/activeX87.bin" ContentType="application/vnd.ms-office.activeX"/>
  <Override PartName="/xl/activeX/activeX88.xml" ContentType="application/vnd.ms-office.activeX+xml"/>
  <Override PartName="/xl/activeX/activeX88.bin" ContentType="application/vnd.ms-office.activeX"/>
  <Override PartName="/xl/drawings/drawing25.xml" ContentType="application/vnd.openxmlformats-officedocument.drawing+xml"/>
  <Override PartName="/xl/activeX/activeX89.xml" ContentType="application/vnd.ms-office.activeX+xml"/>
  <Override PartName="/xl/activeX/activeX89.bin" ContentType="application/vnd.ms-office.activeX"/>
  <Override PartName="/xl/activeX/activeX90.xml" ContentType="application/vnd.ms-office.activeX+xml"/>
  <Override PartName="/xl/activeX/activeX90.bin" ContentType="application/vnd.ms-office.activeX"/>
  <Override PartName="/xl/activeX/activeX91.xml" ContentType="application/vnd.ms-office.activeX+xml"/>
  <Override PartName="/xl/activeX/activeX91.bin" ContentType="application/vnd.ms-office.activeX"/>
  <Override PartName="/xl/activeX/activeX92.xml" ContentType="application/vnd.ms-office.activeX+xml"/>
  <Override PartName="/xl/activeX/activeX92.bin" ContentType="application/vnd.ms-office.activeX"/>
  <Override PartName="/xl/activeX/activeX93.xml" ContentType="application/vnd.ms-office.activeX+xml"/>
  <Override PartName="/xl/activeX/activeX93.bin" ContentType="application/vnd.ms-office.activeX"/>
  <Override PartName="/xl/activeX/activeX94.xml" ContentType="application/vnd.ms-office.activeX+xml"/>
  <Override PartName="/xl/activeX/activeX94.bin" ContentType="application/vnd.ms-office.activeX"/>
  <Override PartName="/xl/activeX/activeX95.xml" ContentType="application/vnd.ms-office.activeX+xml"/>
  <Override PartName="/xl/activeX/activeX95.bin" ContentType="application/vnd.ms-office.activeX"/>
  <Override PartName="/xl/activeX/activeX96.xml" ContentType="application/vnd.ms-office.activeX+xml"/>
  <Override PartName="/xl/activeX/activeX96.bin" ContentType="application/vnd.ms-office.activeX"/>
  <Override PartName="/xl/activeX/activeX97.xml" ContentType="application/vnd.ms-office.activeX+xml"/>
  <Override PartName="/xl/activeX/activeX97.bin" ContentType="application/vnd.ms-office.activeX"/>
  <Override PartName="/xl/activeX/activeX98.xml" ContentType="application/vnd.ms-office.activeX+xml"/>
  <Override PartName="/xl/activeX/activeX98.bin" ContentType="application/vnd.ms-office.activeX"/>
  <Override PartName="/xl/drawings/drawing26.xml" ContentType="application/vnd.openxmlformats-officedocument.drawing+xml"/>
  <Override PartName="/xl/activeX/activeX99.xml" ContentType="application/vnd.ms-office.activeX+xml"/>
  <Override PartName="/xl/activeX/activeX99.bin" ContentType="application/vnd.ms-office.activeX"/>
  <Override PartName="/xl/activeX/activeX100.xml" ContentType="application/vnd.ms-office.activeX+xml"/>
  <Override PartName="/xl/activeX/activeX100.bin" ContentType="application/vnd.ms-office.activeX"/>
  <Override PartName="/xl/activeX/activeX101.xml" ContentType="application/vnd.ms-office.activeX+xml"/>
  <Override PartName="/xl/activeX/activeX101.bin" ContentType="application/vnd.ms-office.activeX"/>
  <Override PartName="/xl/activeX/activeX102.xml" ContentType="application/vnd.ms-office.activeX+xml"/>
  <Override PartName="/xl/activeX/activeX102.bin" ContentType="application/vnd.ms-office.activeX"/>
  <Override PartName="/xl/activeX/activeX103.xml" ContentType="application/vnd.ms-office.activeX+xml"/>
  <Override PartName="/xl/activeX/activeX103.bin" ContentType="application/vnd.ms-office.activeX"/>
  <Override PartName="/xl/activeX/activeX104.xml" ContentType="application/vnd.ms-office.activeX+xml"/>
  <Override PartName="/xl/activeX/activeX104.bin" ContentType="application/vnd.ms-office.activeX"/>
  <Override PartName="/xl/activeX/activeX105.xml" ContentType="application/vnd.ms-office.activeX+xml"/>
  <Override PartName="/xl/activeX/activeX105.bin" ContentType="application/vnd.ms-office.activeX"/>
  <Override PartName="/xl/activeX/activeX106.xml" ContentType="application/vnd.ms-office.activeX+xml"/>
  <Override PartName="/xl/activeX/activeX106.bin" ContentType="application/vnd.ms-office.activeX"/>
  <Override PartName="/xl/drawings/drawing27.xml" ContentType="application/vnd.openxmlformats-officedocument.drawing+xml"/>
  <Override PartName="/xl/activeX/activeX107.xml" ContentType="application/vnd.ms-office.activeX+xml"/>
  <Override PartName="/xl/activeX/activeX107.bin" ContentType="application/vnd.ms-office.activeX"/>
  <Override PartName="/xl/activeX/activeX108.xml" ContentType="application/vnd.ms-office.activeX+xml"/>
  <Override PartName="/xl/activeX/activeX108.bin" ContentType="application/vnd.ms-office.activeX"/>
  <Override PartName="/xl/activeX/activeX109.xml" ContentType="application/vnd.ms-office.activeX+xml"/>
  <Override PartName="/xl/activeX/activeX109.bin" ContentType="application/vnd.ms-office.activeX"/>
  <Override PartName="/xl/activeX/activeX110.xml" ContentType="application/vnd.ms-office.activeX+xml"/>
  <Override PartName="/xl/activeX/activeX110.bin" ContentType="application/vnd.ms-office.activeX"/>
  <Override PartName="/xl/activeX/activeX111.xml" ContentType="application/vnd.ms-office.activeX+xml"/>
  <Override PartName="/xl/activeX/activeX111.bin" ContentType="application/vnd.ms-office.activeX"/>
  <Override PartName="/xl/activeX/activeX112.xml" ContentType="application/vnd.ms-office.activeX+xml"/>
  <Override PartName="/xl/activeX/activeX112.bin" ContentType="application/vnd.ms-office.activeX"/>
  <Override PartName="/xl/activeX/activeX113.xml" ContentType="application/vnd.ms-office.activeX+xml"/>
  <Override PartName="/xl/activeX/activeX113.bin" ContentType="application/vnd.ms-office.activeX"/>
  <Override PartName="/xl/activeX/activeX114.xml" ContentType="application/vnd.ms-office.activeX+xml"/>
  <Override PartName="/xl/activeX/activeX114.bin" ContentType="application/vnd.ms-office.activeX"/>
  <Override PartName="/xl/activeX/activeX115.xml" ContentType="application/vnd.ms-office.activeX+xml"/>
  <Override PartName="/xl/activeX/activeX115.bin" ContentType="application/vnd.ms-office.activeX"/>
  <Override PartName="/xl/activeX/activeX116.xml" ContentType="application/vnd.ms-office.activeX+xml"/>
  <Override PartName="/xl/activeX/activeX116.bin" ContentType="application/vnd.ms-office.activeX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codeName="ThisWorkbook"/>
  <mc:AlternateContent xmlns:mc="http://schemas.openxmlformats.org/markup-compatibility/2006">
    <mc:Choice Requires="x15">
      <x15ac:absPath xmlns:x15ac="http://schemas.microsoft.com/office/spreadsheetml/2010/11/ac" url="C:\Models\SATIMGE_Veda\"/>
    </mc:Choice>
  </mc:AlternateContent>
  <xr:revisionPtr revIDLastSave="0" documentId="13_ncr:1_{9C1F9D0A-E8A7-4CCE-8BC2-BF95288C72BE}" xr6:coauthVersionLast="47" xr6:coauthVersionMax="47" xr10:uidLastSave="{00000000-0000-0000-0000-000000000000}"/>
  <bookViews>
    <workbookView xWindow="-120" yWindow="-120" windowWidth="38640" windowHeight="21240" tabRatio="759" firstSheet="2" activeTab="13" xr2:uid="{01C5F1A3-3E45-467D-9726-EEF4E68E73D8}"/>
  </bookViews>
  <sheets>
    <sheet name="Issues outstanding" sheetId="73" r:id="rId1"/>
    <sheet name="Log" sheetId="72" r:id="rId2"/>
    <sheet name="Index" sheetId="60" r:id="rId3"/>
    <sheet name="RES" sheetId="52" r:id="rId4"/>
    <sheet name="EB_Exist" sheetId="27" r:id="rId5"/>
    <sheet name="ANSv2-692-REGIONS" sheetId="18" state="veryHidden" r:id="rId6"/>
    <sheet name="ANSv2-692-Commodities" sheetId="19" state="veryHidden" r:id="rId7"/>
    <sheet name="Commodities_BASE" sheetId="29" r:id="rId8"/>
    <sheet name="ANSv2-692-Processes" sheetId="20" state="veryHidden" r:id="rId9"/>
    <sheet name="ANSv2-692-Constraints" sheetId="23" state="veryHidden" r:id="rId10"/>
    <sheet name="ANSv2-692-CommData" sheetId="21" state="veryHidden" r:id="rId11"/>
    <sheet name="Processes_BASE" sheetId="31" r:id="rId12"/>
    <sheet name="CommData_BASE" sheetId="30" r:id="rId13"/>
    <sheet name="ProcData_PGM" sheetId="56" r:id="rId14"/>
    <sheet name="ANSv2-692-ProcData" sheetId="25" state="veryHidden" r:id="rId15"/>
    <sheet name="ProcData_PGMexports" sheetId="74" r:id="rId16"/>
    <sheet name="PGM methodology" sheetId="65" r:id="rId17"/>
    <sheet name="Production of minerals" sheetId="61" r:id="rId18"/>
    <sheet name="Energy data" sheetId="62" r:id="rId19"/>
    <sheet name="Students report" sheetId="63" r:id="rId20"/>
    <sheet name="Mudd 2009 paper" sheetId="64" r:id="rId21"/>
    <sheet name="Sheet1" sheetId="71" r:id="rId22"/>
    <sheet name="Waterberg project" sheetId="70" r:id="rId23"/>
    <sheet name="Costs" sheetId="66" r:id="rId24"/>
    <sheet name="Students worksheet" sheetId="67" r:id="rId25"/>
    <sheet name="Minerals council report 2017" sheetId="68" r:id="rId26"/>
    <sheet name="Brunos EB" sheetId="69" r:id="rId27"/>
    <sheet name="ANSv2-692-ConstrData" sheetId="24" state="veryHidden" r:id="rId28"/>
    <sheet name="ANSv2-692-ITEMS" sheetId="10" state="veryHidden" r:id="rId29"/>
    <sheet name="ANSv2-692-TS DATA" sheetId="12" state="veryHidden" r:id="rId30"/>
    <sheet name="ANSv2-692-TID DATA" sheetId="13" state="veryHidden" r:id="rId31"/>
    <sheet name="ANSv2-692-TS&amp;TID DATA" sheetId="14" state="veryHidden" r:id="rId32"/>
    <sheet name="ANSv2-692-TS TRADE" sheetId="15" state="veryHidden" r:id="rId33"/>
    <sheet name="ANSv2-692-TID TRADE" sheetId="16" state="veryHidden" r:id="rId34"/>
    <sheet name="ANSv2-692-TS&amp;TID TRADE" sheetId="17" state="veryHidden" r:id="rId35"/>
  </sheets>
  <externalReferences>
    <externalReference r:id="rId36"/>
    <externalReference r:id="rId37"/>
  </externalReferences>
  <definedNames>
    <definedName name="LOCAL_MYSQL_DATE_FORMAT" localSheetId="4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15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1" i="74" l="1"/>
  <c r="D10" i="74"/>
  <c r="H17" i="30"/>
  <c r="I17" i="30"/>
  <c r="J17" i="30"/>
  <c r="G17" i="30"/>
  <c r="E17" i="30"/>
  <c r="L85" i="65" l="1"/>
  <c r="M70" i="65" l="1"/>
  <c r="L7" i="74"/>
  <c r="M7" i="74"/>
  <c r="N7" i="74"/>
  <c r="K7" i="74"/>
  <c r="J7" i="74"/>
  <c r="I7" i="74"/>
  <c r="H7" i="74"/>
  <c r="G7" i="74"/>
  <c r="A2" i="74"/>
  <c r="R7" i="56"/>
  <c r="Q7" i="56" l="1"/>
  <c r="P7" i="56"/>
  <c r="O7" i="56"/>
  <c r="N7" i="56"/>
  <c r="M7" i="56"/>
  <c r="K7" i="56"/>
  <c r="L7" i="56"/>
  <c r="I7" i="56"/>
  <c r="J7" i="56"/>
  <c r="H7" i="56"/>
  <c r="G7" i="56"/>
  <c r="A2" i="56"/>
  <c r="A2" i="31"/>
  <c r="A1" i="31" l="1"/>
  <c r="A2" i="29" l="1"/>
  <c r="M10" i="60" a="1"/>
  <c r="M10" i="60" s="1"/>
  <c r="AB1" i="56" l="1"/>
  <c r="AA1" i="56"/>
  <c r="Z1" i="56"/>
  <c r="Y1" i="56"/>
  <c r="G24" i="27"/>
  <c r="Q14" i="60"/>
  <c r="Q15" i="60" s="1"/>
  <c r="N15" i="60"/>
  <c r="N16" i="60"/>
  <c r="Q29" i="65" s="1"/>
  <c r="Q16" i="60" l="1"/>
  <c r="Q44" i="65" s="1"/>
  <c r="Q34" i="65"/>
  <c r="E10" i="60"/>
  <c r="J5" i="74"/>
  <c r="E9" i="74"/>
  <c r="D9" i="74"/>
  <c r="I5" i="74" s="1"/>
  <c r="A8" i="74"/>
  <c r="D11" i="60"/>
  <c r="Q39" i="65" l="1"/>
  <c r="C13" i="31"/>
  <c r="C11" i="74" s="1"/>
  <c r="B13" i="31"/>
  <c r="B11" i="74" s="1"/>
  <c r="C12" i="31"/>
  <c r="C10" i="74" s="1"/>
  <c r="B12" i="31"/>
  <c r="B10" i="74" s="1"/>
  <c r="C11" i="31"/>
  <c r="C9" i="74" s="1"/>
  <c r="B11" i="31"/>
  <c r="B9" i="74" s="1"/>
  <c r="B8" i="30"/>
  <c r="C15" i="29"/>
  <c r="B15" i="29"/>
  <c r="I8" i="27"/>
  <c r="H8" i="27"/>
  <c r="I7" i="27"/>
  <c r="H7" i="27"/>
  <c r="D6" i="27"/>
  <c r="C6" i="27"/>
  <c r="B6" i="27"/>
  <c r="A6" i="27"/>
  <c r="H22" i="65" l="1"/>
  <c r="J22" i="65"/>
  <c r="H8" i="30" s="1"/>
  <c r="I17" i="65"/>
  <c r="I22" i="65" s="1"/>
  <c r="J17" i="65"/>
  <c r="K17" i="65"/>
  <c r="K19" i="65" s="1"/>
  <c r="L17" i="65"/>
  <c r="I18" i="65"/>
  <c r="J18" i="65"/>
  <c r="K18" i="65"/>
  <c r="L18" i="65"/>
  <c r="H18" i="65"/>
  <c r="H17" i="65"/>
  <c r="G17" i="65" s="1"/>
  <c r="G22" i="65" s="1"/>
  <c r="G8" i="30" l="1"/>
  <c r="E8" i="30"/>
  <c r="K22" i="65"/>
  <c r="I8" i="30" s="1"/>
  <c r="F8" i="30"/>
  <c r="L19" i="65"/>
  <c r="L22" i="65"/>
  <c r="I19" i="65"/>
  <c r="J19" i="65"/>
  <c r="H19" i="65"/>
  <c r="J8" i="30" l="1"/>
  <c r="M8" i="30" s="1"/>
  <c r="N8" i="30" s="1"/>
  <c r="D34" i="27"/>
  <c r="F6" i="27" s="1"/>
  <c r="P10" i="71"/>
  <c r="H10" i="71"/>
  <c r="H11" i="71" s="1"/>
  <c r="I10" i="71"/>
  <c r="I11" i="71" s="1"/>
  <c r="J10" i="71"/>
  <c r="J11" i="71" s="1"/>
  <c r="K10" i="71"/>
  <c r="K11" i="71" s="1"/>
  <c r="L10" i="71"/>
  <c r="L11" i="71" s="1"/>
  <c r="M10" i="71"/>
  <c r="M11" i="71" s="1"/>
  <c r="N10" i="71"/>
  <c r="N11" i="71" s="1"/>
  <c r="O10" i="71"/>
  <c r="O11" i="71" s="1"/>
  <c r="P11" i="71"/>
  <c r="G11" i="71"/>
  <c r="G10" i="71"/>
  <c r="L86" i="65" l="1"/>
  <c r="P19" i="56" s="1"/>
  <c r="N26" i="70" l="1"/>
  <c r="L84" i="65" s="1"/>
  <c r="O19" i="56" s="1"/>
  <c r="L66" i="70"/>
  <c r="L67" i="70" s="1"/>
  <c r="E20" i="56" l="1"/>
  <c r="E19" i="56"/>
  <c r="D18" i="56"/>
  <c r="D17" i="56"/>
  <c r="D16" i="56"/>
  <c r="D15" i="56"/>
  <c r="C15" i="56"/>
  <c r="B15" i="56"/>
  <c r="G4" i="65"/>
  <c r="H4" i="65"/>
  <c r="I4" i="65"/>
  <c r="I46" i="65" s="1"/>
  <c r="G46" i="65" l="1"/>
  <c r="I47" i="65"/>
  <c r="H47" i="65"/>
  <c r="H46" i="65"/>
  <c r="G47" i="65"/>
  <c r="W64" i="64" l="1"/>
  <c r="F29" i="68" l="1"/>
  <c r="G29" i="68"/>
  <c r="H29" i="68"/>
  <c r="I29" i="68"/>
  <c r="E29" i="68"/>
  <c r="L25" i="70"/>
  <c r="L40" i="70"/>
  <c r="O99" i="70"/>
  <c r="N23" i="70"/>
  <c r="N22" i="70"/>
  <c r="D12" i="56"/>
  <c r="V5" i="56" s="1"/>
  <c r="B13" i="27"/>
  <c r="A13" i="27"/>
  <c r="L4" i="65"/>
  <c r="L47" i="65" s="1"/>
  <c r="K4" i="65"/>
  <c r="K47" i="65" s="1"/>
  <c r="J4" i="65"/>
  <c r="J47" i="65" s="1"/>
  <c r="E14" i="56"/>
  <c r="X5" i="56" s="1"/>
  <c r="N25" i="70" l="1"/>
  <c r="N19" i="56" s="1"/>
  <c r="J46" i="65"/>
  <c r="K46" i="65"/>
  <c r="L46" i="65"/>
  <c r="B5" i="27"/>
  <c r="A5" i="27"/>
  <c r="D28" i="27"/>
  <c r="I4" i="69"/>
  <c r="E13" i="56"/>
  <c r="T23" i="69"/>
  <c r="U23" i="69" s="1"/>
  <c r="V23" i="69" s="1"/>
  <c r="W23" i="69" s="1"/>
  <c r="X23" i="69" s="1"/>
  <c r="X20" i="69"/>
  <c r="W20" i="69"/>
  <c r="V20" i="69"/>
  <c r="F7" i="69"/>
  <c r="F6" i="69"/>
  <c r="S5" i="69"/>
  <c r="F5" i="69"/>
  <c r="F4" i="69"/>
  <c r="J5" i="69" l="1"/>
  <c r="J6" i="69"/>
  <c r="F4" i="27"/>
  <c r="H13" i="56" s="1"/>
  <c r="G28" i="27"/>
  <c r="K6" i="69"/>
  <c r="F8" i="69"/>
  <c r="G8" i="69" s="1"/>
  <c r="AG61" i="67"/>
  <c r="AG60" i="67"/>
  <c r="AJ55" i="67"/>
  <c r="AJ54" i="67"/>
  <c r="D44" i="67"/>
  <c r="D46" i="67" s="1"/>
  <c r="B44" i="67"/>
  <c r="C44" i="67" s="1"/>
  <c r="C30" i="67"/>
  <c r="C29" i="67"/>
  <c r="C28" i="67"/>
  <c r="Q26" i="67"/>
  <c r="R23" i="67"/>
  <c r="P23" i="67"/>
  <c r="Q22" i="67"/>
  <c r="P22" i="67"/>
  <c r="AH17" i="67"/>
  <c r="AF17" i="67"/>
  <c r="AI17" i="67" s="1"/>
  <c r="AG16" i="67"/>
  <c r="AF16" i="67"/>
  <c r="AI16" i="67" s="1"/>
  <c r="AH15" i="67"/>
  <c r="AG15" i="67"/>
  <c r="AF15" i="67"/>
  <c r="AG14" i="67"/>
  <c r="AI14" i="67" s="1"/>
  <c r="AH13" i="67"/>
  <c r="AI13" i="67" s="1"/>
  <c r="P13" i="67"/>
  <c r="Q13" i="67" s="1"/>
  <c r="J13" i="67"/>
  <c r="J12" i="67"/>
  <c r="E11" i="67"/>
  <c r="D11" i="67"/>
  <c r="C11" i="67"/>
  <c r="B11" i="67"/>
  <c r="O8" i="67"/>
  <c r="E8" i="67"/>
  <c r="E14" i="67" s="1"/>
  <c r="D8" i="67"/>
  <c r="D14" i="67" s="1"/>
  <c r="C8" i="67"/>
  <c r="C15" i="67" s="1"/>
  <c r="B8" i="67"/>
  <c r="B15" i="67" s="1"/>
  <c r="O7" i="67"/>
  <c r="P14" i="67" s="1"/>
  <c r="Q14" i="67" s="1"/>
  <c r="F7" i="67"/>
  <c r="O6" i="67"/>
  <c r="P11" i="67" s="1"/>
  <c r="F6" i="67"/>
  <c r="F5" i="67"/>
  <c r="F4" i="67"/>
  <c r="L186" i="66"/>
  <c r="L185" i="66"/>
  <c r="L184" i="66"/>
  <c r="L183" i="66"/>
  <c r="L182" i="66"/>
  <c r="L181" i="66"/>
  <c r="L180" i="66"/>
  <c r="L179" i="66"/>
  <c r="L178" i="66"/>
  <c r="L177" i="66"/>
  <c r="L176" i="66"/>
  <c r="L175" i="66"/>
  <c r="L174" i="66"/>
  <c r="L173" i="66"/>
  <c r="L172" i="66"/>
  <c r="L171" i="66"/>
  <c r="L170" i="66"/>
  <c r="L169" i="66"/>
  <c r="L168" i="66"/>
  <c r="L167" i="66"/>
  <c r="L166" i="66"/>
  <c r="L165" i="66"/>
  <c r="L164" i="66"/>
  <c r="L163" i="66"/>
  <c r="L162" i="66"/>
  <c r="L161" i="66"/>
  <c r="L160" i="66"/>
  <c r="L159" i="66"/>
  <c r="L158" i="66"/>
  <c r="L157" i="66"/>
  <c r="L156" i="66"/>
  <c r="L155" i="66"/>
  <c r="L154" i="66"/>
  <c r="L153" i="66"/>
  <c r="L152" i="66"/>
  <c r="L151" i="66"/>
  <c r="L150" i="66"/>
  <c r="L149" i="66"/>
  <c r="L148" i="66"/>
  <c r="L147" i="66"/>
  <c r="L146" i="66"/>
  <c r="L145" i="66"/>
  <c r="L144" i="66"/>
  <c r="L143" i="66"/>
  <c r="L142" i="66"/>
  <c r="L141" i="66"/>
  <c r="L140" i="66"/>
  <c r="L139" i="66"/>
  <c r="L138" i="66"/>
  <c r="L137" i="66"/>
  <c r="L136" i="66"/>
  <c r="L135" i="66"/>
  <c r="L134" i="66"/>
  <c r="L133" i="66"/>
  <c r="L132" i="66"/>
  <c r="L131" i="66"/>
  <c r="L130" i="66"/>
  <c r="L129" i="66"/>
  <c r="L128" i="66"/>
  <c r="L127" i="66"/>
  <c r="L126" i="66"/>
  <c r="L125" i="66"/>
  <c r="L124" i="66"/>
  <c r="L123" i="66"/>
  <c r="L122" i="66"/>
  <c r="L121" i="66"/>
  <c r="L120" i="66"/>
  <c r="L119" i="66"/>
  <c r="L118" i="66"/>
  <c r="L117" i="66"/>
  <c r="L116" i="66"/>
  <c r="L115" i="66"/>
  <c r="L114" i="66"/>
  <c r="L113" i="66"/>
  <c r="L112" i="66"/>
  <c r="L111" i="66"/>
  <c r="L110" i="66"/>
  <c r="L109" i="66"/>
  <c r="L108" i="66"/>
  <c r="L107" i="66"/>
  <c r="L106" i="66"/>
  <c r="L105" i="66"/>
  <c r="L104" i="66"/>
  <c r="L103" i="66"/>
  <c r="L102" i="66"/>
  <c r="L101" i="66"/>
  <c r="L100" i="66"/>
  <c r="L99" i="66"/>
  <c r="L98" i="66"/>
  <c r="L97" i="66"/>
  <c r="L96" i="66"/>
  <c r="L95" i="66"/>
  <c r="L94" i="66"/>
  <c r="L93" i="66"/>
  <c r="L92" i="66"/>
  <c r="L91" i="66"/>
  <c r="L90" i="66"/>
  <c r="L89" i="66"/>
  <c r="L88" i="66"/>
  <c r="L87" i="66"/>
  <c r="L86" i="66"/>
  <c r="L85" i="66"/>
  <c r="L84" i="66"/>
  <c r="L83" i="66"/>
  <c r="L82" i="66"/>
  <c r="L81" i="66"/>
  <c r="L80" i="66"/>
  <c r="L79" i="66"/>
  <c r="L78" i="66"/>
  <c r="L77" i="66"/>
  <c r="L76" i="66"/>
  <c r="L75" i="66"/>
  <c r="L74" i="66"/>
  <c r="L73" i="66"/>
  <c r="L72" i="66"/>
  <c r="L71" i="66"/>
  <c r="L70" i="66"/>
  <c r="L69" i="66"/>
  <c r="L68" i="66"/>
  <c r="L67" i="66"/>
  <c r="L66" i="66"/>
  <c r="L65" i="66"/>
  <c r="L64" i="66"/>
  <c r="L63" i="66"/>
  <c r="L62" i="66"/>
  <c r="L61" i="66"/>
  <c r="L60" i="66"/>
  <c r="L59" i="66"/>
  <c r="L58" i="66"/>
  <c r="L57" i="66"/>
  <c r="L56" i="66"/>
  <c r="L55" i="66"/>
  <c r="L54" i="66"/>
  <c r="L53" i="66"/>
  <c r="L52" i="66"/>
  <c r="L51" i="66"/>
  <c r="L50" i="66"/>
  <c r="L49" i="66"/>
  <c r="L48" i="66"/>
  <c r="L47" i="66"/>
  <c r="L46" i="66"/>
  <c r="L45" i="66"/>
  <c r="L44" i="66"/>
  <c r="L43" i="66"/>
  <c r="L42" i="66"/>
  <c r="L41" i="66"/>
  <c r="L40" i="66"/>
  <c r="L39" i="66"/>
  <c r="L38" i="66"/>
  <c r="L37" i="66"/>
  <c r="L36" i="66"/>
  <c r="X35" i="66"/>
  <c r="L35" i="66"/>
  <c r="L34" i="66"/>
  <c r="L33" i="66"/>
  <c r="L32" i="66"/>
  <c r="L31" i="66"/>
  <c r="L30" i="66"/>
  <c r="L29" i="66"/>
  <c r="L28" i="66"/>
  <c r="L27" i="66"/>
  <c r="L26" i="66"/>
  <c r="L25" i="66"/>
  <c r="L24" i="66"/>
  <c r="L23" i="66"/>
  <c r="L22" i="66"/>
  <c r="L21" i="66"/>
  <c r="L20" i="66"/>
  <c r="L19" i="66"/>
  <c r="L18" i="66"/>
  <c r="L17" i="66"/>
  <c r="L16" i="66"/>
  <c r="L15" i="66"/>
  <c r="E15" i="66"/>
  <c r="L14" i="66"/>
  <c r="L13" i="66"/>
  <c r="L12" i="66"/>
  <c r="L11" i="66"/>
  <c r="L10" i="66"/>
  <c r="O10" i="66" s="1"/>
  <c r="L9" i="66"/>
  <c r="E9" i="66"/>
  <c r="W8" i="66"/>
  <c r="T6" i="66" s="1"/>
  <c r="E7" i="66" s="1"/>
  <c r="L8" i="66"/>
  <c r="T7" i="66"/>
  <c r="E8" i="66" s="1"/>
  <c r="L7" i="66"/>
  <c r="O9" i="66" s="1"/>
  <c r="U5" i="66"/>
  <c r="T5" i="66"/>
  <c r="E6" i="66" s="1"/>
  <c r="X34" i="65"/>
  <c r="W34" i="65"/>
  <c r="Z64" i="64"/>
  <c r="Y64" i="64"/>
  <c r="X64" i="64"/>
  <c r="V64" i="64"/>
  <c r="AA62" i="64"/>
  <c r="AA61" i="64"/>
  <c r="AA60" i="64"/>
  <c r="AA59" i="64"/>
  <c r="AA64" i="64" s="1"/>
  <c r="Y20" i="64"/>
  <c r="Y22" i="64" s="1"/>
  <c r="W20" i="64"/>
  <c r="AA19" i="64"/>
  <c r="W19" i="64"/>
  <c r="W18" i="64"/>
  <c r="AA18" i="64" s="1"/>
  <c r="W17" i="64"/>
  <c r="AA17" i="64" s="1"/>
  <c r="O50" i="62"/>
  <c r="P50" i="62" s="1"/>
  <c r="O49" i="62"/>
  <c r="P49" i="62" s="1"/>
  <c r="O48" i="62"/>
  <c r="P48" i="62" s="1"/>
  <c r="P47" i="62"/>
  <c r="O47" i="62"/>
  <c r="O13" i="62"/>
  <c r="N13" i="62"/>
  <c r="O12" i="62"/>
  <c r="O14" i="62" s="1"/>
  <c r="N12" i="62"/>
  <c r="E26" i="61"/>
  <c r="E25" i="61"/>
  <c r="E24" i="61"/>
  <c r="E22" i="61"/>
  <c r="I16" i="61"/>
  <c r="I15" i="61"/>
  <c r="J12" i="61"/>
  <c r="I12" i="61" s="1"/>
  <c r="J11" i="61"/>
  <c r="I11" i="61" s="1"/>
  <c r="I9" i="61"/>
  <c r="I6" i="61"/>
  <c r="AC54" i="67" l="1"/>
  <c r="AJ14" i="67"/>
  <c r="W65" i="64"/>
  <c r="F8" i="65" s="1"/>
  <c r="B13" i="67"/>
  <c r="AI15" i="67"/>
  <c r="AD54" i="67" s="1"/>
  <c r="Y65" i="64"/>
  <c r="E13" i="67"/>
  <c r="O8" i="66"/>
  <c r="Z65" i="64"/>
  <c r="X65" i="64"/>
  <c r="B14" i="67"/>
  <c r="O7" i="66"/>
  <c r="O11" i="66"/>
  <c r="B12" i="67"/>
  <c r="E12" i="67"/>
  <c r="E15" i="67"/>
  <c r="T14" i="67" s="1"/>
  <c r="P15" i="67"/>
  <c r="Q15" i="67" s="1"/>
  <c r="H40" i="65"/>
  <c r="I40" i="65"/>
  <c r="G40" i="65"/>
  <c r="H41" i="65"/>
  <c r="G41" i="65"/>
  <c r="I41" i="65"/>
  <c r="L41" i="65"/>
  <c r="O41" i="65" s="1"/>
  <c r="J41" i="65"/>
  <c r="K41" i="65"/>
  <c r="J40" i="65"/>
  <c r="L40" i="65"/>
  <c r="O40" i="65" s="1"/>
  <c r="K40" i="65"/>
  <c r="G5" i="69"/>
  <c r="G6" i="69"/>
  <c r="G4" i="69"/>
  <c r="G7" i="69"/>
  <c r="V14" i="67"/>
  <c r="R54" i="67"/>
  <c r="U14" i="67"/>
  <c r="S14" i="67"/>
  <c r="R14" i="67"/>
  <c r="V32" i="65" s="1"/>
  <c r="V15" i="67"/>
  <c r="U15" i="67"/>
  <c r="R26" i="67" s="1"/>
  <c r="S15" i="67"/>
  <c r="P26" i="67" s="1"/>
  <c r="R15" i="67"/>
  <c r="O26" i="67" s="1"/>
  <c r="S55" i="67"/>
  <c r="AE54" i="67"/>
  <c r="AJ16" i="67"/>
  <c r="B46" i="67"/>
  <c r="C46" i="67"/>
  <c r="AB54" i="67"/>
  <c r="AJ13" i="67"/>
  <c r="AB55" i="67"/>
  <c r="AG55" i="67" s="1"/>
  <c r="Q11" i="67"/>
  <c r="P12" i="67"/>
  <c r="Q12" i="67" s="1"/>
  <c r="Q25" i="67"/>
  <c r="Y32" i="65"/>
  <c r="Q54" i="67"/>
  <c r="V13" i="67"/>
  <c r="U13" i="67"/>
  <c r="I19" i="61"/>
  <c r="E23" i="61"/>
  <c r="AJ17" i="67"/>
  <c r="AF55" i="67"/>
  <c r="D15" i="67"/>
  <c r="T13" i="67" s="1"/>
  <c r="AA20" i="64"/>
  <c r="AA22" i="64" s="1"/>
  <c r="C13" i="67"/>
  <c r="AC55" i="67"/>
  <c r="D13" i="67"/>
  <c r="S13" i="67" s="1"/>
  <c r="AC64" i="64"/>
  <c r="F8" i="67"/>
  <c r="C12" i="67"/>
  <c r="D12" i="67"/>
  <c r="R13" i="67" s="1"/>
  <c r="C14" i="67"/>
  <c r="W13" i="56" l="1"/>
  <c r="W19" i="56" s="1"/>
  <c r="J12" i="65"/>
  <c r="J23" i="65" s="1"/>
  <c r="F9" i="65"/>
  <c r="X14" i="56" s="1"/>
  <c r="X20" i="56" s="1"/>
  <c r="K12" i="65"/>
  <c r="K23" i="65" s="1"/>
  <c r="L12" i="65"/>
  <c r="L23" i="65" s="1"/>
  <c r="I12" i="65"/>
  <c r="I23" i="65" s="1"/>
  <c r="G12" i="65"/>
  <c r="G23" i="65" s="1"/>
  <c r="H12" i="65"/>
  <c r="H23" i="65" s="1"/>
  <c r="J29" i="65"/>
  <c r="G29" i="65"/>
  <c r="H29" i="65"/>
  <c r="I29" i="65"/>
  <c r="K29" i="65"/>
  <c r="L29" i="65"/>
  <c r="AJ15" i="67"/>
  <c r="D29" i="27"/>
  <c r="G13" i="65"/>
  <c r="G24" i="65" s="1"/>
  <c r="H13" i="65"/>
  <c r="H24" i="65" s="1"/>
  <c r="I13" i="65"/>
  <c r="I24" i="65" s="1"/>
  <c r="H32" i="65"/>
  <c r="I32" i="65"/>
  <c r="G32" i="65"/>
  <c r="J32" i="65"/>
  <c r="K32" i="65"/>
  <c r="L32" i="65"/>
  <c r="L13" i="65"/>
  <c r="L24" i="65" s="1"/>
  <c r="K13" i="65"/>
  <c r="K24" i="65" s="1"/>
  <c r="J13" i="65"/>
  <c r="J24" i="65" s="1"/>
  <c r="P24" i="67"/>
  <c r="X33" i="65"/>
  <c r="P25" i="67"/>
  <c r="X32" i="65"/>
  <c r="W32" i="65"/>
  <c r="R25" i="67"/>
  <c r="AG54" i="67"/>
  <c r="Q24" i="67"/>
  <c r="Y33" i="65"/>
  <c r="O24" i="67"/>
  <c r="V33" i="65"/>
  <c r="V12" i="67"/>
  <c r="P54" i="67"/>
  <c r="P55" i="67" s="1"/>
  <c r="T12" i="67"/>
  <c r="R12" i="67"/>
  <c r="E27" i="61"/>
  <c r="R24" i="67"/>
  <c r="W33" i="65"/>
  <c r="O25" i="67"/>
  <c r="V11" i="67"/>
  <c r="U11" i="67"/>
  <c r="R11" i="67"/>
  <c r="O54" i="67"/>
  <c r="L10" i="74" l="1"/>
  <c r="D35" i="27"/>
  <c r="K7" i="27" s="1"/>
  <c r="L11" i="74"/>
  <c r="D36" i="27"/>
  <c r="K8" i="27" s="1"/>
  <c r="L62" i="65"/>
  <c r="O29" i="65"/>
  <c r="D30" i="27"/>
  <c r="G35" i="65"/>
  <c r="I35" i="65"/>
  <c r="H35" i="65"/>
  <c r="I37" i="65"/>
  <c r="G37" i="65"/>
  <c r="H37" i="65"/>
  <c r="I30" i="65"/>
  <c r="G30" i="65"/>
  <c r="H30" i="65"/>
  <c r="I31" i="65"/>
  <c r="H31" i="65"/>
  <c r="G31" i="65"/>
  <c r="I36" i="65"/>
  <c r="G36" i="65"/>
  <c r="H36" i="65"/>
  <c r="G34" i="65"/>
  <c r="I34" i="65"/>
  <c r="H34" i="65"/>
  <c r="J34" i="65"/>
  <c r="K34" i="65"/>
  <c r="L34" i="65"/>
  <c r="J30" i="65"/>
  <c r="L30" i="65"/>
  <c r="O30" i="65" s="1"/>
  <c r="K30" i="65"/>
  <c r="L36" i="65"/>
  <c r="O36" i="65" s="1"/>
  <c r="K36" i="65"/>
  <c r="J36" i="65"/>
  <c r="J35" i="65"/>
  <c r="K35" i="65"/>
  <c r="L35" i="65"/>
  <c r="O35" i="65" s="1"/>
  <c r="L37" i="65"/>
  <c r="O37" i="65" s="1"/>
  <c r="J37" i="65"/>
  <c r="K37" i="65"/>
  <c r="L31" i="65"/>
  <c r="O31" i="65" s="1"/>
  <c r="K31" i="65"/>
  <c r="J31" i="65"/>
  <c r="V34" i="65"/>
  <c r="O23" i="67"/>
  <c r="F24" i="61"/>
  <c r="F27" i="61"/>
  <c r="F25" i="61"/>
  <c r="F22" i="61"/>
  <c r="F26" i="61"/>
  <c r="T54" i="67"/>
  <c r="O55" i="67"/>
  <c r="T55" i="67" s="1"/>
  <c r="F23" i="61"/>
  <c r="Y34" i="65"/>
  <c r="Q23" i="67"/>
  <c r="O22" i="67"/>
  <c r="V35" i="65"/>
  <c r="W35" i="65"/>
  <c r="R22" i="67"/>
  <c r="O52" i="65" l="1"/>
  <c r="G20" i="27" s="1"/>
  <c r="Y9" i="56" s="1"/>
  <c r="L63" i="65"/>
  <c r="O34" i="65"/>
  <c r="M11" i="74"/>
  <c r="N11" i="74" s="1"/>
  <c r="M10" i="74"/>
  <c r="N10" i="74" s="1"/>
  <c r="H52" i="65"/>
  <c r="I45" i="65"/>
  <c r="I51" i="65" s="1"/>
  <c r="H45" i="65"/>
  <c r="H51" i="65" s="1"/>
  <c r="G45" i="65"/>
  <c r="G51" i="65" s="1"/>
  <c r="G39" i="65"/>
  <c r="I39" i="65"/>
  <c r="H39" i="65"/>
  <c r="G44" i="65"/>
  <c r="I44" i="65"/>
  <c r="H44" i="65"/>
  <c r="I52" i="65"/>
  <c r="G42" i="65"/>
  <c r="G53" i="65" s="1"/>
  <c r="I42" i="65"/>
  <c r="I53" i="65" s="1"/>
  <c r="H42" i="65"/>
  <c r="H53" i="65" s="1"/>
  <c r="G52" i="65"/>
  <c r="J45" i="65"/>
  <c r="J51" i="65" s="1"/>
  <c r="L45" i="65"/>
  <c r="K45" i="65"/>
  <c r="K51" i="65" s="1"/>
  <c r="J52" i="65"/>
  <c r="J39" i="65"/>
  <c r="J50" i="65" s="1"/>
  <c r="K39" i="65"/>
  <c r="L39" i="65"/>
  <c r="L42" i="65"/>
  <c r="J42" i="65"/>
  <c r="J53" i="65" s="1"/>
  <c r="K42" i="65"/>
  <c r="K53" i="65" s="1"/>
  <c r="L52" i="65"/>
  <c r="K52" i="65"/>
  <c r="J44" i="65"/>
  <c r="L44" i="65"/>
  <c r="O44" i="65" s="1"/>
  <c r="K44" i="65"/>
  <c r="C14" i="29"/>
  <c r="B14" i="29"/>
  <c r="L53" i="65" l="1"/>
  <c r="O42" i="65"/>
  <c r="O53" i="65" s="1"/>
  <c r="G22" i="27" s="1"/>
  <c r="AB12" i="56" s="1"/>
  <c r="J55" i="65"/>
  <c r="L64" i="65"/>
  <c r="O39" i="65"/>
  <c r="O50" i="65" s="1"/>
  <c r="L51" i="65"/>
  <c r="O45" i="65"/>
  <c r="O51" i="65" s="1"/>
  <c r="G23" i="27" s="1"/>
  <c r="AA11" i="56" s="1"/>
  <c r="G50" i="65"/>
  <c r="I50" i="65"/>
  <c r="I55" i="65" s="1"/>
  <c r="G55" i="65"/>
  <c r="K50" i="65"/>
  <c r="K55" i="65" s="1"/>
  <c r="H50" i="65"/>
  <c r="H55" i="65" s="1"/>
  <c r="L65" i="65"/>
  <c r="L50" i="65"/>
  <c r="B11" i="27"/>
  <c r="D9" i="56"/>
  <c r="D10" i="56"/>
  <c r="D11" i="56"/>
  <c r="C8" i="30"/>
  <c r="C9" i="29"/>
  <c r="B9" i="29"/>
  <c r="B10" i="27"/>
  <c r="A10" i="27"/>
  <c r="A11" i="27"/>
  <c r="B12" i="27"/>
  <c r="A12" i="27"/>
  <c r="O55" i="65" l="1"/>
  <c r="G21" i="27"/>
  <c r="Z10" i="56" s="1"/>
  <c r="L55" i="65"/>
  <c r="K13" i="56"/>
  <c r="U5" i="56" l="1"/>
  <c r="T5" i="56"/>
  <c r="S5" i="56"/>
  <c r="C10" i="31" l="1"/>
  <c r="B10" i="31"/>
  <c r="C13" i="29" l="1"/>
  <c r="C12" i="29"/>
  <c r="C11" i="29"/>
  <c r="C10" i="29"/>
  <c r="B13" i="29"/>
  <c r="B12" i="29"/>
  <c r="B11" i="29"/>
  <c r="B10" i="29"/>
  <c r="I13" i="56" l="1"/>
  <c r="E8" i="60"/>
  <c r="E9" i="60"/>
  <c r="D10" i="60"/>
  <c r="A2" i="30"/>
  <c r="D8" i="60" s="1"/>
  <c r="E7" i="60"/>
  <c r="D9" i="60" l="1"/>
  <c r="J13" i="56"/>
  <c r="D7" i="60"/>
  <c r="A1" i="74" l="1"/>
  <c r="A1" i="56"/>
  <c r="A1" i="29"/>
  <c r="A1" i="30"/>
  <c r="A8" i="56" l="1"/>
  <c r="I11" i="27"/>
  <c r="I13" i="27" s="1"/>
  <c r="H11" i="27"/>
  <c r="H13" i="27" s="1"/>
  <c r="B4" i="27"/>
  <c r="A4" i="27"/>
  <c r="C4" i="27"/>
  <c r="R5" i="56" l="1"/>
  <c r="W5" i="56" s="1"/>
  <c r="B9" i="31"/>
  <c r="B9" i="56" s="1"/>
  <c r="H10" i="27"/>
  <c r="H12" i="27" s="1"/>
  <c r="D4" i="27"/>
  <c r="C9" i="31" l="1"/>
  <c r="C9" i="56" s="1"/>
  <c r="I10" i="27"/>
  <c r="I12" i="27" s="1"/>
  <c r="B1" i="30" l="1"/>
  <c r="M63" i="65" l="1"/>
  <c r="M65" i="65"/>
  <c r="N70" i="65"/>
  <c r="D23" i="27"/>
  <c r="D22" i="27"/>
  <c r="M64" i="65"/>
  <c r="N75" i="65"/>
  <c r="D20" i="27" l="1"/>
  <c r="K10" i="27" s="1"/>
  <c r="S9" i="56" s="1"/>
  <c r="D21" i="27"/>
  <c r="K11" i="27" s="1"/>
  <c r="T10" i="56" s="1"/>
  <c r="M62" i="65"/>
  <c r="E11" i="66"/>
  <c r="E12" i="66" s="1"/>
  <c r="E16" i="66" s="1"/>
  <c r="K12" i="27"/>
  <c r="U11" i="56" s="1"/>
  <c r="K13" i="27"/>
  <c r="V12" i="56" s="1"/>
  <c r="U17" i="56" l="1"/>
  <c r="T16" i="56"/>
  <c r="V18" i="56"/>
  <c r="S15" i="56"/>
  <c r="D24" i="2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Ken Noble</author>
  </authors>
  <commentList>
    <comment ref="F7" authorId="0" shapeId="0" xr:uid="{01023267-54B8-4CA9-802E-A273AE8D555B}">
      <text>
        <r>
          <rPr>
            <sz val="8"/>
            <color indexed="81"/>
            <rFont val="Tahoma"/>
            <family val="2"/>
          </rPr>
          <t>If Process Activity is: Output-based, leave blank.
Input-based, insert I.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Ken Noble</author>
  </authors>
  <commentList>
    <comment ref="G7" authorId="0" shapeId="0" xr:uid="{00000000-0006-0000-0C00-000001000000}">
      <text>
        <r>
          <rPr>
            <sz val="8"/>
            <color indexed="81"/>
            <rFont val="Tahoma"/>
            <family val="2"/>
          </rPr>
          <t>If Process Activity is: Output-based, leave blank.
Input-based, insert I.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Ken Noble</author>
  </authors>
  <commentList>
    <comment ref="F7" authorId="0" shapeId="0" xr:uid="{FA7067FC-78A1-4A2E-ADC2-C4D1F1516A17}">
      <text>
        <r>
          <rPr>
            <sz val="8"/>
            <color indexed="81"/>
            <rFont val="Tahoma"/>
            <family val="2"/>
          </rPr>
          <t>If Process Activity is: Output-based, leave blank.
Input-based, insert I.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tc={E88FE079-B478-4407-94CD-DA593F2B7F90}</author>
    <author>tc={EE5B7DE6-5DDF-43C2-AE46-F1DAD2057621}</author>
    <author>tc={1BADCB60-4A53-4677-8804-80A0425E6F8A}</author>
  </authors>
  <commentList>
    <comment ref="C5" authorId="0" shapeId="0" xr:uid="{E88FE079-B478-4407-94CD-DA593F2B7F90}">
      <text>
        <t>[Threaded comment]
Your version of Excel allows you to read this threaded comment; however, any edits to it will get removed if the file is opened in a newer version of Excel. Learn more: https://go.microsoft.com/fwlink/?linkid=870924
Comment:
    By Gavin M. Mudd
Sustainability Reporting and the
Platinum Group Metals:A Global
Mining Industry Leader?</t>
      </text>
    </comment>
    <comment ref="E16" authorId="1" shapeId="0" xr:uid="{EE5B7DE6-5DDF-43C2-AE46-F1DAD2057621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http://www.saimm.co.za/Journal/v111n02p127.pdf</t>
      </text>
    </comment>
    <comment ref="E17" authorId="2" shapeId="0" xr:uid="{1BADCB60-4A53-4677-8804-80A0425E6F8A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http://www.saimm.co.za/Journal/v111n02p127.pdf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tc={AA05C491-62CE-4DC7-B36B-B11B9F980D40}</author>
    <author>tc={6B98113D-6081-4E48-AE75-F78FE6672444}</author>
    <author>tc={AC92CB56-82DB-4B5D-B941-DF705CEAD5C7}</author>
    <author>tc={18658949-528A-4F4B-9C56-C58A62EC879B}</author>
    <author>tc={6145DA79-D051-4047-9F27-84C2E951044F}</author>
    <author>tc={0A59BDF7-4D46-46BA-90DA-BB7CD1EFD7CF}</author>
    <author>tc={9764F060-7DB0-493B-A7E3-3A98617B94B8}</author>
    <author>tc={E523209E-A9A9-4704-835D-C67239D35F48}</author>
    <author>tc={813F39A1-7752-4FE7-AB6E-7D2209CAB369}</author>
    <author>tc={A1B953A0-D992-4761-B95D-70CFA376128C}</author>
    <author>tc={7D5A5BA3-FB39-4533-875B-585051EE6749}</author>
    <author>tc={E2D5D6DA-DA59-4861-B548-3D0F447C0832}</author>
  </authors>
  <commentList>
    <comment ref="A2" authorId="0" shapeId="0" xr:uid="{AA05C491-62CE-4DC7-B36B-B11B9F980D40}">
      <text>
        <t>[Threaded comment]
Your version of Excel allows you to read this threaded comment; however, any edits to it will get removed if the file is opened in a newer version of Excel. Learn more: https://go.microsoft.com/fwlink/?linkid=870924
Comment:
    By Gavin M. Mudd
Sustainability Reporting and the
Platinum Group Metals:A Global
Mining Industry Leader?</t>
      </text>
    </comment>
    <comment ref="J3" authorId="1" shapeId="0" xr:uid="{6B98113D-6081-4E48-AE75-F78FE6672444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http://www.saimm.co.za/Journal/v111n02p127.pdf</t>
      </text>
    </comment>
    <comment ref="O3" authorId="2" shapeId="0" xr:uid="{AC92CB56-82DB-4B5D-B941-DF705CEAD5C7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assumed based on hypothesis
Reply:
    actual 2018 production volume</t>
      </text>
    </comment>
    <comment ref="N5" authorId="3" shapeId="0" xr:uid="{18658949-528A-4F4B-9C56-C58A62EC879B}">
      <text>
        <t>[Threaded comment]
Your version of Excel allows you to read this threaded comment; however, any edits to it will get removed if the file is opened in a newer version of Excel. Learn more: https://go.microsoft.com/fwlink/?linkid=870924
Comment:
    PGE content per processsed material used along with tPGMs basis, to obtain material broken or milled etc as per energy intensity of operations.</t>
      </text>
    </comment>
    <comment ref="AD5" authorId="4" shapeId="0" xr:uid="{6145DA79-D051-4047-9F27-84C2E951044F}">
      <text>
        <t>[Threaded comment]
Your version of Excel allows you to read this threaded comment; however, any edits to it will get removed if the file is opened in a newer version of Excel. Learn more: https://go.microsoft.com/fwlink/?linkid=870924
Comment:
    ore to waste ratio (5:10)
Reply:
    PGE Production in Southern Africa, Part II:
Environmental Aspects</t>
      </text>
    </comment>
    <comment ref="A10" authorId="5" shapeId="0" xr:uid="{0A59BDF7-4D46-46BA-90DA-BB7CD1EFD7CF}">
      <text>
        <t>[Threaded comment]
Your version of Excel allows you to read this threaded comment; however, any edits to it will get removed if the file is opened in a newer version of Excel. Learn more: https://go.microsoft.com/fwlink/?linkid=870924
Comment:
    By Gavin M. Mudd
Sustainability Reporting and the
Platinum Group Metals:A Global
Mining Industry Leader?</t>
      </text>
    </comment>
    <comment ref="AE12" authorId="6" shapeId="0" xr:uid="{9764F060-7DB0-493B-A7E3-3A98617B94B8}">
      <text>
        <t>[Threaded comment]
Your version of Excel allows you to read this threaded comment; however, any edits to it will get removed if the file is opened in a newer version of Excel. Learn more: https://go.microsoft.com/fwlink/?linkid=870924
Comment:
    only add data when doing overall emissions comparison, plus use 2019 grid.</t>
      </text>
    </comment>
    <comment ref="I13" authorId="7" shapeId="0" xr:uid="{E523209E-A9A9-4704-835D-C67239D35F48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liquid fuels only when modeling because difficult to model this way.</t>
      </text>
    </comment>
    <comment ref="C21" authorId="8" shapeId="0" xr:uid="{813F39A1-7752-4FE7-AB6E-7D2209CAB369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http://www.saimm.co.za/Journal/v111n02p127.pdf</t>
      </text>
    </comment>
    <comment ref="C22" authorId="9" shapeId="0" xr:uid="{A1B953A0-D992-4761-B95D-70CFA376128C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http://www.saimm.co.za/Journal/v111n02p127.pdf</t>
      </text>
    </comment>
    <comment ref="A25" authorId="10" shapeId="0" xr:uid="{7D5A5BA3-FB39-4533-875B-585051EE6749}">
      <text>
        <t>[Threaded comment]
Your version of Excel allows you to read this threaded comment; however, any edits to it will get removed if the file is opened in a newer version of Excel. Learn more: https://go.microsoft.com/fwlink/?linkid=870924
Comment:
    By Gavin M. Mudd
Sustainability Reporting and the
Platinum Group Metals:A Global
Mining Industry Leader?</t>
      </text>
    </comment>
    <comment ref="A32" authorId="11" shapeId="0" xr:uid="{E2D5D6DA-DA59-4861-B548-3D0F447C0832}">
      <text>
        <t>[Threaded comment]
Your version of Excel allows you to read this threaded comment; however, any edits to it will get removed if the file is opened in a newer version of Excel. Learn more: https://go.microsoft.com/fwlink/?linkid=870924
Comment:
    PGE Production in Southern Africa, Part II:
Environmental Aspects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tc={AA4B25D4-7DBE-41D2-9B54-DAD2ADA2BB92}</author>
  </authors>
  <commentList>
    <comment ref="I4" authorId="0" shapeId="0" xr:uid="{AA4B25D4-7DBE-41D2-9B54-DAD2ADA2BB92}">
      <text>
        <t>[Threaded comment]
Your version of Excel allows you to read this threaded comment; however, any edits to it will get removed if the file is opened in a newer version of Excel. Learn more: https://go.microsoft.com/fwlink/?linkid=870924
Comment:
    going with Gross. Need to add beneficiation as a separate activity/technology in the model.</t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Ken Noble</author>
  </authors>
  <commentList>
    <comment ref="D7" authorId="0" shapeId="0" xr:uid="{00000000-0006-0000-1D00-000001000000}">
      <text>
        <r>
          <rPr>
            <b/>
            <sz val="8"/>
            <color indexed="81"/>
            <rFont val="Tahoma"/>
            <family val="2"/>
          </rPr>
          <t>Ken Noble:</t>
        </r>
        <r>
          <rPr>
            <sz val="8"/>
            <color indexed="81"/>
            <rFont val="Tahoma"/>
            <family val="2"/>
          </rPr>
          <t xml:space="preserve">
Retain Units column as optional?  Hide the column?</t>
        </r>
      </text>
    </comment>
    <comment ref="V7" authorId="0" shapeId="0" xr:uid="{00000000-0006-0000-1D00-000002000000}">
      <text>
        <r>
          <rPr>
            <sz val="8"/>
            <color indexed="81"/>
            <rFont val="Tahoma"/>
            <family val="2"/>
          </rPr>
          <t>Parameter UC_CUMCOMNET is a TID parameter.</t>
        </r>
      </text>
    </comment>
    <comment ref="W7" authorId="0" shapeId="0" xr:uid="{00000000-0006-0000-1D00-000003000000}">
      <text>
        <r>
          <rPr>
            <sz val="8"/>
            <color indexed="81"/>
            <rFont val="Tahoma"/>
            <family val="2"/>
          </rPr>
          <t>Parameter UC_CUMACT is a TID parameter.</t>
        </r>
      </text>
    </comment>
    <comment ref="X7" authorId="0" shapeId="0" xr:uid="{00000000-0006-0000-1D00-000004000000}">
      <text>
        <r>
          <rPr>
            <sz val="8"/>
            <color indexed="81"/>
            <rFont val="Tahoma"/>
            <family val="2"/>
          </rPr>
          <t>Parameter UC_CUMFLO is a TID parameter.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<sst xmlns="http://schemas.openxmlformats.org/spreadsheetml/2006/main" count="1214" uniqueCount="620">
  <si>
    <t>Comment</t>
  </si>
  <si>
    <t>Set Memberships</t>
  </si>
  <si>
    <t>Parameter</t>
  </si>
  <si>
    <t>Arg1</t>
  </si>
  <si>
    <t>Arg2</t>
  </si>
  <si>
    <t>Arg3</t>
  </si>
  <si>
    <t>Arg4</t>
  </si>
  <si>
    <t>Arg5</t>
  </si>
  <si>
    <t>Arg6</t>
  </si>
  <si>
    <t>I/E Opt</t>
  </si>
  <si>
    <t>ANSWER-TS DATA</t>
  </si>
  <si>
    <t>ANSWER-TS TRADE</t>
  </si>
  <si>
    <t>ANSWER-TID TRADE</t>
  </si>
  <si>
    <t>Comp</t>
  </si>
  <si>
    <t>Name</t>
  </si>
  <si>
    <t>Description</t>
  </si>
  <si>
    <t>Region</t>
  </si>
  <si>
    <t>_GLOBAL</t>
  </si>
  <si>
    <t>Special region for data parameters with no REG arg</t>
  </si>
  <si>
    <t>ALL_REG</t>
  </si>
  <si>
    <t>Unit(s)</t>
  </si>
  <si>
    <t>Value</t>
  </si>
  <si>
    <t>I/E Opt
or Value</t>
  </si>
  <si>
    <t>ANSWER-TID DATA</t>
  </si>
  <si>
    <t>Region2</t>
  </si>
  <si>
    <t>* Pre-defined Commodity Groups (cell A10 should contain comma-delimited list of all Internal Regions)</t>
  </si>
  <si>
    <t>D</t>
  </si>
  <si>
    <t>ACTGRP</t>
  </si>
  <si>
    <t>Activity-related Group</t>
  </si>
  <si>
    <t>COM_GRP,COM_GRPDEF</t>
  </si>
  <si>
    <t>DEM</t>
  </si>
  <si>
    <t>Demand Commodity Type</t>
  </si>
  <si>
    <t>ENV</t>
  </si>
  <si>
    <t>Environmental Commodity Type</t>
  </si>
  <si>
    <t>FIN</t>
  </si>
  <si>
    <t>Financial Commodity Type</t>
  </si>
  <si>
    <t>MAT</t>
  </si>
  <si>
    <t>Material Commodity Type</t>
  </si>
  <si>
    <t>NRG</t>
  </si>
  <si>
    <t>Energy Commodity Type</t>
  </si>
  <si>
    <t>CommName</t>
  </si>
  <si>
    <t>CommDesc</t>
  </si>
  <si>
    <t>CommUnit</t>
  </si>
  <si>
    <t>Units</t>
  </si>
  <si>
    <t>TID</t>
  </si>
  <si>
    <t>TimeSlice</t>
  </si>
  <si>
    <t>ConstrName</t>
  </si>
  <si>
    <t>ConstrDesc</t>
  </si>
  <si>
    <t>UC_R_EACH</t>
  </si>
  <si>
    <t>UC_TS_EACH</t>
  </si>
  <si>
    <t>UC_CUMCOMNET</t>
  </si>
  <si>
    <t>2010-2030</t>
  </si>
  <si>
    <t>UC_CUMACT</t>
  </si>
  <si>
    <t>UC_MARK</t>
  </si>
  <si>
    <t>UC_CUMFLO</t>
  </si>
  <si>
    <t>UC_TSL</t>
  </si>
  <si>
    <t>ProcName</t>
  </si>
  <si>
    <t>ProcDesc</t>
  </si>
  <si>
    <t>UC__RHSRTS</t>
  </si>
  <si>
    <t>Limit</t>
  </si>
  <si>
    <t>UC__RHSR</t>
  </si>
  <si>
    <t>UC__RHSRT</t>
  </si>
  <si>
    <t>UC_CAP</t>
  </si>
  <si>
    <t>Side</t>
  </si>
  <si>
    <t>UC_T_EACH</t>
  </si>
  <si>
    <t>1 arg: BD (TID)</t>
  </si>
  <si>
    <t>1 arg: BD (TS)</t>
  </si>
  <si>
    <t>0 args (TID)</t>
  </si>
  <si>
    <t>0 args (TS)</t>
  </si>
  <si>
    <t>1 arg: TS (TID)</t>
  </si>
  <si>
    <t>2 args: TS,BD (TS)</t>
  </si>
  <si>
    <t>3 args: PRC,COM,BD (TS)</t>
  </si>
  <si>
    <t>UC_COMCON</t>
  </si>
  <si>
    <t>2 args: SIDE,PRC (TS)</t>
  </si>
  <si>
    <t>UC_ACT</t>
  </si>
  <si>
    <t>UC_FLO</t>
  </si>
  <si>
    <t>UC_IRE</t>
  </si>
  <si>
    <t>Imp/Exp</t>
  </si>
  <si>
    <t>UC_ATTR</t>
  </si>
  <si>
    <t>TSLevel</t>
  </si>
  <si>
    <t>CommIN</t>
  </si>
  <si>
    <t>CommOUT</t>
  </si>
  <si>
    <t>VarType,ParamName</t>
  </si>
  <si>
    <t>2 args: SIDE,TSLevel (TID)</t>
  </si>
  <si>
    <t>3 args: SIDE,COM,TS (TS)</t>
  </si>
  <si>
    <t>3 args: SIDE,PRC,TS (TS)</t>
  </si>
  <si>
    <t>4 args: SIDE,PRC,COM,TS (TS)</t>
  </si>
  <si>
    <t>5 args: SIDE,PRC,COM,TS, IE (TS)</t>
  </si>
  <si>
    <t>3 args: COM,Yr,Yr</t>
  </si>
  <si>
    <t>3 args: PRC,Yr,Yr</t>
  </si>
  <si>
    <t>4 args: PRC,COM,Yr,Yr</t>
  </si>
  <si>
    <t>3 args: Side,VarType,ParamName</t>
  </si>
  <si>
    <t>*</t>
  </si>
  <si>
    <t>ProcUnits</t>
  </si>
  <si>
    <t>Activity I/O</t>
  </si>
  <si>
    <t>IMPEXP</t>
  </si>
  <si>
    <t>* External Regions</t>
  </si>
  <si>
    <t>ALL_REG,REG_EXT</t>
  </si>
  <si>
    <t>MINRNW</t>
  </si>
  <si>
    <t>ANSWER-Commodities</t>
  </si>
  <si>
    <t>ANSWER-REGIONS</t>
  </si>
  <si>
    <t>_GLOBAL,IMPEXP,MINRNW</t>
  </si>
  <si>
    <t>* Internal Regions (insert below and adjust cell B1 accordingly)</t>
  </si>
  <si>
    <t>ANSWER-Constraints</t>
  </si>
  <si>
    <t>ANSWER-CommData</t>
  </si>
  <si>
    <t>ANSWER-Processes</t>
  </si>
  <si>
    <t>ANSWER-ConstrData</t>
  </si>
  <si>
    <t>ANSWER-ITEMS</t>
  </si>
  <si>
    <t>ANSWER-TS&amp;TID DATA</t>
  </si>
  <si>
    <t>ANSWER-TS&amp;TID TRADE</t>
  </si>
  <si>
    <t>ANSWER-ProcData</t>
  </si>
  <si>
    <t>* On TS&amp;TID TRADE sheet, a single region must be specified in column A (a comma-separated region-list is not allowed) and a single region must be specified in column B</t>
  </si>
  <si>
    <t>* On TID TRADE sheet, a single region must be specified in column A (a comma-separated region-list is not allowed) and a single region must be specified in column B</t>
  </si>
  <si>
    <t>* On TS TRADE sheet, a single region must be specified in column A (a comma-separated region-list is not allowed) and a single region must be specified in column B</t>
  </si>
  <si>
    <t>* Sectoral commodities</t>
  </si>
  <si>
    <t>* Emissions</t>
  </si>
  <si>
    <t>PJ</t>
  </si>
  <si>
    <t>%</t>
  </si>
  <si>
    <t>KT</t>
  </si>
  <si>
    <t>PRC_CAPACT</t>
  </si>
  <si>
    <t>ACT_EFF</t>
  </si>
  <si>
    <t>ANNUAL</t>
  </si>
  <si>
    <t>Conversion L1</t>
  </si>
  <si>
    <t>Supply</t>
  </si>
  <si>
    <t>Secondary Commodities</t>
  </si>
  <si>
    <t>REGION1</t>
  </si>
  <si>
    <t>Commodity</t>
  </si>
  <si>
    <t>PRC_ACTUNT</t>
  </si>
  <si>
    <t>COM_PROJ</t>
  </si>
  <si>
    <t>Producers</t>
  </si>
  <si>
    <t>Tech description</t>
  </si>
  <si>
    <t>Consumers</t>
  </si>
  <si>
    <t>unit</t>
  </si>
  <si>
    <t>value</t>
  </si>
  <si>
    <t>Source</t>
  </si>
  <si>
    <t>Commodity Code</t>
  </si>
  <si>
    <t>Tech Code</t>
  </si>
  <si>
    <t>Coal</t>
  </si>
  <si>
    <t>* Conversion technologies</t>
  </si>
  <si>
    <t>PRC_ACTFLO</t>
  </si>
  <si>
    <t>Existing Capacity</t>
  </si>
  <si>
    <t>Main activity flow</t>
  </si>
  <si>
    <t>Relationship between main activity flow and other flows</t>
  </si>
  <si>
    <t>Capacity to Activity</t>
  </si>
  <si>
    <t>Main activity efficiency</t>
  </si>
  <si>
    <t>PRC_RESID</t>
  </si>
  <si>
    <t>Scenario to Import</t>
  </si>
  <si>
    <t>Scenarios</t>
  </si>
  <si>
    <t>BASE</t>
  </si>
  <si>
    <t>Import?</t>
  </si>
  <si>
    <t>Sheets</t>
  </si>
  <si>
    <t>Base Model</t>
  </si>
  <si>
    <t>Capacity Limit</t>
  </si>
  <si>
    <t>CAP_BND-UP</t>
  </si>
  <si>
    <t>CV (MJ/kg)</t>
  </si>
  <si>
    <t>2017 Energy/Commodity Balance</t>
  </si>
  <si>
    <t>Exports/Links/Demands</t>
  </si>
  <si>
    <t>CO2SP</t>
  </si>
  <si>
    <t>Process Emissions South Africa</t>
  </si>
  <si>
    <t>CH4S</t>
  </si>
  <si>
    <t>CH4S South Africa</t>
  </si>
  <si>
    <t>Retirement Profile needs to be fine tuned</t>
  </si>
  <si>
    <t>(existing)</t>
  </si>
  <si>
    <t>IPGMME-E</t>
  </si>
  <si>
    <t>IPGMME-N</t>
  </si>
  <si>
    <t>INDCOA</t>
  </si>
  <si>
    <t>INFELC</t>
  </si>
  <si>
    <t>INFGAS</t>
  </si>
  <si>
    <t>IPGMOP</t>
  </si>
  <si>
    <t>Industry - PGMs - Platinum</t>
  </si>
  <si>
    <t>Industry - PGMs - Other PGMs</t>
  </si>
  <si>
    <t>Industry - Coal</t>
  </si>
  <si>
    <t>Electricity</t>
  </si>
  <si>
    <t>Gas</t>
  </si>
  <si>
    <t>Diesel</t>
  </si>
  <si>
    <t>Sector energy balance (PJ)</t>
  </si>
  <si>
    <t>Industry - NonFerrous - Gas</t>
  </si>
  <si>
    <t>Industry - NonFerrous - Electricity</t>
  </si>
  <si>
    <t>Pt</t>
  </si>
  <si>
    <t>Other PGMs</t>
  </si>
  <si>
    <t>INDODS</t>
  </si>
  <si>
    <t>SAMI report 2017-2018 - Table 2 - major minerals production</t>
  </si>
  <si>
    <t>COMMODITY</t>
  </si>
  <si>
    <t>UNIT</t>
  </si>
  <si>
    <t>tonnes of ore:</t>
  </si>
  <si>
    <t>t</t>
  </si>
  <si>
    <t>Cobalt</t>
  </si>
  <si>
    <t>Copper</t>
  </si>
  <si>
    <t>Chromite</t>
  </si>
  <si>
    <t>Diamonds</t>
  </si>
  <si>
    <t>ct</t>
  </si>
  <si>
    <t>Buchspies et al 2017</t>
  </si>
  <si>
    <t>Gold</t>
  </si>
  <si>
    <t>kg</t>
  </si>
  <si>
    <t>kgs/tonne ore</t>
  </si>
  <si>
    <t>DOI: 10.3390/min7110225.</t>
  </si>
  <si>
    <t>PGMs</t>
  </si>
  <si>
    <t>g/tonne ore</t>
  </si>
  <si>
    <t>Nickel</t>
  </si>
  <si>
    <t>Lead</t>
  </si>
  <si>
    <t>Manganese</t>
  </si>
  <si>
    <t>Iron Ore</t>
  </si>
  <si>
    <t>Zinc</t>
  </si>
  <si>
    <t>tonnes</t>
  </si>
  <si>
    <t>Gold+PGM ores</t>
  </si>
  <si>
    <t>Chrome ores</t>
  </si>
  <si>
    <t>Iron ore</t>
  </si>
  <si>
    <t>Students report (2020)</t>
  </si>
  <si>
    <t>Production of PGM for 2019</t>
  </si>
  <si>
    <t>MINES</t>
  </si>
  <si>
    <t>Quantity (tonnes)</t>
  </si>
  <si>
    <t>Percentage production (%)</t>
  </si>
  <si>
    <t>Anglo American Platinum</t>
  </si>
  <si>
    <t>Sibanye Stillwater</t>
  </si>
  <si>
    <t>Impala Platinum</t>
  </si>
  <si>
    <t>Northam</t>
  </si>
  <si>
    <t>Total</t>
  </si>
  <si>
    <t>from students report but they adapted it from Mudd 2005</t>
  </si>
  <si>
    <t>Table 5</t>
  </si>
  <si>
    <t>Energy carrier</t>
  </si>
  <si>
    <t>Mining</t>
  </si>
  <si>
    <t>Concentrate</t>
  </si>
  <si>
    <t>Smelting</t>
  </si>
  <si>
    <t>Refining</t>
  </si>
  <si>
    <t>Kell
process</t>
  </si>
  <si>
    <t>-</t>
  </si>
  <si>
    <t>Liquid fuel</t>
  </si>
  <si>
    <t>Table 6</t>
  </si>
  <si>
    <t>Process stage</t>
  </si>
  <si>
    <t>Energy intensity</t>
  </si>
  <si>
    <t>GJ/t broken</t>
  </si>
  <si>
    <t>GJ/t milled</t>
  </si>
  <si>
    <t>GJ/t concentrate to smelters</t>
  </si>
  <si>
    <t>Kell process</t>
  </si>
  <si>
    <t>GJ/t concentrate to process</t>
  </si>
  <si>
    <t>Jones 2005:</t>
  </si>
  <si>
    <t>Material</t>
  </si>
  <si>
    <t>Content</t>
  </si>
  <si>
    <t>Ore</t>
  </si>
  <si>
    <t>concentrate</t>
  </si>
  <si>
    <t>converter matte</t>
  </si>
  <si>
    <t>BMR leach residue</t>
  </si>
  <si>
    <t>PMR product</t>
  </si>
  <si>
    <t>Sectors</t>
  </si>
  <si>
    <t>SIC Code</t>
  </si>
  <si>
    <t>PGM mining</t>
  </si>
  <si>
    <t>24240a</t>
  </si>
  <si>
    <t xml:space="preserve">this specifically doesn’t include gold. But it does probably include smelting operations. </t>
  </si>
  <si>
    <t>Refining of precious metals, e.g. gold, silver, platinum</t>
  </si>
  <si>
    <t>35201a</t>
  </si>
  <si>
    <t>ESKOM sales data</t>
  </si>
  <si>
    <t>Total Consumption (kWh)</t>
  </si>
  <si>
    <t>CM Actual</t>
  </si>
  <si>
    <t>Total.Tariffs</t>
  </si>
  <si>
    <t>Total.Customers</t>
  </si>
  <si>
    <t xml:space="preserve">          24240-Platinum group metals</t>
  </si>
  <si>
    <t>mining</t>
  </si>
  <si>
    <t xml:space="preserve">          35201-Refining of precious metals,e.</t>
  </si>
  <si>
    <t>ESKOM SALES - all mining</t>
  </si>
  <si>
    <t>Eskom sales for mining</t>
  </si>
  <si>
    <t>ALL 2016 numbers</t>
  </si>
  <si>
    <t>kWh</t>
  </si>
  <si>
    <t>All mining</t>
  </si>
  <si>
    <t xml:space="preserve">          21000-MINING OF COAL &amp; LIGNITE</t>
  </si>
  <si>
    <t>Coal mining</t>
  </si>
  <si>
    <t xml:space="preserve">          23000-MINING OF GOLD &amp; URANIUM ORE</t>
  </si>
  <si>
    <t>Other</t>
  </si>
  <si>
    <t>PGM</t>
  </si>
  <si>
    <t xml:space="preserve">          24100-MINING OF IRON ORE</t>
  </si>
  <si>
    <t>All other mining</t>
  </si>
  <si>
    <t xml:space="preserve">          24210-Chrome</t>
  </si>
  <si>
    <t xml:space="preserve">          24220-Copper</t>
  </si>
  <si>
    <t xml:space="preserve">          24230-Manganese</t>
  </si>
  <si>
    <t xml:space="preserve">          24290-Other metal ore mining,except</t>
  </si>
  <si>
    <t xml:space="preserve">          25110-Dimension stone (granite,marbl</t>
  </si>
  <si>
    <t xml:space="preserve">          25120-Limestone &amp; limeworks</t>
  </si>
  <si>
    <t xml:space="preserve">          25190-Other stone quarrying,includin</t>
  </si>
  <si>
    <t xml:space="preserve">          25200-MINING OF DIAMONDS (INCLUDING</t>
  </si>
  <si>
    <t xml:space="preserve">          25311-Phosphates</t>
  </si>
  <si>
    <t xml:space="preserve">          25319-Other chemical &amp; fertiliser mi</t>
  </si>
  <si>
    <t xml:space="preserve">          25391-Mining of precious &amp; semi-prec</t>
  </si>
  <si>
    <t xml:space="preserve">          25399-Other minerals &amp; materials n.e</t>
  </si>
  <si>
    <t xml:space="preserve">          29000-SERVICE ACTIVITIES INCIDENTAL</t>
  </si>
  <si>
    <t xml:space="preserve">          35202-Manufacture of primary non-ferrous metal products, excluding</t>
  </si>
  <si>
    <t>Composition of energy consumption</t>
  </si>
  <si>
    <t xml:space="preserve">Energy carrier </t>
  </si>
  <si>
    <t xml:space="preserve">Mining </t>
  </si>
  <si>
    <t xml:space="preserve">Electricity </t>
  </si>
  <si>
    <t xml:space="preserve">Coal </t>
  </si>
  <si>
    <t xml:space="preserve">Liquid fuel </t>
  </si>
  <si>
    <t xml:space="preserve">Gas </t>
  </si>
  <si>
    <t>Energy intensity per operation</t>
  </si>
  <si>
    <t>Mudd et al</t>
  </si>
  <si>
    <t>The Environmental Costs of Platinum-PGM Mining:
An Excellent Case Study In Sustainable Mining</t>
  </si>
  <si>
    <t>Elec</t>
  </si>
  <si>
    <t>Direct</t>
  </si>
  <si>
    <t>Indirect</t>
  </si>
  <si>
    <t>GJ/kg PGM</t>
  </si>
  <si>
    <t>Implats</t>
  </si>
  <si>
    <t>Lonmin</t>
  </si>
  <si>
    <t>AngoPlat</t>
  </si>
  <si>
    <t xml:space="preserve">use avg. </t>
  </si>
  <si>
    <t>Mt Ore</t>
  </si>
  <si>
    <t>platinum</t>
  </si>
  <si>
    <t>Palladium</t>
  </si>
  <si>
    <t>Rhodium</t>
  </si>
  <si>
    <t>total PGM</t>
  </si>
  <si>
    <t>ALL</t>
  </si>
  <si>
    <t>Zimplats</t>
  </si>
  <si>
    <t>Stillwater USA</t>
  </si>
  <si>
    <t>Lac de illes</t>
  </si>
  <si>
    <t>SA only</t>
  </si>
  <si>
    <t>Production</t>
  </si>
  <si>
    <t>Platinum</t>
  </si>
  <si>
    <t>from Mudd 2009 paper</t>
  </si>
  <si>
    <t>For calibration to other sectors:</t>
  </si>
  <si>
    <t>Allocate from:</t>
  </si>
  <si>
    <t>PNF</t>
  </si>
  <si>
    <t>Concentrating</t>
  </si>
  <si>
    <t>Coke</t>
  </si>
  <si>
    <t>Oil Diesel</t>
  </si>
  <si>
    <t>Oil HFO</t>
  </si>
  <si>
    <t>Ferro Alloys</t>
  </si>
  <si>
    <t>Intensity values</t>
  </si>
  <si>
    <t>PJ/tonne PGM</t>
  </si>
  <si>
    <t>Iron &amp; Steel</t>
  </si>
  <si>
    <t>Chemicals</t>
  </si>
  <si>
    <t>Aluminium</t>
  </si>
  <si>
    <t>Precious &amp; Non-Ferrous metals</t>
  </si>
  <si>
    <t>N.M.M Products</t>
  </si>
  <si>
    <t>Food, Beverage &amp; Tabacco</t>
  </si>
  <si>
    <t>Pulp &amp; Paper Products</t>
  </si>
  <si>
    <t>Costs</t>
  </si>
  <si>
    <t>mR/tonne</t>
  </si>
  <si>
    <t>Quick estimate for PGM sector costs:</t>
  </si>
  <si>
    <t>From: https://www.bullionvault.com/platinum-price-chart.do</t>
  </si>
  <si>
    <t xml:space="preserve">Fuel prices </t>
  </si>
  <si>
    <t>R/GJ</t>
  </si>
  <si>
    <t>c/kWh</t>
  </si>
  <si>
    <t>Fuel:</t>
  </si>
  <si>
    <t>GJ/tonne</t>
  </si>
  <si>
    <t>Price R/GJ</t>
  </si>
  <si>
    <t>USD/kg</t>
  </si>
  <si>
    <t>Date</t>
  </si>
  <si>
    <t>High (kg)</t>
  </si>
  <si>
    <t>Low (kg)</t>
  </si>
  <si>
    <t>Close (kg)</t>
  </si>
  <si>
    <t>Avg USD/kg</t>
  </si>
  <si>
    <t>c/L</t>
  </si>
  <si>
    <t>DOE price for July 2019</t>
  </si>
  <si>
    <t>MJ/L</t>
  </si>
  <si>
    <t>c/MJ</t>
  </si>
  <si>
    <t>R/tonne</t>
  </si>
  <si>
    <t xml:space="preserve">coal for industries in 2017. Xavier </t>
  </si>
  <si>
    <t>total R/tonne</t>
  </si>
  <si>
    <t>cost R/kg</t>
  </si>
  <si>
    <t>energy costs</t>
  </si>
  <si>
    <t>Eskom 2019/2020 Megaflex rates</t>
  </si>
  <si>
    <t>Anglo Unit cost R/kg</t>
  </si>
  <si>
    <t>Less energy costs:</t>
  </si>
  <si>
    <t>Active energy charge [c/kWh]</t>
  </si>
  <si>
    <t>Transmission network charges [R/kVA/m]</t>
  </si>
  <si>
    <t>High demand season [Jun - Aug]</t>
  </si>
  <si>
    <t>Low demand season [Sep - May]</t>
  </si>
  <si>
    <t>Voltage</t>
  </si>
  <si>
    <t>Peak</t>
  </si>
  <si>
    <t>Standard</t>
  </si>
  <si>
    <t>Off Peak</t>
  </si>
  <si>
    <t>VAT incl</t>
  </si>
  <si>
    <t>&lt;300km</t>
  </si>
  <si>
    <t>&lt; 500V</t>
  </si>
  <si>
    <t>≥ 500V &amp; &lt; 66kV</t>
  </si>
  <si>
    <t>≥ 66kV &amp; ≤ 132kV</t>
  </si>
  <si>
    <t>&gt; 132kV*</t>
  </si>
  <si>
    <t>300-600km</t>
  </si>
  <si>
    <t>Anglo plat report 2020, pg5</t>
  </si>
  <si>
    <t>R/oz</t>
  </si>
  <si>
    <t>R/kg</t>
  </si>
  <si>
    <t>CONVENTIONAL PGM PRODUCTION DATA</t>
  </si>
  <si>
    <t>KELL PROCESS (BMR &amp; PMR) DATA</t>
  </si>
  <si>
    <t>ENERGY CONSUMPTION COMPARISON</t>
  </si>
  <si>
    <t>EMISSIONS COMPARISON</t>
  </si>
  <si>
    <t>Energy consumption</t>
  </si>
  <si>
    <t>Energy carrier (PJ)</t>
  </si>
  <si>
    <t xml:space="preserve">GJ/t concentrate </t>
  </si>
  <si>
    <t>BASIS</t>
  </si>
  <si>
    <t>t PGMs</t>
  </si>
  <si>
    <t>Carbon intensity (kg CO2/ GJ)</t>
  </si>
  <si>
    <t>Energy per carrier (PJ)</t>
  </si>
  <si>
    <t>Electricity grid</t>
  </si>
  <si>
    <t>Stage</t>
  </si>
  <si>
    <t>Liquid fuels</t>
  </si>
  <si>
    <t>CO2/MWh</t>
  </si>
  <si>
    <t>PGM containing material</t>
  </si>
  <si>
    <t xml:space="preserve">Gas + Liquid fuel </t>
  </si>
  <si>
    <t>Ore (t)</t>
  </si>
  <si>
    <t>Concentrate (t)</t>
  </si>
  <si>
    <t>PMR product (t)</t>
  </si>
  <si>
    <t>Carbon intensity</t>
  </si>
  <si>
    <t>CO2 intensity (kg CO2/ GJ)</t>
  </si>
  <si>
    <t>Feed type</t>
  </si>
  <si>
    <t>material flow (t)</t>
  </si>
  <si>
    <t>Total Energy consumed (PJ)</t>
  </si>
  <si>
    <t>Energy intensity (PJ/ tPGMs)</t>
  </si>
  <si>
    <t>Emissions per carrier (kt)</t>
  </si>
  <si>
    <t>Carbon intensity (kt/tPGMs)</t>
  </si>
  <si>
    <t>Concentrate to smelter</t>
  </si>
  <si>
    <t>Concentrate to  process</t>
  </si>
  <si>
    <t>DIRECT EMISSIONS PER PROCESS OPERATION</t>
  </si>
  <si>
    <t>ENERGY CONSUMPTION PER PROCESS OPERATION</t>
  </si>
  <si>
    <t>Concentration</t>
  </si>
  <si>
    <t>CO2 intensity per energy carrier</t>
  </si>
  <si>
    <t>CO2 emissions (t)</t>
  </si>
  <si>
    <t>PGE CONTENT PER PROCESSED MATERIAL</t>
  </si>
  <si>
    <t>Overall mass balance</t>
  </si>
  <si>
    <t>Smelting/Refining/Kell</t>
  </si>
  <si>
    <t>Feed (Mt)</t>
  </si>
  <si>
    <t>PGM (t)</t>
  </si>
  <si>
    <t>Solid  waste (Mt)</t>
  </si>
  <si>
    <t>ENERGY CONSUMPTION PER PROCESS ROUTE</t>
  </si>
  <si>
    <t>DIRECT EMISSIONS PER PROCESS ROUTE</t>
  </si>
  <si>
    <t>Total (kt)</t>
  </si>
  <si>
    <t>Electricity consumption (PJ)</t>
  </si>
  <si>
    <t>Conventional route</t>
  </si>
  <si>
    <t>Conventional</t>
  </si>
  <si>
    <t>New  route</t>
  </si>
  <si>
    <t>New tech</t>
  </si>
  <si>
    <t>New</t>
  </si>
  <si>
    <t>New route</t>
  </si>
  <si>
    <t>IPGM</t>
  </si>
  <si>
    <t>Inputs</t>
  </si>
  <si>
    <t>Outputs</t>
  </si>
  <si>
    <t>shares</t>
  </si>
  <si>
    <t>tons</t>
  </si>
  <si>
    <t>exist</t>
  </si>
  <si>
    <t>new</t>
  </si>
  <si>
    <t>Choice to be made here, whether we work on gross (260) or net (187)</t>
  </si>
  <si>
    <t>% domestic</t>
  </si>
  <si>
    <t>domestic</t>
  </si>
  <si>
    <t>export</t>
  </si>
  <si>
    <t>agv</t>
  </si>
  <si>
    <t>Before Beneficiation</t>
  </si>
  <si>
    <t>After Beneficiation</t>
  </si>
  <si>
    <t xml:space="preserve"> </t>
  </si>
  <si>
    <t>Share</t>
  </si>
  <si>
    <t>PGM prod</t>
  </si>
  <si>
    <t>all PGMs</t>
  </si>
  <si>
    <t>Minerals council report</t>
  </si>
  <si>
    <t>Production split</t>
  </si>
  <si>
    <t>From Student's report</t>
  </si>
  <si>
    <t>Energy use - PJ</t>
  </si>
  <si>
    <t>Electricity used</t>
  </si>
  <si>
    <t>Students report intensity X production volumes</t>
  </si>
  <si>
    <t>Industry - Diesel</t>
  </si>
  <si>
    <t>Industry - PGMs - Mine and refine - existing</t>
  </si>
  <si>
    <t>all PGMs.</t>
  </si>
  <si>
    <t>http://s1.q4cdn.com/169714374/files/doc_presentations/2020/01/Platinum-Group-Corporate-Presentation-January-7-2020-FINAL.pdf</t>
  </si>
  <si>
    <t>Mine</t>
  </si>
  <si>
    <t>Concentrator</t>
  </si>
  <si>
    <t>Million USD real</t>
  </si>
  <si>
    <t>Infrastructure</t>
  </si>
  <si>
    <t>shared</t>
  </si>
  <si>
    <t>regional</t>
  </si>
  <si>
    <t>site support</t>
  </si>
  <si>
    <t>Capital</t>
  </si>
  <si>
    <t>Operating</t>
  </si>
  <si>
    <t>On-site</t>
  </si>
  <si>
    <t>Smelting, refining, transport</t>
  </si>
  <si>
    <t>Credits</t>
  </si>
  <si>
    <t>taxs+royalties</t>
  </si>
  <si>
    <t>Sustaining capital</t>
  </si>
  <si>
    <t>Project capital</t>
  </si>
  <si>
    <t>sum</t>
  </si>
  <si>
    <t>without offsite</t>
  </si>
  <si>
    <t>USD/4E ounce</t>
  </si>
  <si>
    <t>Lac des Iles</t>
  </si>
  <si>
    <t>Waterberg</t>
  </si>
  <si>
    <t>Resources (M&amp;I)</t>
  </si>
  <si>
    <t>72.98M tonnes</t>
  </si>
  <si>
    <t>242M tonnes</t>
  </si>
  <si>
    <t>Reserves  (P&amp;P)</t>
  </si>
  <si>
    <t>3.5M ounces 3E</t>
  </si>
  <si>
    <t>19.5M ounces 4E</t>
  </si>
  <si>
    <t>Reserve Grade</t>
  </si>
  <si>
    <t>2.58 g/t 3E</t>
  </si>
  <si>
    <t>3.24g/t 4E</t>
  </si>
  <si>
    <t>Mine Life</t>
  </si>
  <si>
    <t>9 Years</t>
  </si>
  <si>
    <t>45 Years</t>
  </si>
  <si>
    <t>Total All-in Cost (USD)</t>
  </si>
  <si>
    <t>$834/Pd ounce</t>
  </si>
  <si>
    <t>$767/4E ounce</t>
  </si>
  <si>
    <t>Annual  Production</t>
  </si>
  <si>
    <t>294,000 ounces/3E</t>
  </si>
  <si>
    <t>420,000 ounces/4E</t>
  </si>
  <si>
    <t>Market Capitalization (USD)</t>
  </si>
  <si>
    <t>$758M</t>
  </si>
  <si>
    <t>$110M</t>
  </si>
  <si>
    <t>Market Cap/Reserve Ounce (USD)</t>
  </si>
  <si>
    <t>$11.28*</t>
  </si>
  <si>
    <t>Total production</t>
  </si>
  <si>
    <t>M oz</t>
  </si>
  <si>
    <t>Life</t>
  </si>
  <si>
    <t>years</t>
  </si>
  <si>
    <t>Annual production</t>
  </si>
  <si>
    <t>oz/year</t>
  </si>
  <si>
    <t>to tonnes:</t>
  </si>
  <si>
    <t>1 oz =</t>
  </si>
  <si>
    <t>1 troy oz =</t>
  </si>
  <si>
    <t>off-site presumably goes to Polokwane</t>
  </si>
  <si>
    <t>capital</t>
  </si>
  <si>
    <t>realisation</t>
  </si>
  <si>
    <t>total project capital</t>
  </si>
  <si>
    <t>M USD</t>
  </si>
  <si>
    <t>M USD/tonne/year</t>
  </si>
  <si>
    <t>grams</t>
  </si>
  <si>
    <t>per ounce</t>
  </si>
  <si>
    <t>local sales</t>
  </si>
  <si>
    <t>exports</t>
  </si>
  <si>
    <t>% local sales to production</t>
  </si>
  <si>
    <t>tonnes per year</t>
  </si>
  <si>
    <t>Industry - PGMs - Mine and refine - New</t>
  </si>
  <si>
    <t>NCAP_START</t>
  </si>
  <si>
    <t>Author</t>
  </si>
  <si>
    <t>BMc</t>
  </si>
  <si>
    <t xml:space="preserve">Author </t>
  </si>
  <si>
    <t>OpEX</t>
  </si>
  <si>
    <t>Onsite</t>
  </si>
  <si>
    <t>M USD/tonne</t>
  </si>
  <si>
    <t>FOM</t>
  </si>
  <si>
    <t xml:space="preserve">From Waterberg project by Platinum Group Metals inc. </t>
  </si>
  <si>
    <t>New cost</t>
  </si>
  <si>
    <t>mR/tonne/year</t>
  </si>
  <si>
    <t>NCAP_COST</t>
  </si>
  <si>
    <t>NCAP_FOM</t>
  </si>
  <si>
    <t>NCAP_TLIFE</t>
  </si>
  <si>
    <t xml:space="preserve">Completed sheet for PGMs sector. Have imported and works. Created 'outstanding issues' sheet to log next steps and issues. </t>
  </si>
  <si>
    <t>Others</t>
  </si>
  <si>
    <t>Pother</t>
  </si>
  <si>
    <t>USD/oz</t>
  </si>
  <si>
    <t>2015zar to USD</t>
  </si>
  <si>
    <t>USD/g</t>
  </si>
  <si>
    <t>IPGMD</t>
  </si>
  <si>
    <t>Demand</t>
  </si>
  <si>
    <t>Local demand</t>
  </si>
  <si>
    <t>Export</t>
  </si>
  <si>
    <t>Of which</t>
  </si>
  <si>
    <t>Local - Pt</t>
  </si>
  <si>
    <t>Comments</t>
  </si>
  <si>
    <t>8 Sept. 2021</t>
  </si>
  <si>
    <t>Bryce McCall</t>
  </si>
  <si>
    <t>How much local sales of PGM is Pt, and how much is Pd and others?</t>
  </si>
  <si>
    <t>total demand</t>
  </si>
  <si>
    <t xml:space="preserve">Stock additions and subractions would make up the difference prod and demand. </t>
  </si>
  <si>
    <t>NOTE: the units of all PGMs are "PJ" in the model</t>
  </si>
  <si>
    <t>tonnes = PJ</t>
  </si>
  <si>
    <t>PEXPGM</t>
  </si>
  <si>
    <t>Export PGMs - Pt</t>
  </si>
  <si>
    <t>Export PGMs - Others</t>
  </si>
  <si>
    <t>PEXPGMO</t>
  </si>
  <si>
    <t>XIPGM</t>
  </si>
  <si>
    <t>Industry - demand for PGMS - Pt</t>
  </si>
  <si>
    <t>Demand tonne</t>
  </si>
  <si>
    <t>Production tonne</t>
  </si>
  <si>
    <t>Local Pt</t>
  </si>
  <si>
    <t>Export Pt</t>
  </si>
  <si>
    <t>Export others</t>
  </si>
  <si>
    <t>Export - Pt</t>
  </si>
  <si>
    <t>Export - Others</t>
  </si>
  <si>
    <t>assume pt export is total prod less local sales. Stocks would change this</t>
  </si>
  <si>
    <t>ACT_BND-FX</t>
  </si>
  <si>
    <t>ACT_BND-LO</t>
  </si>
  <si>
    <t>IDUM</t>
  </si>
  <si>
    <t>Dummy commodity</t>
  </si>
  <si>
    <t>PAMS</t>
  </si>
  <si>
    <t>Is on?</t>
  </si>
  <si>
    <t>Level selected</t>
  </si>
  <si>
    <t>High</t>
  </si>
  <si>
    <t>Low</t>
  </si>
  <si>
    <t>Smelting and refining process</t>
  </si>
  <si>
    <t>Mining process</t>
  </si>
  <si>
    <t>Selected:</t>
  </si>
  <si>
    <t xml:space="preserve">this is the 5% target for furnaces etc. </t>
  </si>
  <si>
    <t>~FI_Comm</t>
  </si>
  <si>
    <t>Csets</t>
  </si>
  <si>
    <t>CTSLvl</t>
  </si>
  <si>
    <t>PeakTS</t>
  </si>
  <si>
    <t>Ctype</t>
  </si>
  <si>
    <t>DAYNITE</t>
  </si>
  <si>
    <t>ELC</t>
  </si>
  <si>
    <t>~FI_Process</t>
  </si>
  <si>
    <t>TechName</t>
  </si>
  <si>
    <t>TechDesc</t>
  </si>
  <si>
    <t>Tact</t>
  </si>
  <si>
    <t>Tcap</t>
  </si>
  <si>
    <t>Tslvl</t>
  </si>
  <si>
    <t>Sets</t>
  </si>
  <si>
    <t>Vintage</t>
  </si>
  <si>
    <t>PJa</t>
  </si>
  <si>
    <t>PRC,PRE</t>
  </si>
  <si>
    <t>PRC,DMD</t>
  </si>
  <si>
    <t>NO</t>
  </si>
  <si>
    <t>~FI_T</t>
  </si>
  <si>
    <t>*TechDesc</t>
  </si>
  <si>
    <t>Comm-IN</t>
  </si>
  <si>
    <t>Comm-OUT</t>
  </si>
  <si>
    <t>Commgrp</t>
  </si>
  <si>
    <t>INDGAS</t>
  </si>
  <si>
    <t>Industry - PGMs - to local demand</t>
  </si>
  <si>
    <t>2020USD to 2022ZAR</t>
  </si>
  <si>
    <t>PRC_ACTFLO~2017</t>
  </si>
  <si>
    <t>PRC_ACTFLO~2030</t>
  </si>
  <si>
    <t>Attribute</t>
  </si>
  <si>
    <t>*Unit</t>
  </si>
  <si>
    <t>Demand Commodity Name</t>
  </si>
  <si>
    <t>Demand Unit</t>
  </si>
  <si>
    <t>Demand Value</t>
  </si>
  <si>
    <t>EXP</t>
  </si>
  <si>
    <t>FLO_SHAR</t>
  </si>
  <si>
    <t>nothing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</si>
</sst>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9">
    <numFmt numFmtId="8" formatCode="&quot;R&quot;#,##0.00;[Red]\-&quot;R&quot;#,##0.00"/>
    <numFmt numFmtId="43" formatCode="_-* #,##0.00_-;\-* #,##0.00_-;_-* &quot;-&quot;??_-;_-@_-"/>
    <numFmt numFmtId="164" formatCode="_(* #,##0.00_);_(* \(#,##0.00\);_(* &quot;-&quot;??_);_(@_)"/>
    <numFmt numFmtId="165" formatCode="0.000"/>
    <numFmt numFmtId="166" formatCode="0.0000"/>
    <numFmt numFmtId="167" formatCode="0.0%"/>
    <numFmt numFmtId="168" formatCode="_-* #,##0_-;\-* #,##0_-;_-* &quot;-&quot;??_-;_-@_-"/>
    <numFmt numFmtId="169" formatCode="0.0"/>
    <numFmt numFmtId="170" formatCode="0.000%"/>
    <numFmt numFmtId="171" formatCode="_ * #,##0_ ;_ * \-#,##0_ ;_ * &quot;-&quot;??_ ;_ @_ "/>
    <numFmt numFmtId="172" formatCode="_ * #,##0.00_ ;_ * \-#,##0.00_ ;_ * &quot;-&quot;??_ ;_ @_ "/>
    <numFmt numFmtId="173" formatCode="#,##0.00000"/>
    <numFmt numFmtId="174" formatCode="#,##0.000"/>
    <numFmt numFmtId="175" formatCode="#,##0.000000"/>
    <numFmt numFmtId="176" formatCode="#,##0.0"/>
    <numFmt numFmtId="177" formatCode="_-* #,##0.0_-;\-* #,##0.0_-;_-* &quot;-&quot;??_-;_-@_-"/>
    <numFmt numFmtId="178" formatCode="\$0.00"/>
    <numFmt numFmtId="179" formatCode="&quot;R&quot;#,##0.00000;[Red]\-&quot;R&quot;#,##0.00000"/>
    <numFmt numFmtId="180" formatCode="\Te\x\t"/>
  </numFmts>
  <fonts count="67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b/>
      <sz val="8"/>
      <color indexed="20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b/>
      <sz val="8"/>
      <color indexed="8"/>
      <name val="Arial"/>
      <family val="2"/>
    </font>
    <font>
      <sz val="8"/>
      <name val="Arial"/>
      <family val="2"/>
    </font>
    <font>
      <sz val="10"/>
      <name val="Arial"/>
      <family val="2"/>
    </font>
    <font>
      <b/>
      <sz val="10"/>
      <color rgb="FF800080"/>
      <name val="Arial"/>
      <family val="2"/>
    </font>
    <font>
      <sz val="8"/>
      <color indexed="81"/>
      <name val="Tahoma"/>
      <family val="2"/>
    </font>
    <font>
      <sz val="8"/>
      <color indexed="8"/>
      <name val="Arial"/>
      <family val="2"/>
    </font>
    <font>
      <sz val="8"/>
      <color indexed="12"/>
      <name val="Arial"/>
      <family val="2"/>
    </font>
    <font>
      <b/>
      <sz val="8"/>
      <color rgb="FF800080"/>
      <name val="Arial"/>
      <family val="2"/>
    </font>
    <font>
      <sz val="8"/>
      <color rgb="FF800080"/>
      <name val="Arial"/>
      <family val="2"/>
    </font>
    <font>
      <sz val="8"/>
      <color rgb="FF000000"/>
      <name val="Arial"/>
      <family val="2"/>
    </font>
    <font>
      <b/>
      <sz val="8"/>
      <color indexed="81"/>
      <name val="Tahoma"/>
      <family val="2"/>
    </font>
    <font>
      <b/>
      <sz val="11"/>
      <color theme="1"/>
      <name val="Calibri"/>
      <family val="2"/>
      <scheme val="minor"/>
    </font>
    <font>
      <b/>
      <sz val="9"/>
      <color indexed="20"/>
      <name val="Arial"/>
      <family val="2"/>
    </font>
    <font>
      <sz val="8"/>
      <color rgb="FFFF0000"/>
      <name val="Arial"/>
      <family val="2"/>
    </font>
    <font>
      <b/>
      <sz val="9"/>
      <color rgb="FF800080"/>
      <name val="Arial"/>
      <family val="2"/>
    </font>
    <font>
      <u/>
      <sz val="10"/>
      <color indexed="12"/>
      <name val="Arial"/>
      <family val="2"/>
    </font>
    <font>
      <sz val="11"/>
      <color rgb="FFFF0000"/>
      <name val="Calibri"/>
      <family val="2"/>
      <scheme val="minor"/>
    </font>
    <font>
      <sz val="11"/>
      <color theme="5" tint="-0.249977111117893"/>
      <name val="Calibri"/>
      <family val="2"/>
      <scheme val="minor"/>
    </font>
    <font>
      <sz val="11"/>
      <color rgb="FFFFC000"/>
      <name val="Calibri"/>
      <family val="2"/>
      <scheme val="minor"/>
    </font>
    <font>
      <sz val="11"/>
      <color theme="8"/>
      <name val="Calibri"/>
      <family val="2"/>
      <scheme val="minor"/>
    </font>
    <font>
      <sz val="11"/>
      <color theme="9"/>
      <name val="Calibri"/>
      <family val="2"/>
      <scheme val="minor"/>
    </font>
    <font>
      <sz val="11"/>
      <color theme="1"/>
      <name val="Arial"/>
      <family val="2"/>
    </font>
    <font>
      <sz val="10"/>
      <name val="Arial"/>
      <family val="2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sz val="9"/>
      <color indexed="8"/>
      <name val="Arial"/>
      <family val="2"/>
    </font>
    <font>
      <sz val="10"/>
      <name val="Times New Roman"/>
      <family val="1"/>
      <charset val="204"/>
    </font>
    <font>
      <sz val="12"/>
      <color indexed="8"/>
      <name val="Arial"/>
      <family val="2"/>
    </font>
    <font>
      <b/>
      <sz val="12"/>
      <color indexed="8"/>
      <name val="Arial"/>
      <family val="2"/>
    </font>
    <font>
      <sz val="14"/>
      <color rgb="FF000000"/>
      <name val="Times New Roman"/>
      <family val="1"/>
    </font>
    <font>
      <sz val="12"/>
      <color rgb="FF202124"/>
      <name val="Arial"/>
      <family val="2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1"/>
      <color theme="1"/>
      <name val="Arial"/>
      <family val="2"/>
    </font>
    <font>
      <sz val="10"/>
      <name val="Arial"/>
      <family val="2"/>
    </font>
    <font>
      <u/>
      <sz val="10"/>
      <color theme="10"/>
      <name val="Arial"/>
      <family val="2"/>
    </font>
    <font>
      <b/>
      <sz val="12"/>
      <name val="Arial"/>
      <family val="2"/>
    </font>
    <font>
      <b/>
      <sz val="12"/>
      <color indexed="63"/>
      <name val="Arial"/>
      <family val="2"/>
    </font>
    <font>
      <sz val="12"/>
      <color indexed="9"/>
      <name val="Arial"/>
      <family val="2"/>
    </font>
    <font>
      <sz val="12"/>
      <color indexed="63"/>
      <name val="Arial"/>
      <family val="2"/>
    </font>
    <font>
      <b/>
      <sz val="12"/>
      <color indexed="9"/>
      <name val="Arial"/>
      <family val="2"/>
    </font>
    <font>
      <sz val="10"/>
      <name val="Verdana"/>
      <family val="2"/>
    </font>
    <font>
      <sz val="10"/>
      <name val="Arial"/>
      <family val="2"/>
      <charset val="238"/>
    </font>
    <font>
      <b/>
      <sz val="14"/>
      <name val="Arial"/>
      <family val="2"/>
    </font>
  </fonts>
  <fills count="1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BEBEBE"/>
        <bgColor indexed="64"/>
      </patternFill>
    </fill>
    <fill>
      <patternFill patternType="solid">
        <fgColor rgb="FFF9BE8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991F22"/>
        <bgColor indexed="64"/>
      </patternFill>
    </fill>
    <fill>
      <patternFill patternType="solid">
        <fgColor rgb="FF999999"/>
        <bgColor indexed="64"/>
      </patternFill>
    </fill>
    <fill>
      <patternFill patternType="solid">
        <fgColor rgb="FFEBEBEB"/>
        <bgColor indexed="64"/>
      </patternFill>
    </fill>
    <fill>
      <patternFill patternType="solid">
        <fgColor rgb="FFD5D5D5"/>
        <bgColor indexed="64"/>
      </patternFill>
    </fill>
  </fills>
  <borders count="4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indexed="64"/>
      </left>
      <right/>
      <top style="thin">
        <color indexed="64"/>
      </top>
      <bottom style="medium">
        <color theme="4" tint="0.39997558519241921"/>
      </bottom>
      <diagonal/>
    </border>
    <border>
      <left style="thin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indexed="64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indexed="64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FFFFFF"/>
      </left>
      <right style="thin">
        <color rgb="FFFFFFFF"/>
      </right>
      <top/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/>
      <diagonal/>
    </border>
  </borders>
  <cellStyleXfs count="32">
    <xf numFmtId="0" fontId="0" fillId="0" borderId="0"/>
    <xf numFmtId="0" fontId="23" fillId="0" borderId="0"/>
    <xf numFmtId="0" fontId="23" fillId="0" borderId="0"/>
    <xf numFmtId="0" fontId="23" fillId="0" borderId="0"/>
    <xf numFmtId="0" fontId="16" fillId="0" borderId="0"/>
    <xf numFmtId="0" fontId="23" fillId="0" borderId="0"/>
    <xf numFmtId="164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16" fillId="0" borderId="0"/>
    <xf numFmtId="0" fontId="36" fillId="0" borderId="0" applyNumberFormat="0" applyFill="0" applyBorder="0" applyAlignment="0" applyProtection="0">
      <alignment vertical="top"/>
      <protection locked="0"/>
    </xf>
    <xf numFmtId="0" fontId="15" fillId="0" borderId="0"/>
    <xf numFmtId="9" fontId="15" fillId="0" borderId="0" applyFont="0" applyFill="0" applyBorder="0" applyAlignment="0" applyProtection="0"/>
    <xf numFmtId="0" fontId="42" fillId="0" borderId="0"/>
    <xf numFmtId="43" fontId="42" fillId="0" borderId="0" applyFont="0" applyFill="0" applyBorder="0" applyAlignment="0" applyProtection="0"/>
    <xf numFmtId="164" fontId="15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4" fillId="0" borderId="17" applyNumberFormat="0" applyFill="0" applyAlignment="0" applyProtection="0"/>
    <xf numFmtId="0" fontId="45" fillId="0" borderId="18" applyNumberFormat="0" applyFill="0" applyAlignment="0" applyProtection="0"/>
    <xf numFmtId="0" fontId="46" fillId="3" borderId="0" applyNumberFormat="0" applyBorder="0" applyAlignment="0" applyProtection="0"/>
    <xf numFmtId="0" fontId="47" fillId="4" borderId="16" applyNumberFormat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57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8" fillId="0" borderId="0" applyNumberFormat="0" applyFill="0" applyBorder="0" applyAlignment="0" applyProtection="0"/>
    <xf numFmtId="0" fontId="3" fillId="0" borderId="0"/>
    <xf numFmtId="0" fontId="45" fillId="0" borderId="0" applyNumberFormat="0" applyFill="0" applyBorder="0" applyAlignment="0" applyProtection="0"/>
  </cellStyleXfs>
  <cellXfs count="344">
    <xf numFmtId="0" fontId="0" fillId="0" borderId="0" xfId="0"/>
    <xf numFmtId="0" fontId="17" fillId="0" borderId="0" xfId="0" applyFont="1"/>
    <xf numFmtId="0" fontId="19" fillId="0" borderId="0" xfId="0" applyFont="1"/>
    <xf numFmtId="0" fontId="20" fillId="0" borderId="0" xfId="0" applyFont="1"/>
    <xf numFmtId="0" fontId="21" fillId="0" borderId="0" xfId="0" applyFont="1"/>
    <xf numFmtId="0" fontId="18" fillId="0" borderId="0" xfId="0" applyFont="1"/>
    <xf numFmtId="0" fontId="19" fillId="0" borderId="0" xfId="0" applyFont="1" applyAlignment="1">
      <alignment horizontal="center" wrapText="1"/>
    </xf>
    <xf numFmtId="0" fontId="17" fillId="0" borderId="0" xfId="1" applyFont="1"/>
    <xf numFmtId="0" fontId="23" fillId="0" borderId="0" xfId="1"/>
    <xf numFmtId="0" fontId="20" fillId="0" borderId="0" xfId="1" applyFont="1"/>
    <xf numFmtId="0" fontId="26" fillId="0" borderId="0" xfId="1" applyFont="1"/>
    <xf numFmtId="0" fontId="19" fillId="0" borderId="0" xfId="1" applyFont="1"/>
    <xf numFmtId="0" fontId="27" fillId="0" borderId="0" xfId="0" applyFont="1"/>
    <xf numFmtId="0" fontId="28" fillId="0" borderId="0" xfId="0" applyFont="1"/>
    <xf numFmtId="0" fontId="29" fillId="0" borderId="0" xfId="0" applyFont="1"/>
    <xf numFmtId="0" fontId="21" fillId="0" borderId="0" xfId="1" applyFont="1"/>
    <xf numFmtId="0" fontId="28" fillId="0" borderId="0" xfId="1" applyFont="1"/>
    <xf numFmtId="0" fontId="29" fillId="0" borderId="0" xfId="1" applyFont="1"/>
    <xf numFmtId="49" fontId="28" fillId="0" borderId="0" xfId="0" applyNumberFormat="1" applyFont="1" applyAlignment="1">
      <alignment horizontal="left"/>
    </xf>
    <xf numFmtId="0" fontId="30" fillId="0" borderId="0" xfId="1" applyFont="1"/>
    <xf numFmtId="0" fontId="24" fillId="0" borderId="0" xfId="1" applyFont="1" applyAlignment="1">
      <alignment horizontal="center"/>
    </xf>
    <xf numFmtId="0" fontId="20" fillId="0" borderId="0" xfId="1" applyFont="1" applyAlignment="1">
      <alignment horizontal="center"/>
    </xf>
    <xf numFmtId="0" fontId="20" fillId="0" borderId="0" xfId="1" applyFont="1" applyAlignment="1">
      <alignment horizontal="center" wrapText="1"/>
    </xf>
    <xf numFmtId="0" fontId="26" fillId="0" borderId="0" xfId="0" applyFont="1"/>
    <xf numFmtId="0" fontId="29" fillId="2" borderId="0" xfId="0" applyFont="1" applyFill="1"/>
    <xf numFmtId="0" fontId="29" fillId="2" borderId="0" xfId="1" applyFont="1" applyFill="1"/>
    <xf numFmtId="0" fontId="20" fillId="0" borderId="0" xfId="0" applyFont="1" applyAlignment="1">
      <alignment horizontal="center"/>
    </xf>
    <xf numFmtId="0" fontId="28" fillId="0" borderId="0" xfId="0" applyFont="1" applyAlignment="1">
      <alignment horizontal="center"/>
    </xf>
    <xf numFmtId="0" fontId="33" fillId="0" borderId="0" xfId="3" applyFont="1"/>
    <xf numFmtId="0" fontId="20" fillId="0" borderId="0" xfId="3" applyFont="1"/>
    <xf numFmtId="0" fontId="20" fillId="0" borderId="0" xfId="2" applyFont="1" applyAlignment="1">
      <alignment horizontal="center"/>
    </xf>
    <xf numFmtId="0" fontId="20" fillId="0" borderId="0" xfId="2" applyFont="1"/>
    <xf numFmtId="0" fontId="23" fillId="0" borderId="0" xfId="3"/>
    <xf numFmtId="0" fontId="35" fillId="0" borderId="0" xfId="2" applyFont="1"/>
    <xf numFmtId="0" fontId="30" fillId="0" borderId="0" xfId="2" applyFont="1"/>
    <xf numFmtId="0" fontId="35" fillId="0" borderId="0" xfId="3" applyFont="1"/>
    <xf numFmtId="0" fontId="35" fillId="0" borderId="0" xfId="1" applyFont="1"/>
    <xf numFmtId="0" fontId="34" fillId="0" borderId="0" xfId="1" applyFont="1"/>
    <xf numFmtId="0" fontId="29" fillId="0" borderId="0" xfId="2" applyFont="1" applyAlignment="1">
      <alignment horizontal="center"/>
    </xf>
    <xf numFmtId="0" fontId="29" fillId="0" borderId="0" xfId="2" applyFont="1"/>
    <xf numFmtId="0" fontId="30" fillId="0" borderId="0" xfId="0" applyFont="1"/>
    <xf numFmtId="0" fontId="15" fillId="0" borderId="0" xfId="12"/>
    <xf numFmtId="0" fontId="32" fillId="0" borderId="0" xfId="12" applyFont="1"/>
    <xf numFmtId="0" fontId="15" fillId="0" borderId="5" xfId="12" applyBorder="1" applyAlignment="1">
      <alignment horizontal="center"/>
    </xf>
    <xf numFmtId="0" fontId="15" fillId="0" borderId="0" xfId="12" applyAlignment="1">
      <alignment horizontal="center"/>
    </xf>
    <xf numFmtId="0" fontId="15" fillId="0" borderId="14" xfId="12" applyBorder="1" applyAlignment="1">
      <alignment horizontal="center"/>
    </xf>
    <xf numFmtId="0" fontId="15" fillId="0" borderId="4" xfId="12" applyBorder="1" applyAlignment="1">
      <alignment horizontal="center"/>
    </xf>
    <xf numFmtId="0" fontId="15" fillId="0" borderId="9" xfId="12" applyBorder="1" applyAlignment="1">
      <alignment horizontal="center"/>
    </xf>
    <xf numFmtId="0" fontId="15" fillId="0" borderId="4" xfId="12" applyBorder="1"/>
    <xf numFmtId="0" fontId="15" fillId="0" borderId="14" xfId="12" applyBorder="1"/>
    <xf numFmtId="0" fontId="15" fillId="0" borderId="8" xfId="12" applyBorder="1" applyAlignment="1">
      <alignment horizontal="center"/>
    </xf>
    <xf numFmtId="0" fontId="15" fillId="0" borderId="10" xfId="12" applyBorder="1" applyAlignment="1">
      <alignment horizontal="center"/>
    </xf>
    <xf numFmtId="0" fontId="15" fillId="0" borderId="3" xfId="12" applyBorder="1" applyAlignment="1">
      <alignment horizontal="center"/>
    </xf>
    <xf numFmtId="0" fontId="15" fillId="0" borderId="1" xfId="12" applyBorder="1" applyAlignment="1">
      <alignment horizontal="center"/>
    </xf>
    <xf numFmtId="0" fontId="15" fillId="0" borderId="6" xfId="12" applyBorder="1" applyAlignment="1">
      <alignment horizontal="center"/>
    </xf>
    <xf numFmtId="0" fontId="40" fillId="0" borderId="15" xfId="12" applyFont="1" applyBorder="1" applyAlignment="1">
      <alignment horizontal="center"/>
    </xf>
    <xf numFmtId="0" fontId="15" fillId="0" borderId="5" xfId="12" applyBorder="1"/>
    <xf numFmtId="0" fontId="15" fillId="0" borderId="12" xfId="12" applyBorder="1" applyAlignment="1">
      <alignment horizontal="center"/>
    </xf>
    <xf numFmtId="0" fontId="38" fillId="0" borderId="0" xfId="12" applyFont="1"/>
    <xf numFmtId="0" fontId="40" fillId="0" borderId="0" xfId="12" applyFont="1"/>
    <xf numFmtId="0" fontId="37" fillId="0" borderId="0" xfId="12" applyFont="1"/>
    <xf numFmtId="0" fontId="39" fillId="0" borderId="0" xfId="12" applyFont="1"/>
    <xf numFmtId="0" fontId="37" fillId="0" borderId="14" xfId="12" applyFont="1" applyBorder="1" applyAlignment="1">
      <alignment horizontal="center"/>
    </xf>
    <xf numFmtId="0" fontId="41" fillId="0" borderId="0" xfId="12" applyFont="1"/>
    <xf numFmtId="0" fontId="15" fillId="0" borderId="5" xfId="12" applyBorder="1" applyAlignment="1">
      <alignment horizontal="center" textRotation="90"/>
    </xf>
    <xf numFmtId="0" fontId="15" fillId="0" borderId="4" xfId="12" applyBorder="1" applyAlignment="1">
      <alignment horizontal="center" textRotation="90"/>
    </xf>
    <xf numFmtId="0" fontId="15" fillId="0" borderId="0" xfId="12" applyAlignment="1">
      <alignment horizontal="center" textRotation="90"/>
    </xf>
    <xf numFmtId="0" fontId="23" fillId="0" borderId="0" xfId="0" applyFont="1"/>
    <xf numFmtId="0" fontId="44" fillId="0" borderId="17" xfId="19"/>
    <xf numFmtId="0" fontId="0" fillId="0" borderId="4" xfId="0" applyBorder="1"/>
    <xf numFmtId="2" fontId="0" fillId="0" borderId="0" xfId="0" applyNumberFormat="1"/>
    <xf numFmtId="0" fontId="0" fillId="0" borderId="2" xfId="0" applyBorder="1"/>
    <xf numFmtId="0" fontId="0" fillId="0" borderId="3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44" fillId="0" borderId="0" xfId="19" applyBorder="1"/>
    <xf numFmtId="0" fontId="0" fillId="0" borderId="1" xfId="0" applyBorder="1"/>
    <xf numFmtId="0" fontId="17" fillId="0" borderId="6" xfId="0" applyFont="1" applyBorder="1"/>
    <xf numFmtId="0" fontId="17" fillId="0" borderId="7" xfId="0" applyFont="1" applyBorder="1"/>
    <xf numFmtId="0" fontId="17" fillId="0" borderId="8" xfId="0" applyFont="1" applyBorder="1"/>
    <xf numFmtId="0" fontId="23" fillId="0" borderId="7" xfId="0" applyFont="1" applyBorder="1"/>
    <xf numFmtId="2" fontId="0" fillId="0" borderId="2" xfId="0" applyNumberFormat="1" applyBorder="1"/>
    <xf numFmtId="0" fontId="23" fillId="0" borderId="2" xfId="0" applyFont="1" applyBorder="1"/>
    <xf numFmtId="0" fontId="0" fillId="0" borderId="13" xfId="0" applyBorder="1"/>
    <xf numFmtId="0" fontId="0" fillId="0" borderId="11" xfId="0" applyBorder="1"/>
    <xf numFmtId="0" fontId="23" fillId="0" borderId="11" xfId="0" applyFont="1" applyBorder="1"/>
    <xf numFmtId="0" fontId="0" fillId="0" borderId="12" xfId="0" applyBorder="1"/>
    <xf numFmtId="167" fontId="0" fillId="0" borderId="0" xfId="18" applyNumberFormat="1" applyFont="1"/>
    <xf numFmtId="0" fontId="29" fillId="0" borderId="0" xfId="2" applyFont="1" applyAlignment="1">
      <alignment wrapText="1"/>
    </xf>
    <xf numFmtId="167" fontId="0" fillId="0" borderId="3" xfId="18" applyNumberFormat="1" applyFont="1" applyBorder="1"/>
    <xf numFmtId="0" fontId="20" fillId="0" borderId="0" xfId="2" applyFont="1" applyAlignment="1">
      <alignment wrapText="1"/>
    </xf>
    <xf numFmtId="165" fontId="20" fillId="0" borderId="0" xfId="0" applyNumberFormat="1" applyFont="1"/>
    <xf numFmtId="165" fontId="20" fillId="0" borderId="0" xfId="0" applyNumberFormat="1" applyFont="1" applyAlignment="1">
      <alignment horizontal="center"/>
    </xf>
    <xf numFmtId="0" fontId="47" fillId="4" borderId="16" xfId="22" applyAlignment="1">
      <alignment horizontal="center"/>
    </xf>
    <xf numFmtId="0" fontId="0" fillId="0" borderId="0" xfId="0" applyAlignment="1">
      <alignment horizontal="center"/>
    </xf>
    <xf numFmtId="0" fontId="20" fillId="0" borderId="0" xfId="2" applyFont="1" applyAlignment="1">
      <alignment horizontal="left"/>
    </xf>
    <xf numFmtId="0" fontId="20" fillId="0" borderId="0" xfId="0" applyFont="1" applyAlignment="1">
      <alignment horizontal="left"/>
    </xf>
    <xf numFmtId="0" fontId="14" fillId="0" borderId="5" xfId="12" applyFont="1" applyBorder="1" applyAlignment="1">
      <alignment horizontal="center" textRotation="90"/>
    </xf>
    <xf numFmtId="0" fontId="45" fillId="0" borderId="19" xfId="20" applyBorder="1" applyAlignment="1">
      <alignment horizontal="center"/>
    </xf>
    <xf numFmtId="0" fontId="13" fillId="0" borderId="5" xfId="12" applyFont="1" applyBorder="1" applyAlignment="1">
      <alignment horizontal="center" textRotation="90"/>
    </xf>
    <xf numFmtId="0" fontId="15" fillId="0" borderId="13" xfId="12" applyBorder="1" applyAlignment="1">
      <alignment horizontal="center"/>
    </xf>
    <xf numFmtId="165" fontId="23" fillId="0" borderId="5" xfId="0" applyNumberFormat="1" applyFont="1" applyBorder="1"/>
    <xf numFmtId="2" fontId="23" fillId="0" borderId="11" xfId="0" applyNumberFormat="1" applyFont="1" applyBorder="1"/>
    <xf numFmtId="0" fontId="23" fillId="0" borderId="3" xfId="0" applyFont="1" applyBorder="1"/>
    <xf numFmtId="0" fontId="12" fillId="0" borderId="5" xfId="12" applyFont="1" applyBorder="1" applyAlignment="1">
      <alignment horizontal="center" textRotation="90"/>
    </xf>
    <xf numFmtId="2" fontId="23" fillId="0" borderId="2" xfId="0" applyNumberFormat="1" applyFont="1" applyBorder="1"/>
    <xf numFmtId="0" fontId="11" fillId="0" borderId="0" xfId="12" applyFont="1"/>
    <xf numFmtId="0" fontId="11" fillId="0" borderId="5" xfId="12" applyFont="1" applyBorder="1" applyAlignment="1">
      <alignment horizontal="center" textRotation="90"/>
    </xf>
    <xf numFmtId="0" fontId="23" fillId="0" borderId="13" xfId="0" applyFont="1" applyBorder="1"/>
    <xf numFmtId="2" fontId="46" fillId="3" borderId="11" xfId="21" applyNumberFormat="1" applyBorder="1"/>
    <xf numFmtId="0" fontId="10" fillId="0" borderId="14" xfId="12" applyFont="1" applyBorder="1" applyAlignment="1">
      <alignment horizontal="center"/>
    </xf>
    <xf numFmtId="4" fontId="0" fillId="0" borderId="0" xfId="0" applyNumberFormat="1"/>
    <xf numFmtId="4" fontId="0" fillId="0" borderId="2" xfId="0" applyNumberFormat="1" applyBorder="1"/>
    <xf numFmtId="0" fontId="9" fillId="0" borderId="9" xfId="12" applyFont="1" applyBorder="1" applyAlignment="1">
      <alignment horizontal="center"/>
    </xf>
    <xf numFmtId="0" fontId="9" fillId="0" borderId="5" xfId="12" applyFont="1" applyBorder="1" applyAlignment="1">
      <alignment horizontal="center" textRotation="90"/>
    </xf>
    <xf numFmtId="0" fontId="15" fillId="0" borderId="6" xfId="12" applyBorder="1"/>
    <xf numFmtId="0" fontId="15" fillId="0" borderId="7" xfId="12" applyBorder="1"/>
    <xf numFmtId="0" fontId="8" fillId="2" borderId="5" xfId="12" applyFont="1" applyFill="1" applyBorder="1" applyAlignment="1">
      <alignment horizontal="center" textRotation="90"/>
    </xf>
    <xf numFmtId="0" fontId="0" fillId="0" borderId="5" xfId="0" applyBorder="1"/>
    <xf numFmtId="2" fontId="46" fillId="3" borderId="2" xfId="21" applyNumberFormat="1" applyBorder="1"/>
    <xf numFmtId="0" fontId="8" fillId="0" borderId="0" xfId="12" applyFont="1"/>
    <xf numFmtId="0" fontId="32" fillId="0" borderId="0" xfId="23" applyFont="1"/>
    <xf numFmtId="0" fontId="7" fillId="0" borderId="0" xfId="23"/>
    <xf numFmtId="0" fontId="32" fillId="0" borderId="1" xfId="23" applyFont="1" applyBorder="1"/>
    <xf numFmtId="0" fontId="7" fillId="0" borderId="2" xfId="23" applyBorder="1"/>
    <xf numFmtId="0" fontId="7" fillId="0" borderId="3" xfId="23" applyBorder="1"/>
    <xf numFmtId="0" fontId="48" fillId="5" borderId="20" xfId="23" applyFont="1" applyFill="1" applyBorder="1" applyAlignment="1">
      <alignment horizontal="left" vertical="top" wrapText="1"/>
    </xf>
    <xf numFmtId="0" fontId="48" fillId="5" borderId="21" xfId="23" applyFont="1" applyFill="1" applyBorder="1" applyAlignment="1">
      <alignment horizontal="left" vertical="top" wrapText="1"/>
    </xf>
    <xf numFmtId="0" fontId="49" fillId="5" borderId="21" xfId="23" applyFont="1" applyFill="1" applyBorder="1" applyAlignment="1">
      <alignment horizontal="left" vertical="center" wrapText="1"/>
    </xf>
    <xf numFmtId="0" fontId="7" fillId="0" borderId="5" xfId="23" applyBorder="1"/>
    <xf numFmtId="0" fontId="49" fillId="6" borderId="20" xfId="23" applyFont="1" applyFill="1" applyBorder="1" applyAlignment="1">
      <alignment horizontal="left" vertical="center" wrapText="1"/>
    </xf>
    <xf numFmtId="0" fontId="49" fillId="6" borderId="21" xfId="23" applyFont="1" applyFill="1" applyBorder="1" applyAlignment="1">
      <alignment horizontal="left" vertical="center" wrapText="1"/>
    </xf>
    <xf numFmtId="1" fontId="48" fillId="6" borderId="21" xfId="23" applyNumberFormat="1" applyFont="1" applyFill="1" applyBorder="1" applyAlignment="1">
      <alignment horizontal="right" vertical="top" shrinkToFit="1"/>
    </xf>
    <xf numFmtId="1" fontId="48" fillId="6" borderId="21" xfId="23" applyNumberFormat="1" applyFont="1" applyFill="1" applyBorder="1" applyAlignment="1">
      <alignment horizontal="center" vertical="top" shrinkToFit="1"/>
    </xf>
    <xf numFmtId="0" fontId="48" fillId="0" borderId="20" xfId="23" applyFont="1" applyBorder="1" applyAlignment="1">
      <alignment horizontal="left" vertical="top" wrapText="1"/>
    </xf>
    <xf numFmtId="0" fontId="48" fillId="0" borderId="21" xfId="23" applyFont="1" applyBorder="1" applyAlignment="1">
      <alignment horizontal="left" vertical="top" wrapText="1"/>
    </xf>
    <xf numFmtId="0" fontId="48" fillId="0" borderId="21" xfId="23" applyFont="1" applyBorder="1" applyAlignment="1">
      <alignment horizontal="right" vertical="top" wrapText="1"/>
    </xf>
    <xf numFmtId="168" fontId="48" fillId="0" borderId="21" xfId="24" applyNumberFormat="1" applyFont="1" applyBorder="1" applyAlignment="1">
      <alignment horizontal="right" vertical="top" wrapText="1"/>
    </xf>
    <xf numFmtId="168" fontId="0" fillId="0" borderId="0" xfId="24" applyNumberFormat="1" applyFont="1" applyBorder="1"/>
    <xf numFmtId="0" fontId="48" fillId="0" borderId="22" xfId="23" applyFont="1" applyBorder="1" applyAlignment="1">
      <alignment horizontal="right" vertical="top" wrapText="1"/>
    </xf>
    <xf numFmtId="0" fontId="48" fillId="0" borderId="23" xfId="23" applyFont="1" applyBorder="1" applyAlignment="1">
      <alignment horizontal="left" vertical="top" wrapText="1"/>
    </xf>
    <xf numFmtId="0" fontId="48" fillId="0" borderId="24" xfId="23" applyFont="1" applyBorder="1" applyAlignment="1">
      <alignment horizontal="left" vertical="top" wrapText="1"/>
    </xf>
    <xf numFmtId="0" fontId="48" fillId="0" borderId="24" xfId="23" applyFont="1" applyBorder="1" applyAlignment="1">
      <alignment horizontal="right" vertical="top" wrapText="1"/>
    </xf>
    <xf numFmtId="168" fontId="48" fillId="0" borderId="24" xfId="24" applyNumberFormat="1" applyFont="1" applyBorder="1" applyAlignment="1">
      <alignment horizontal="right" vertical="top" wrapText="1"/>
    </xf>
    <xf numFmtId="0" fontId="48" fillId="0" borderId="0" xfId="23" applyFont="1" applyAlignment="1">
      <alignment horizontal="right" vertical="top" wrapText="1"/>
    </xf>
    <xf numFmtId="0" fontId="7" fillId="0" borderId="4" xfId="23" applyBorder="1"/>
    <xf numFmtId="9" fontId="0" fillId="0" borderId="0" xfId="25" applyFont="1" applyBorder="1"/>
    <xf numFmtId="0" fontId="7" fillId="0" borderId="6" xfId="23" applyBorder="1"/>
    <xf numFmtId="0" fontId="7" fillId="0" borderId="7" xfId="23" applyBorder="1"/>
    <xf numFmtId="0" fontId="7" fillId="0" borderId="8" xfId="23" applyBorder="1"/>
    <xf numFmtId="0" fontId="7" fillId="0" borderId="1" xfId="23" applyBorder="1"/>
    <xf numFmtId="0" fontId="50" fillId="5" borderId="25" xfId="23" applyFont="1" applyFill="1" applyBorder="1" applyAlignment="1">
      <alignment horizontal="left" vertical="top" wrapText="1"/>
    </xf>
    <xf numFmtId="0" fontId="50" fillId="5" borderId="26" xfId="23" applyFont="1" applyFill="1" applyBorder="1" applyAlignment="1">
      <alignment horizontal="left" vertical="top" wrapText="1"/>
    </xf>
    <xf numFmtId="0" fontId="50" fillId="5" borderId="26" xfId="23" applyFont="1" applyFill="1" applyBorder="1" applyAlignment="1">
      <alignment horizontal="center" vertical="top" wrapText="1"/>
    </xf>
    <xf numFmtId="0" fontId="50" fillId="0" borderId="20" xfId="23" applyFont="1" applyBorder="1" applyAlignment="1">
      <alignment horizontal="left" vertical="center" wrapText="1"/>
    </xf>
    <xf numFmtId="169" fontId="50" fillId="0" borderId="21" xfId="23" applyNumberFormat="1" applyFont="1" applyBorder="1" applyAlignment="1">
      <alignment horizontal="center" vertical="center" shrinkToFit="1"/>
    </xf>
    <xf numFmtId="2" fontId="50" fillId="0" borderId="21" xfId="23" applyNumberFormat="1" applyFont="1" applyBorder="1" applyAlignment="1">
      <alignment horizontal="center" vertical="center" shrinkToFit="1"/>
    </xf>
    <xf numFmtId="1" fontId="50" fillId="0" borderId="21" xfId="23" applyNumberFormat="1" applyFont="1" applyBorder="1" applyAlignment="1">
      <alignment horizontal="center" vertical="center" shrinkToFit="1"/>
    </xf>
    <xf numFmtId="0" fontId="50" fillId="5" borderId="27" xfId="23" applyFont="1" applyFill="1" applyBorder="1" applyAlignment="1">
      <alignment horizontal="center" vertical="top" wrapText="1"/>
    </xf>
    <xf numFmtId="0" fontId="50" fillId="5" borderId="28" xfId="23" applyFont="1" applyFill="1" applyBorder="1" applyAlignment="1">
      <alignment horizontal="center" vertical="top" wrapText="1"/>
    </xf>
    <xf numFmtId="0" fontId="50" fillId="5" borderId="22" xfId="23" applyFont="1" applyFill="1" applyBorder="1" applyAlignment="1">
      <alignment horizontal="left" vertical="top" wrapText="1" indent="2"/>
    </xf>
    <xf numFmtId="0" fontId="50" fillId="0" borderId="29" xfId="23" applyFont="1" applyBorder="1" applyAlignment="1">
      <alignment horizontal="center" vertical="top" wrapText="1"/>
    </xf>
    <xf numFmtId="167" fontId="50" fillId="0" borderId="26" xfId="23" applyNumberFormat="1" applyFont="1" applyBorder="1" applyAlignment="1">
      <alignment horizontal="center" vertical="top" shrinkToFit="1"/>
    </xf>
    <xf numFmtId="0" fontId="50" fillId="0" borderId="33" xfId="23" applyFont="1" applyBorder="1" applyAlignment="1">
      <alignment horizontal="center" vertical="center" wrapText="1"/>
    </xf>
    <xf numFmtId="0" fontId="50" fillId="0" borderId="21" xfId="23" applyFont="1" applyBorder="1" applyAlignment="1">
      <alignment horizontal="center" vertical="center" wrapText="1"/>
    </xf>
    <xf numFmtId="167" fontId="50" fillId="0" borderId="21" xfId="23" applyNumberFormat="1" applyFont="1" applyBorder="1" applyAlignment="1">
      <alignment horizontal="center" vertical="center" shrinkToFit="1"/>
    </xf>
    <xf numFmtId="170" fontId="50" fillId="0" borderId="21" xfId="23" applyNumberFormat="1" applyFont="1" applyBorder="1" applyAlignment="1">
      <alignment horizontal="center" vertical="center" shrinkToFit="1"/>
    </xf>
    <xf numFmtId="10" fontId="50" fillId="0" borderId="21" xfId="23" applyNumberFormat="1" applyFont="1" applyBorder="1" applyAlignment="1">
      <alignment horizontal="center" vertical="center" shrinkToFit="1"/>
    </xf>
    <xf numFmtId="0" fontId="51" fillId="0" borderId="0" xfId="23" applyFont="1" applyAlignment="1">
      <alignment horizontal="center" vertical="center" wrapText="1"/>
    </xf>
    <xf numFmtId="0" fontId="50" fillId="5" borderId="26" xfId="23" applyFont="1" applyFill="1" applyBorder="1" applyAlignment="1">
      <alignment horizontal="left" vertical="top"/>
    </xf>
    <xf numFmtId="0" fontId="50" fillId="5" borderId="26" xfId="23" applyFont="1" applyFill="1" applyBorder="1" applyAlignment="1">
      <alignment horizontal="right" vertical="top"/>
    </xf>
    <xf numFmtId="0" fontId="50" fillId="0" borderId="21" xfId="23" applyFont="1" applyBorder="1" applyAlignment="1">
      <alignment horizontal="left" vertical="center"/>
    </xf>
    <xf numFmtId="165" fontId="50" fillId="0" borderId="21" xfId="23" applyNumberFormat="1" applyFont="1" applyBorder="1" applyAlignment="1">
      <alignment horizontal="right" vertical="center" shrinkToFit="1"/>
    </xf>
    <xf numFmtId="4" fontId="7" fillId="0" borderId="10" xfId="23" applyNumberFormat="1" applyBorder="1"/>
    <xf numFmtId="10" fontId="0" fillId="0" borderId="10" xfId="25" applyNumberFormat="1" applyFont="1" applyBorder="1"/>
    <xf numFmtId="0" fontId="52" fillId="0" borderId="21" xfId="23" applyFont="1" applyBorder="1" applyAlignment="1">
      <alignment vertical="center" wrapText="1"/>
    </xf>
    <xf numFmtId="171" fontId="0" fillId="0" borderId="37" xfId="24" applyNumberFormat="1" applyFont="1" applyFill="1" applyBorder="1" applyProtection="1">
      <protection locked="0"/>
    </xf>
    <xf numFmtId="171" fontId="0" fillId="0" borderId="37" xfId="24" quotePrefix="1" applyNumberFormat="1" applyFont="1" applyFill="1" applyBorder="1" applyProtection="1">
      <protection locked="0"/>
    </xf>
    <xf numFmtId="172" fontId="7" fillId="0" borderId="0" xfId="23" applyNumberFormat="1"/>
    <xf numFmtId="168" fontId="0" fillId="0" borderId="7" xfId="24" applyNumberFormat="1" applyFont="1" applyBorder="1"/>
    <xf numFmtId="0" fontId="53" fillId="0" borderId="0" xfId="23" applyFont="1"/>
    <xf numFmtId="0" fontId="7" fillId="0" borderId="10" xfId="23" applyBorder="1"/>
    <xf numFmtId="171" fontId="0" fillId="0" borderId="38" xfId="24" applyNumberFormat="1" applyFont="1" applyFill="1" applyBorder="1" applyProtection="1">
      <protection locked="0"/>
    </xf>
    <xf numFmtId="168" fontId="7" fillId="0" borderId="10" xfId="24" applyNumberFormat="1" applyFont="1" applyBorder="1"/>
    <xf numFmtId="43" fontId="7" fillId="0" borderId="10" xfId="23" applyNumberFormat="1" applyBorder="1"/>
    <xf numFmtId="171" fontId="0" fillId="0" borderId="38" xfId="24" quotePrefix="1" applyNumberFormat="1" applyFont="1" applyFill="1" applyBorder="1" applyProtection="1">
      <protection locked="0"/>
    </xf>
    <xf numFmtId="168" fontId="0" fillId="0" borderId="10" xfId="24" applyNumberFormat="1" applyFont="1" applyBorder="1"/>
    <xf numFmtId="10" fontId="0" fillId="0" borderId="10" xfId="25" quotePrefix="1" applyNumberFormat="1" applyFont="1" applyBorder="1"/>
    <xf numFmtId="4" fontId="7" fillId="0" borderId="0" xfId="23" applyNumberFormat="1"/>
    <xf numFmtId="9" fontId="7" fillId="0" borderId="0" xfId="23" applyNumberFormat="1"/>
    <xf numFmtId="10" fontId="7" fillId="0" borderId="0" xfId="23" applyNumberFormat="1"/>
    <xf numFmtId="169" fontId="54" fillId="0" borderId="0" xfId="23" applyNumberFormat="1" applyFont="1"/>
    <xf numFmtId="9" fontId="0" fillId="0" borderId="0" xfId="25" applyFont="1"/>
    <xf numFmtId="9" fontId="32" fillId="0" borderId="0" xfId="25" applyFont="1"/>
    <xf numFmtId="167" fontId="32" fillId="0" borderId="0" xfId="25" applyNumberFormat="1" applyFont="1"/>
    <xf numFmtId="2" fontId="7" fillId="0" borderId="0" xfId="23" applyNumberFormat="1"/>
    <xf numFmtId="2" fontId="32" fillId="0" borderId="0" xfId="23" applyNumberFormat="1" applyFont="1"/>
    <xf numFmtId="166" fontId="7" fillId="0" borderId="0" xfId="23" applyNumberFormat="1"/>
    <xf numFmtId="165" fontId="7" fillId="0" borderId="0" xfId="23" applyNumberFormat="1"/>
    <xf numFmtId="0" fontId="32" fillId="0" borderId="2" xfId="23" applyFont="1" applyBorder="1"/>
    <xf numFmtId="169" fontId="7" fillId="0" borderId="0" xfId="23" applyNumberFormat="1"/>
    <xf numFmtId="168" fontId="0" fillId="0" borderId="0" xfId="24" applyNumberFormat="1" applyFont="1"/>
    <xf numFmtId="43" fontId="7" fillId="0" borderId="0" xfId="23" applyNumberFormat="1"/>
    <xf numFmtId="22" fontId="7" fillId="0" borderId="4" xfId="23" applyNumberFormat="1" applyBorder="1"/>
    <xf numFmtId="168" fontId="7" fillId="0" borderId="0" xfId="23" applyNumberFormat="1"/>
    <xf numFmtId="0" fontId="55" fillId="0" borderId="0" xfId="23" applyFont="1"/>
    <xf numFmtId="168" fontId="55" fillId="0" borderId="0" xfId="23" applyNumberFormat="1" applyFont="1"/>
    <xf numFmtId="8" fontId="7" fillId="0" borderId="0" xfId="23" applyNumberFormat="1"/>
    <xf numFmtId="4" fontId="42" fillId="0" borderId="0" xfId="14" applyNumberFormat="1"/>
    <xf numFmtId="4" fontId="42" fillId="9" borderId="0" xfId="14" applyNumberFormat="1" applyFill="1"/>
    <xf numFmtId="4" fontId="42" fillId="10" borderId="0" xfId="14" applyNumberFormat="1" applyFill="1"/>
    <xf numFmtId="4" fontId="42" fillId="0" borderId="10" xfId="14" applyNumberFormat="1" applyBorder="1"/>
    <xf numFmtId="4" fontId="42" fillId="2" borderId="0" xfId="14" applyNumberFormat="1" applyFill="1"/>
    <xf numFmtId="4" fontId="42" fillId="0" borderId="10" xfId="14" quotePrefix="1" applyNumberFormat="1" applyBorder="1"/>
    <xf numFmtId="3" fontId="42" fillId="0" borderId="10" xfId="14" applyNumberFormat="1" applyBorder="1"/>
    <xf numFmtId="4" fontId="42" fillId="10" borderId="10" xfId="14" applyNumberFormat="1" applyFill="1" applyBorder="1"/>
    <xf numFmtId="4" fontId="42" fillId="11" borderId="10" xfId="14" applyNumberFormat="1" applyFill="1" applyBorder="1"/>
    <xf numFmtId="173" fontId="42" fillId="0" borderId="10" xfId="14" applyNumberFormat="1" applyBorder="1"/>
    <xf numFmtId="10" fontId="0" fillId="0" borderId="10" xfId="17" applyNumberFormat="1" applyFont="1" applyBorder="1"/>
    <xf numFmtId="3" fontId="42" fillId="0" borderId="10" xfId="14" applyNumberFormat="1" applyBorder="1" applyAlignment="1">
      <alignment vertical="center" wrapText="1"/>
    </xf>
    <xf numFmtId="0" fontId="42" fillId="0" borderId="0" xfId="14"/>
    <xf numFmtId="174" fontId="42" fillId="0" borderId="10" xfId="14" applyNumberFormat="1" applyBorder="1"/>
    <xf numFmtId="3" fontId="42" fillId="0" borderId="0" xfId="14" applyNumberFormat="1"/>
    <xf numFmtId="4" fontId="42" fillId="12" borderId="10" xfId="14" applyNumberFormat="1" applyFill="1" applyBorder="1"/>
    <xf numFmtId="3" fontId="42" fillId="12" borderId="10" xfId="14" applyNumberFormat="1" applyFill="1" applyBorder="1"/>
    <xf numFmtId="175" fontId="42" fillId="0" borderId="0" xfId="14" applyNumberFormat="1"/>
    <xf numFmtId="167" fontId="0" fillId="0" borderId="0" xfId="17" applyNumberFormat="1" applyFont="1"/>
    <xf numFmtId="176" fontId="42" fillId="0" borderId="0" xfId="14" applyNumberFormat="1"/>
    <xf numFmtId="10" fontId="0" fillId="0" borderId="0" xfId="17" applyNumberFormat="1" applyFont="1"/>
    <xf numFmtId="170" fontId="0" fillId="0" borderId="10" xfId="17" applyNumberFormat="1" applyFont="1" applyBorder="1"/>
    <xf numFmtId="4" fontId="42" fillId="14" borderId="0" xfId="14" applyNumberFormat="1" applyFill="1"/>
    <xf numFmtId="4" fontId="42" fillId="0" borderId="14" xfId="14" applyNumberFormat="1" applyBorder="1"/>
    <xf numFmtId="167" fontId="0" fillId="0" borderId="0" xfId="17" applyNumberFormat="1" applyFont="1" applyBorder="1"/>
    <xf numFmtId="0" fontId="6" fillId="0" borderId="5" xfId="12" applyFont="1" applyBorder="1" applyAlignment="1">
      <alignment horizontal="center" textRotation="90"/>
    </xf>
    <xf numFmtId="0" fontId="5" fillId="0" borderId="0" xfId="27"/>
    <xf numFmtId="0" fontId="32" fillId="0" borderId="0" xfId="27" applyFont="1"/>
    <xf numFmtId="2" fontId="5" fillId="0" borderId="0" xfId="27" applyNumberFormat="1"/>
    <xf numFmtId="9" fontId="0" fillId="0" borderId="0" xfId="28" applyFont="1"/>
    <xf numFmtId="0" fontId="5" fillId="0" borderId="5" xfId="12" applyFont="1" applyBorder="1" applyAlignment="1">
      <alignment horizontal="center" textRotation="90"/>
    </xf>
    <xf numFmtId="0" fontId="5" fillId="0" borderId="0" xfId="23" applyFont="1"/>
    <xf numFmtId="167" fontId="7" fillId="0" borderId="0" xfId="18" applyNumberFormat="1" applyFont="1"/>
    <xf numFmtId="0" fontId="54" fillId="0" borderId="0" xfId="23" applyFont="1"/>
    <xf numFmtId="1" fontId="7" fillId="0" borderId="0" xfId="23" applyNumberFormat="1"/>
    <xf numFmtId="177" fontId="7" fillId="0" borderId="0" xfId="26" applyNumberFormat="1" applyFont="1"/>
    <xf numFmtId="43" fontId="32" fillId="0" borderId="0" xfId="23" applyNumberFormat="1" applyFont="1"/>
    <xf numFmtId="2" fontId="7" fillId="0" borderId="2" xfId="23" applyNumberFormat="1" applyBorder="1"/>
    <xf numFmtId="2" fontId="7" fillId="0" borderId="3" xfId="23" applyNumberFormat="1" applyBorder="1"/>
    <xf numFmtId="0" fontId="54" fillId="0" borderId="4" xfId="23" applyFont="1" applyBorder="1"/>
    <xf numFmtId="0" fontId="32" fillId="0" borderId="5" xfId="23" applyFont="1" applyBorder="1"/>
    <xf numFmtId="166" fontId="7" fillId="0" borderId="5" xfId="23" applyNumberFormat="1" applyBorder="1"/>
    <xf numFmtId="0" fontId="5" fillId="2" borderId="5" xfId="12" applyFont="1" applyFill="1" applyBorder="1" applyAlignment="1">
      <alignment horizontal="center" textRotation="90"/>
    </xf>
    <xf numFmtId="0" fontId="58" fillId="0" borderId="0" xfId="29"/>
    <xf numFmtId="0" fontId="59" fillId="0" borderId="0" xfId="0" applyFont="1"/>
    <xf numFmtId="0" fontId="49" fillId="15" borderId="39" xfId="0" applyFont="1" applyFill="1" applyBorder="1" applyAlignment="1">
      <alignment horizontal="left" vertical="center" wrapText="1"/>
    </xf>
    <xf numFmtId="0" fontId="61" fillId="15" borderId="39" xfId="0" applyFont="1" applyFill="1" applyBorder="1" applyAlignment="1">
      <alignment horizontal="center" vertical="top" wrapText="1"/>
    </xf>
    <xf numFmtId="0" fontId="61" fillId="16" borderId="40" xfId="0" applyFont="1" applyFill="1" applyBorder="1" applyAlignment="1">
      <alignment horizontal="left" vertical="top" wrapText="1"/>
    </xf>
    <xf numFmtId="0" fontId="62" fillId="17" borderId="40" xfId="0" applyFont="1" applyFill="1" applyBorder="1" applyAlignment="1">
      <alignment horizontal="center" vertical="top" wrapText="1"/>
    </xf>
    <xf numFmtId="0" fontId="62" fillId="18" borderId="40" xfId="0" applyFont="1" applyFill="1" applyBorder="1" applyAlignment="1">
      <alignment horizontal="center" vertical="top" wrapText="1"/>
    </xf>
    <xf numFmtId="0" fontId="62" fillId="17" borderId="40" xfId="0" applyFont="1" applyFill="1" applyBorder="1" applyAlignment="1">
      <alignment horizontal="left" vertical="top" wrapText="1" indent="4"/>
    </xf>
    <xf numFmtId="0" fontId="63" fillId="16" borderId="41" xfId="0" applyFont="1" applyFill="1" applyBorder="1" applyAlignment="1">
      <alignment horizontal="left" vertical="top" wrapText="1"/>
    </xf>
    <xf numFmtId="178" fontId="60" fillId="17" borderId="41" xfId="0" applyNumberFormat="1" applyFont="1" applyFill="1" applyBorder="1" applyAlignment="1">
      <alignment horizontal="center" vertical="top" shrinkToFit="1"/>
    </xf>
    <xf numFmtId="0" fontId="60" fillId="17" borderId="41" xfId="0" applyFont="1" applyFill="1" applyBorder="1" applyAlignment="1">
      <alignment horizontal="center" vertical="top" wrapText="1"/>
    </xf>
    <xf numFmtId="0" fontId="17" fillId="0" borderId="0" xfId="0" applyFont="1" applyAlignment="1">
      <alignment horizontal="right"/>
    </xf>
    <xf numFmtId="0" fontId="23" fillId="2" borderId="0" xfId="0" applyFont="1" applyFill="1"/>
    <xf numFmtId="0" fontId="0" fillId="2" borderId="0" xfId="0" applyFill="1"/>
    <xf numFmtId="169" fontId="0" fillId="0" borderId="0" xfId="0" applyNumberFormat="1"/>
    <xf numFmtId="9" fontId="0" fillId="0" borderId="0" xfId="18" applyFont="1"/>
    <xf numFmtId="0" fontId="23" fillId="0" borderId="0" xfId="0" applyFont="1" applyAlignment="1">
      <alignment horizontal="left"/>
    </xf>
    <xf numFmtId="177" fontId="20" fillId="0" borderId="0" xfId="2" applyNumberFormat="1" applyFont="1"/>
    <xf numFmtId="15" fontId="0" fillId="0" borderId="0" xfId="0" applyNumberFormat="1"/>
    <xf numFmtId="0" fontId="23" fillId="0" borderId="0" xfId="0" applyFont="1" applyAlignment="1">
      <alignment wrapText="1"/>
    </xf>
    <xf numFmtId="2" fontId="0" fillId="2" borderId="0" xfId="0" applyNumberFormat="1" applyFill="1"/>
    <xf numFmtId="177" fontId="32" fillId="0" borderId="0" xfId="26" applyNumberFormat="1" applyFont="1"/>
    <xf numFmtId="1" fontId="0" fillId="0" borderId="0" xfId="0" applyNumberFormat="1"/>
    <xf numFmtId="4" fontId="4" fillId="0" borderId="0" xfId="23" applyNumberFormat="1" applyFont="1"/>
    <xf numFmtId="0" fontId="3" fillId="0" borderId="0" xfId="12" applyFont="1"/>
    <xf numFmtId="0" fontId="3" fillId="0" borderId="5" xfId="12" applyFont="1" applyBorder="1" applyAlignment="1">
      <alignment horizontal="center" textRotation="90"/>
    </xf>
    <xf numFmtId="0" fontId="3" fillId="0" borderId="0" xfId="23" applyFont="1"/>
    <xf numFmtId="0" fontId="3" fillId="0" borderId="0" xfId="23" applyFont="1" applyAlignment="1">
      <alignment wrapText="1"/>
    </xf>
    <xf numFmtId="15" fontId="23" fillId="0" borderId="0" xfId="0" applyNumberFormat="1" applyFont="1"/>
    <xf numFmtId="0" fontId="32" fillId="0" borderId="0" xfId="23" applyFont="1" applyAlignment="1">
      <alignment wrapText="1"/>
    </xf>
    <xf numFmtId="0" fontId="7" fillId="0" borderId="0" xfId="23" applyAlignment="1">
      <alignment wrapText="1"/>
    </xf>
    <xf numFmtId="177" fontId="3" fillId="0" borderId="0" xfId="26" applyNumberFormat="1" applyFont="1"/>
    <xf numFmtId="9" fontId="11" fillId="0" borderId="0" xfId="12" applyNumberFormat="1" applyFont="1"/>
    <xf numFmtId="9" fontId="15" fillId="0" borderId="0" xfId="12" applyNumberFormat="1"/>
    <xf numFmtId="179" fontId="9" fillId="0" borderId="0" xfId="12" applyNumberFormat="1" applyFont="1"/>
    <xf numFmtId="0" fontId="3" fillId="0" borderId="15" xfId="12" applyFont="1" applyBorder="1"/>
    <xf numFmtId="0" fontId="3" fillId="0" borderId="14" xfId="12" applyFont="1" applyBorder="1"/>
    <xf numFmtId="0" fontId="15" fillId="0" borderId="9" xfId="12" applyBorder="1"/>
    <xf numFmtId="0" fontId="15" fillId="0" borderId="15" xfId="12" applyBorder="1"/>
    <xf numFmtId="0" fontId="3" fillId="0" borderId="9" xfId="12" applyFont="1" applyBorder="1"/>
    <xf numFmtId="0" fontId="15" fillId="0" borderId="8" xfId="12" applyBorder="1"/>
    <xf numFmtId="1" fontId="20" fillId="0" borderId="0" xfId="0" applyNumberFormat="1" applyFont="1"/>
    <xf numFmtId="0" fontId="2" fillId="0" borderId="0" xfId="23" applyFont="1" applyAlignment="1">
      <alignment wrapText="1"/>
    </xf>
    <xf numFmtId="9" fontId="0" fillId="0" borderId="0" xfId="0" applyNumberFormat="1"/>
    <xf numFmtId="177" fontId="7" fillId="0" borderId="0" xfId="23" applyNumberFormat="1"/>
    <xf numFmtId="10" fontId="0" fillId="0" borderId="0" xfId="0" applyNumberFormat="1"/>
    <xf numFmtId="0" fontId="64" fillId="0" borderId="0" xfId="0" applyFont="1"/>
    <xf numFmtId="2" fontId="34" fillId="0" borderId="0" xfId="2" applyNumberFormat="1" applyFont="1"/>
    <xf numFmtId="0" fontId="19" fillId="0" borderId="0" xfId="2" applyFont="1"/>
    <xf numFmtId="0" fontId="23" fillId="0" borderId="0" xfId="2"/>
    <xf numFmtId="180" fontId="45" fillId="0" borderId="0" xfId="31" applyNumberFormat="1" applyFill="1"/>
    <xf numFmtId="0" fontId="45" fillId="0" borderId="0" xfId="31" applyFill="1"/>
    <xf numFmtId="180" fontId="45" fillId="0" borderId="2" xfId="31" applyNumberFormat="1" applyFill="1" applyBorder="1" applyAlignment="1">
      <alignment horizontal="left"/>
    </xf>
    <xf numFmtId="0" fontId="28" fillId="0" borderId="0" xfId="2" applyFont="1" applyAlignment="1">
      <alignment horizontal="center"/>
    </xf>
    <xf numFmtId="0" fontId="19" fillId="0" borderId="0" xfId="2" applyFont="1" applyAlignment="1">
      <alignment horizontal="center" wrapText="1"/>
    </xf>
    <xf numFmtId="0" fontId="1" fillId="0" borderId="5" xfId="12" applyFont="1" applyBorder="1" applyAlignment="1">
      <alignment horizontal="center" textRotation="90"/>
    </xf>
    <xf numFmtId="0" fontId="1" fillId="0" borderId="0" xfId="23" applyFont="1"/>
    <xf numFmtId="0" fontId="20" fillId="0" borderId="0" xfId="0" applyFont="1" applyAlignment="1">
      <alignment wrapText="1"/>
    </xf>
    <xf numFmtId="0" fontId="45" fillId="0" borderId="0" xfId="31"/>
    <xf numFmtId="0" fontId="65" fillId="0" borderId="0" xfId="3" applyFont="1"/>
    <xf numFmtId="0" fontId="45" fillId="0" borderId="0" xfId="31" applyAlignment="1">
      <alignment horizontal="center" wrapText="1"/>
    </xf>
    <xf numFmtId="0" fontId="66" fillId="0" borderId="0" xfId="1" applyFont="1"/>
    <xf numFmtId="10" fontId="50" fillId="0" borderId="34" xfId="23" applyNumberFormat="1" applyFont="1" applyBorder="1" applyAlignment="1">
      <alignment horizontal="left" vertical="center" indent="2" shrinkToFit="1"/>
    </xf>
    <xf numFmtId="10" fontId="50" fillId="0" borderId="33" xfId="23" applyNumberFormat="1" applyFont="1" applyBorder="1" applyAlignment="1">
      <alignment horizontal="left" vertical="center" indent="2" shrinkToFit="1"/>
    </xf>
    <xf numFmtId="10" fontId="50" fillId="0" borderId="35" xfId="23" applyNumberFormat="1" applyFont="1" applyBorder="1" applyAlignment="1">
      <alignment horizontal="left" vertical="center" indent="2" shrinkToFit="1"/>
    </xf>
    <xf numFmtId="10" fontId="50" fillId="0" borderId="36" xfId="23" applyNumberFormat="1" applyFont="1" applyBorder="1" applyAlignment="1">
      <alignment horizontal="left" vertical="center" indent="2" shrinkToFit="1"/>
    </xf>
    <xf numFmtId="0" fontId="50" fillId="0" borderId="34" xfId="23" applyFont="1" applyBorder="1" applyAlignment="1">
      <alignment horizontal="center" vertical="center" wrapText="1"/>
    </xf>
    <xf numFmtId="0" fontId="50" fillId="0" borderId="33" xfId="23" applyFont="1" applyBorder="1" applyAlignment="1">
      <alignment horizontal="center" vertical="center" wrapText="1"/>
    </xf>
    <xf numFmtId="0" fontId="50" fillId="0" borderId="35" xfId="23" applyFont="1" applyBorder="1" applyAlignment="1">
      <alignment horizontal="center" vertical="center" wrapText="1"/>
    </xf>
    <xf numFmtId="0" fontId="50" fillId="0" borderId="36" xfId="23" applyFont="1" applyBorder="1" applyAlignment="1">
      <alignment horizontal="center" vertical="center" wrapText="1"/>
    </xf>
    <xf numFmtId="0" fontId="49" fillId="0" borderId="0" xfId="23" applyFont="1" applyAlignment="1">
      <alignment horizontal="left" wrapText="1"/>
    </xf>
    <xf numFmtId="0" fontId="49" fillId="0" borderId="5" xfId="23" applyFont="1" applyBorder="1" applyAlignment="1">
      <alignment horizontal="left" wrapText="1"/>
    </xf>
    <xf numFmtId="167" fontId="50" fillId="0" borderId="30" xfId="23" applyNumberFormat="1" applyFont="1" applyBorder="1" applyAlignment="1">
      <alignment horizontal="left" vertical="top" indent="2" shrinkToFit="1"/>
    </xf>
    <xf numFmtId="167" fontId="50" fillId="0" borderId="29" xfId="23" applyNumberFormat="1" applyFont="1" applyBorder="1" applyAlignment="1">
      <alignment horizontal="left" vertical="top" indent="2" shrinkToFit="1"/>
    </xf>
    <xf numFmtId="167" fontId="50" fillId="0" borderId="31" xfId="23" applyNumberFormat="1" applyFont="1" applyBorder="1" applyAlignment="1">
      <alignment horizontal="left" vertical="top" indent="2" shrinkToFit="1"/>
    </xf>
    <xf numFmtId="167" fontId="50" fillId="0" borderId="32" xfId="23" applyNumberFormat="1" applyFont="1" applyBorder="1" applyAlignment="1">
      <alignment horizontal="left" vertical="top" indent="2" shrinkToFit="1"/>
    </xf>
    <xf numFmtId="167" fontId="50" fillId="0" borderId="34" xfId="23" applyNumberFormat="1" applyFont="1" applyBorder="1" applyAlignment="1">
      <alignment horizontal="left" vertical="center" indent="2" shrinkToFit="1"/>
    </xf>
    <xf numFmtId="167" fontId="50" fillId="0" borderId="33" xfId="23" applyNumberFormat="1" applyFont="1" applyBorder="1" applyAlignment="1">
      <alignment horizontal="left" vertical="center" indent="2" shrinkToFit="1"/>
    </xf>
    <xf numFmtId="167" fontId="50" fillId="0" borderId="35" xfId="23" applyNumberFormat="1" applyFont="1" applyBorder="1" applyAlignment="1">
      <alignment horizontal="left" vertical="center" indent="2" shrinkToFit="1"/>
    </xf>
    <xf numFmtId="167" fontId="50" fillId="0" borderId="36" xfId="23" applyNumberFormat="1" applyFont="1" applyBorder="1" applyAlignment="1">
      <alignment horizontal="left" vertical="center" indent="2" shrinkToFit="1"/>
    </xf>
    <xf numFmtId="4" fontId="7" fillId="7" borderId="7" xfId="23" applyNumberFormat="1" applyFill="1" applyBorder="1" applyAlignment="1">
      <alignment horizontal="center"/>
    </xf>
    <xf numFmtId="4" fontId="56" fillId="13" borderId="0" xfId="14" applyNumberFormat="1" applyFont="1" applyFill="1" applyAlignment="1">
      <alignment horizontal="center"/>
    </xf>
    <xf numFmtId="4" fontId="42" fillId="7" borderId="7" xfId="14" applyNumberFormat="1" applyFill="1" applyBorder="1" applyAlignment="1">
      <alignment horizontal="center"/>
    </xf>
    <xf numFmtId="4" fontId="42" fillId="7" borderId="0" xfId="14" applyNumberFormat="1" applyFill="1" applyAlignment="1">
      <alignment horizontal="center"/>
    </xf>
    <xf numFmtId="4" fontId="42" fillId="13" borderId="0" xfId="14" applyNumberFormat="1" applyFill="1" applyAlignment="1">
      <alignment horizontal="center"/>
    </xf>
    <xf numFmtId="4" fontId="42" fillId="8" borderId="0" xfId="14" applyNumberFormat="1" applyFill="1" applyAlignment="1">
      <alignment horizontal="center"/>
    </xf>
    <xf numFmtId="4" fontId="42" fillId="2" borderId="0" xfId="14" applyNumberFormat="1" applyFill="1" applyAlignment="1">
      <alignment horizontal="left"/>
    </xf>
    <xf numFmtId="4" fontId="56" fillId="0" borderId="0" xfId="14" applyNumberFormat="1" applyFont="1" applyAlignment="1">
      <alignment horizontal="center"/>
    </xf>
    <xf numFmtId="4" fontId="56" fillId="0" borderId="13" xfId="14" applyNumberFormat="1" applyFont="1" applyBorder="1" applyAlignment="1">
      <alignment horizontal="center"/>
    </xf>
    <xf numFmtId="4" fontId="56" fillId="0" borderId="11" xfId="14" applyNumberFormat="1" applyFont="1" applyBorder="1" applyAlignment="1">
      <alignment horizontal="center"/>
    </xf>
    <xf numFmtId="4" fontId="42" fillId="0" borderId="10" xfId="14" applyNumberFormat="1" applyBorder="1" applyAlignment="1">
      <alignment horizontal="center"/>
    </xf>
    <xf numFmtId="4" fontId="56" fillId="0" borderId="10" xfId="14" applyNumberFormat="1" applyFont="1" applyBorder="1" applyAlignment="1">
      <alignment horizontal="center"/>
    </xf>
  </cellXfs>
  <cellStyles count="32">
    <cellStyle name="Bad" xfId="21" builtinId="27"/>
    <cellStyle name="Comma" xfId="26" builtinId="3"/>
    <cellStyle name="Comma 2" xfId="7" xr:uid="{00000000-0005-0000-0000-000000000000}"/>
    <cellStyle name="Comma 2 2" xfId="15" xr:uid="{2D29F2AE-A72A-4F35-A2CA-2C4A01C4F113}"/>
    <cellStyle name="Comma 2 3" xfId="6" xr:uid="{00000000-0005-0000-0000-000001000000}"/>
    <cellStyle name="Comma 3" xfId="16" xr:uid="{C170A3C1-B68E-4AAE-92F6-CE979AB71698}"/>
    <cellStyle name="Comma 4" xfId="24" xr:uid="{DB9154F2-28B5-44A6-974B-C1F9E9C5B216}"/>
    <cellStyle name="Heading 2" xfId="19" builtinId="17"/>
    <cellStyle name="Heading 3" xfId="20" builtinId="18"/>
    <cellStyle name="Heading 4" xfId="31" builtinId="19"/>
    <cellStyle name="Hyperlink" xfId="29" builtinId="8"/>
    <cellStyle name="Hyperlink 2" xfId="11" xr:uid="{00000000-0005-0000-0000-000003000000}"/>
    <cellStyle name="Input" xfId="22" builtinId="20"/>
    <cellStyle name="Normal" xfId="0" builtinId="0"/>
    <cellStyle name="Normal 10 4" xfId="10" xr:uid="{00000000-0005-0000-0000-000005000000}"/>
    <cellStyle name="Normal 13" xfId="2" xr:uid="{00000000-0005-0000-0000-000006000000}"/>
    <cellStyle name="Normal 2" xfId="1" xr:uid="{00000000-0005-0000-0000-000007000000}"/>
    <cellStyle name="Normal 2 2" xfId="4" xr:uid="{00000000-0005-0000-0000-000008000000}"/>
    <cellStyle name="Normal 2 2 2" xfId="3" xr:uid="{00000000-0005-0000-0000-000009000000}"/>
    <cellStyle name="Normal 2 2 2 2" xfId="9" xr:uid="{00000000-0005-0000-0000-00000A000000}"/>
    <cellStyle name="Normal 2 3" xfId="14" xr:uid="{4AB230A0-E2D6-4984-83A4-4F34927A69CA}"/>
    <cellStyle name="Normal 3" xfId="5" xr:uid="{00000000-0005-0000-0000-00000B000000}"/>
    <cellStyle name="Normal 4" xfId="12" xr:uid="{0BAD2C5B-36F5-4320-A9B9-F030A7823A07}"/>
    <cellStyle name="Normal 5" xfId="23" xr:uid="{48F6F01B-E031-4092-96E3-BB2C0508DCA9}"/>
    <cellStyle name="Normal 6" xfId="27" xr:uid="{6A6574B2-62F5-40BC-8362-3AEC07F19B06}"/>
    <cellStyle name="Normal 8" xfId="30" xr:uid="{B39FEACC-200F-4F79-9DF5-BE8F017EC6F1}"/>
    <cellStyle name="Percent" xfId="18" builtinId="5"/>
    <cellStyle name="Percent 2" xfId="13" xr:uid="{6FC4F8D8-ECD7-4A9E-B183-CAC9CE80278F}"/>
    <cellStyle name="Percent 2 2" xfId="17" xr:uid="{FFCF24A5-FA7A-4E91-8E3F-2BDE50B65C19}"/>
    <cellStyle name="Percent 3" xfId="8" xr:uid="{00000000-0005-0000-0000-000010000000}"/>
    <cellStyle name="Percent 4" xfId="25" xr:uid="{7E26E6EB-8324-43B8-A605-B399F50E7E49}"/>
    <cellStyle name="Percent 5" xfId="28" xr:uid="{ED4F8449-5DC3-4A88-B075-58560894CAF1}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"/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tyles" Target="style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microsoft.com/office/2017/10/relationships/person" Target="persons/perso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2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_rels/activeX11.xml.rels><?xml version="1.0" encoding="UTF-8" standalone="yes"?>
<Relationships xmlns="http://schemas.openxmlformats.org/package/2006/relationships"><Relationship Id="rId1" Type="http://schemas.microsoft.com/office/2006/relationships/activeXControlBinary" Target="activeX11.bin"/></Relationships>
</file>

<file path=xl/activeX/_rels/activeX12.xml.rels><?xml version="1.0" encoding="UTF-8" standalone="yes"?>
<Relationships xmlns="http://schemas.openxmlformats.org/package/2006/relationships"><Relationship Id="rId1" Type="http://schemas.microsoft.com/office/2006/relationships/activeXControlBinary" Target="activeX12.bin"/></Relationships>
</file>

<file path=xl/activeX/_rels/activeX13.xml.rels><?xml version="1.0" encoding="UTF-8" standalone="yes"?>
<Relationships xmlns="http://schemas.openxmlformats.org/package/2006/relationships"><Relationship Id="rId1" Type="http://schemas.microsoft.com/office/2006/relationships/activeXControlBinary" Target="activeX13.bin"/></Relationships>
</file>

<file path=xl/activeX/_rels/activeX14.xml.rels><?xml version="1.0" encoding="UTF-8" standalone="yes"?>
<Relationships xmlns="http://schemas.openxmlformats.org/package/2006/relationships"><Relationship Id="rId1" Type="http://schemas.microsoft.com/office/2006/relationships/activeXControlBinary" Target="activeX14.bin"/></Relationships>
</file>

<file path=xl/activeX/_rels/activeX15.xml.rels><?xml version="1.0" encoding="UTF-8" standalone="yes"?>
<Relationships xmlns="http://schemas.openxmlformats.org/package/2006/relationships"><Relationship Id="rId1" Type="http://schemas.microsoft.com/office/2006/relationships/activeXControlBinary" Target="activeX15.bin"/></Relationships>
</file>

<file path=xl/activeX/_rels/activeX16.xml.rels><?xml version="1.0" encoding="UTF-8" standalone="yes"?>
<Relationships xmlns="http://schemas.openxmlformats.org/package/2006/relationships"><Relationship Id="rId1" Type="http://schemas.microsoft.com/office/2006/relationships/activeXControlBinary" Target="activeX16.bin"/></Relationships>
</file>

<file path=xl/activeX/_rels/activeX17.xml.rels><?xml version="1.0" encoding="UTF-8" standalone="yes"?>
<Relationships xmlns="http://schemas.openxmlformats.org/package/2006/relationships"><Relationship Id="rId1" Type="http://schemas.microsoft.com/office/2006/relationships/activeXControlBinary" Target="activeX17.bin"/></Relationships>
</file>

<file path=xl/activeX/_rels/activeX18.xml.rels><?xml version="1.0" encoding="UTF-8" standalone="yes"?>
<Relationships xmlns="http://schemas.openxmlformats.org/package/2006/relationships"><Relationship Id="rId1" Type="http://schemas.microsoft.com/office/2006/relationships/activeXControlBinary" Target="activeX18.bin"/></Relationships>
</file>

<file path=xl/activeX/_rels/activeX19.xml.rels><?xml version="1.0" encoding="UTF-8" standalone="yes"?>
<Relationships xmlns="http://schemas.openxmlformats.org/package/2006/relationships"><Relationship Id="rId1" Type="http://schemas.microsoft.com/office/2006/relationships/activeXControlBinary" Target="activeX19.bin"/></Relationships>
</file>

<file path=xl/activeX/_rels/activeX20.xml.rels><?xml version="1.0" encoding="UTF-8" standalone="yes"?>
<Relationships xmlns="http://schemas.openxmlformats.org/package/2006/relationships"><Relationship Id="rId1" Type="http://schemas.microsoft.com/office/2006/relationships/activeXControlBinary" Target="activeX20.bin"/></Relationships>
</file>

<file path=xl/activeX/_rels/activeX21.xml.rels><?xml version="1.0" encoding="UTF-8" standalone="yes"?>
<Relationships xmlns="http://schemas.openxmlformats.org/package/2006/relationships"><Relationship Id="rId1" Type="http://schemas.microsoft.com/office/2006/relationships/activeXControlBinary" Target="activeX21.bin"/></Relationships>
</file>

<file path=xl/activeX/_rels/activeX22.xml.rels><?xml version="1.0" encoding="UTF-8" standalone="yes"?>
<Relationships xmlns="http://schemas.openxmlformats.org/package/2006/relationships"><Relationship Id="rId1" Type="http://schemas.microsoft.com/office/2006/relationships/activeXControlBinary" Target="activeX22.bin"/></Relationships>
</file>

<file path=xl/activeX/_rels/activeX23.xml.rels><?xml version="1.0" encoding="UTF-8" standalone="yes"?>
<Relationships xmlns="http://schemas.openxmlformats.org/package/2006/relationships"><Relationship Id="rId1" Type="http://schemas.microsoft.com/office/2006/relationships/activeXControlBinary" Target="activeX23.bin"/></Relationships>
</file>

<file path=xl/activeX/_rels/activeX24.xml.rels><?xml version="1.0" encoding="UTF-8" standalone="yes"?>
<Relationships xmlns="http://schemas.openxmlformats.org/package/2006/relationships"><Relationship Id="rId1" Type="http://schemas.microsoft.com/office/2006/relationships/activeXControlBinary" Target="activeX24.bin"/></Relationships>
</file>

<file path=xl/activeX/_rels/activeX25.xml.rels><?xml version="1.0" encoding="UTF-8" standalone="yes"?>
<Relationships xmlns="http://schemas.openxmlformats.org/package/2006/relationships"><Relationship Id="rId1" Type="http://schemas.microsoft.com/office/2006/relationships/activeXControlBinary" Target="activeX25.bin"/></Relationships>
</file>

<file path=xl/activeX/_rels/activeX26.xml.rels><?xml version="1.0" encoding="UTF-8" standalone="yes"?>
<Relationships xmlns="http://schemas.openxmlformats.org/package/2006/relationships"><Relationship Id="rId1" Type="http://schemas.microsoft.com/office/2006/relationships/activeXControlBinary" Target="activeX26.bin"/></Relationships>
</file>

<file path=xl/activeX/_rels/activeX27.xml.rels><?xml version="1.0" encoding="UTF-8" standalone="yes"?>
<Relationships xmlns="http://schemas.openxmlformats.org/package/2006/relationships"><Relationship Id="rId1" Type="http://schemas.microsoft.com/office/2006/relationships/activeXControlBinary" Target="activeX27.bin"/></Relationships>
</file>

<file path=xl/activeX/_rels/activeX28.xml.rels><?xml version="1.0" encoding="UTF-8" standalone="yes"?>
<Relationships xmlns="http://schemas.openxmlformats.org/package/2006/relationships"><Relationship Id="rId1" Type="http://schemas.microsoft.com/office/2006/relationships/activeXControlBinary" Target="activeX28.bin"/></Relationships>
</file>

<file path=xl/activeX/_rels/activeX29.xml.rels><?xml version="1.0" encoding="UTF-8" standalone="yes"?>
<Relationships xmlns="http://schemas.openxmlformats.org/package/2006/relationships"><Relationship Id="rId1" Type="http://schemas.microsoft.com/office/2006/relationships/activeXControlBinary" Target="activeX29.bin"/></Relationships>
</file>

<file path=xl/activeX/_rels/activeX30.xml.rels><?xml version="1.0" encoding="UTF-8" standalone="yes"?>
<Relationships xmlns="http://schemas.openxmlformats.org/package/2006/relationships"><Relationship Id="rId1" Type="http://schemas.microsoft.com/office/2006/relationships/activeXControlBinary" Target="activeX30.bin"/></Relationships>
</file>

<file path=xl/activeX/_rels/activeX31.xml.rels><?xml version="1.0" encoding="UTF-8" standalone="yes"?>
<Relationships xmlns="http://schemas.openxmlformats.org/package/2006/relationships"><Relationship Id="rId1" Type="http://schemas.microsoft.com/office/2006/relationships/activeXControlBinary" Target="activeX31.bin"/></Relationships>
</file>

<file path=xl/activeX/_rels/activeX32.xml.rels><?xml version="1.0" encoding="UTF-8" standalone="yes"?>
<Relationships xmlns="http://schemas.openxmlformats.org/package/2006/relationships"><Relationship Id="rId1" Type="http://schemas.microsoft.com/office/2006/relationships/activeXControlBinary" Target="activeX32.bin"/></Relationships>
</file>

<file path=xl/activeX/_rels/activeX33.xml.rels><?xml version="1.0" encoding="UTF-8" standalone="yes"?>
<Relationships xmlns="http://schemas.openxmlformats.org/package/2006/relationships"><Relationship Id="rId1" Type="http://schemas.microsoft.com/office/2006/relationships/activeXControlBinary" Target="activeX33.bin"/></Relationships>
</file>

<file path=xl/activeX/_rels/activeX34.xml.rels><?xml version="1.0" encoding="UTF-8" standalone="yes"?>
<Relationships xmlns="http://schemas.openxmlformats.org/package/2006/relationships"><Relationship Id="rId1" Type="http://schemas.microsoft.com/office/2006/relationships/activeXControlBinary" Target="activeX34.bin"/></Relationships>
</file>

<file path=xl/activeX/_rels/activeX35.xml.rels><?xml version="1.0" encoding="UTF-8" standalone="yes"?>
<Relationships xmlns="http://schemas.openxmlformats.org/package/2006/relationships"><Relationship Id="rId1" Type="http://schemas.microsoft.com/office/2006/relationships/activeXControlBinary" Target="activeX35.bin"/></Relationships>
</file>

<file path=xl/activeX/_rels/activeX36.xml.rels><?xml version="1.0" encoding="UTF-8" standalone="yes"?>
<Relationships xmlns="http://schemas.openxmlformats.org/package/2006/relationships"><Relationship Id="rId1" Type="http://schemas.microsoft.com/office/2006/relationships/activeXControlBinary" Target="activeX36.bin"/></Relationships>
</file>

<file path=xl/activeX/_rels/activeX37.xml.rels><?xml version="1.0" encoding="UTF-8" standalone="yes"?>
<Relationships xmlns="http://schemas.openxmlformats.org/package/2006/relationships"><Relationship Id="rId1" Type="http://schemas.microsoft.com/office/2006/relationships/activeXControlBinary" Target="activeX37.bin"/></Relationships>
</file>

<file path=xl/activeX/_rels/activeX38.xml.rels><?xml version="1.0" encoding="UTF-8" standalone="yes"?>
<Relationships xmlns="http://schemas.openxmlformats.org/package/2006/relationships"><Relationship Id="rId1" Type="http://schemas.microsoft.com/office/2006/relationships/activeXControlBinary" Target="activeX38.bin"/></Relationships>
</file>

<file path=xl/activeX/_rels/activeX39.xml.rels><?xml version="1.0" encoding="UTF-8" standalone="yes"?>
<Relationships xmlns="http://schemas.openxmlformats.org/package/2006/relationships"><Relationship Id="rId1" Type="http://schemas.microsoft.com/office/2006/relationships/activeXControlBinary" Target="activeX39.bin"/></Relationships>
</file>

<file path=xl/activeX/_rels/activeX40.xml.rels><?xml version="1.0" encoding="UTF-8" standalone="yes"?>
<Relationships xmlns="http://schemas.openxmlformats.org/package/2006/relationships"><Relationship Id="rId1" Type="http://schemas.microsoft.com/office/2006/relationships/activeXControlBinary" Target="activeX40.bin"/></Relationships>
</file>

<file path=xl/activeX/_rels/activeX41.xml.rels><?xml version="1.0" encoding="UTF-8" standalone="yes"?>
<Relationships xmlns="http://schemas.openxmlformats.org/package/2006/relationships"><Relationship Id="rId1" Type="http://schemas.microsoft.com/office/2006/relationships/activeXControlBinary" Target="activeX41.bin"/></Relationships>
</file>

<file path=xl/activeX/_rels/activeX42.xml.rels><?xml version="1.0" encoding="UTF-8" standalone="yes"?>
<Relationships xmlns="http://schemas.openxmlformats.org/package/2006/relationships"><Relationship Id="rId1" Type="http://schemas.microsoft.com/office/2006/relationships/activeXControlBinary" Target="activeX42.bin"/></Relationships>
</file>

<file path=xl/activeX/_rels/activeX43.xml.rels><?xml version="1.0" encoding="UTF-8" standalone="yes"?>
<Relationships xmlns="http://schemas.openxmlformats.org/package/2006/relationships"><Relationship Id="rId1" Type="http://schemas.microsoft.com/office/2006/relationships/activeXControlBinary" Target="activeX43.bin"/></Relationships>
</file>

<file path=xl/activeX/_rels/activeX44.xml.rels><?xml version="1.0" encoding="UTF-8" standalone="yes"?>
<Relationships xmlns="http://schemas.openxmlformats.org/package/2006/relationships"><Relationship Id="rId1" Type="http://schemas.microsoft.com/office/2006/relationships/activeXControlBinary" Target="activeX44.bin"/></Relationships>
</file>

<file path=xl/activeX/_rels/activeX45.xml.rels><?xml version="1.0" encoding="UTF-8" standalone="yes"?>
<Relationships xmlns="http://schemas.openxmlformats.org/package/2006/relationships"><Relationship Id="rId1" Type="http://schemas.microsoft.com/office/2006/relationships/activeXControlBinary" Target="activeX45.bin"/></Relationships>
</file>

<file path=xl/activeX/_rels/activeX46.xml.rels><?xml version="1.0" encoding="UTF-8" standalone="yes"?>
<Relationships xmlns="http://schemas.openxmlformats.org/package/2006/relationships"><Relationship Id="rId1" Type="http://schemas.microsoft.com/office/2006/relationships/activeXControlBinary" Target="activeX46.bin"/></Relationships>
</file>

<file path=xl/activeX/_rels/activeX47.xml.rels><?xml version="1.0" encoding="UTF-8" standalone="yes"?>
<Relationships xmlns="http://schemas.openxmlformats.org/package/2006/relationships"><Relationship Id="rId1" Type="http://schemas.microsoft.com/office/2006/relationships/activeXControlBinary" Target="activeX47.bin"/></Relationships>
</file>

<file path=xl/activeX/_rels/activeX48.xml.rels><?xml version="1.0" encoding="UTF-8" standalone="yes"?>
<Relationships xmlns="http://schemas.openxmlformats.org/package/2006/relationships"><Relationship Id="rId1" Type="http://schemas.microsoft.com/office/2006/relationships/activeXControlBinary" Target="activeX48.bin"/></Relationships>
</file>

<file path=xl/activeX/_rels/activeX49.xml.rels><?xml version="1.0" encoding="UTF-8" standalone="yes"?>
<Relationships xmlns="http://schemas.openxmlformats.org/package/2006/relationships"><Relationship Id="rId1" Type="http://schemas.microsoft.com/office/2006/relationships/activeXControlBinary" Target="activeX49.bin"/></Relationships>
</file>

<file path=xl/activeX/_rels/activeX50.xml.rels><?xml version="1.0" encoding="UTF-8" standalone="yes"?>
<Relationships xmlns="http://schemas.openxmlformats.org/package/2006/relationships"><Relationship Id="rId1" Type="http://schemas.microsoft.com/office/2006/relationships/activeXControlBinary" Target="activeX50.bin"/></Relationships>
</file>

<file path=xl/activeX/_rels/activeX51.xml.rels><?xml version="1.0" encoding="UTF-8" standalone="yes"?>
<Relationships xmlns="http://schemas.openxmlformats.org/package/2006/relationships"><Relationship Id="rId1" Type="http://schemas.microsoft.com/office/2006/relationships/activeXControlBinary" Target="activeX51.bin"/></Relationships>
</file>

<file path=xl/activeX/_rels/activeX52.xml.rels><?xml version="1.0" encoding="UTF-8" standalone="yes"?>
<Relationships xmlns="http://schemas.openxmlformats.org/package/2006/relationships"><Relationship Id="rId1" Type="http://schemas.microsoft.com/office/2006/relationships/activeXControlBinary" Target="activeX52.bin"/></Relationships>
</file>

<file path=xl/activeX/_rels/activeX53.xml.rels><?xml version="1.0" encoding="UTF-8" standalone="yes"?>
<Relationships xmlns="http://schemas.openxmlformats.org/package/2006/relationships"><Relationship Id="rId1" Type="http://schemas.microsoft.com/office/2006/relationships/activeXControlBinary" Target="activeX53.bin"/></Relationships>
</file>

<file path=xl/activeX/_rels/activeX54.xml.rels><?xml version="1.0" encoding="UTF-8" standalone="yes"?>
<Relationships xmlns="http://schemas.openxmlformats.org/package/2006/relationships"><Relationship Id="rId1" Type="http://schemas.microsoft.com/office/2006/relationships/activeXControlBinary" Target="activeX54.bin"/></Relationships>
</file>

<file path=xl/activeX/_rels/activeX55.xml.rels><?xml version="1.0" encoding="UTF-8" standalone="yes"?>
<Relationships xmlns="http://schemas.openxmlformats.org/package/2006/relationships"><Relationship Id="rId1" Type="http://schemas.microsoft.com/office/2006/relationships/activeXControlBinary" Target="activeX55.bin"/></Relationships>
</file>

<file path=xl/activeX/_rels/activeX56.xml.rels><?xml version="1.0" encoding="UTF-8" standalone="yes"?>
<Relationships xmlns="http://schemas.openxmlformats.org/package/2006/relationships"><Relationship Id="rId1" Type="http://schemas.microsoft.com/office/2006/relationships/activeXControlBinary" Target="activeX56.bin"/></Relationships>
</file>

<file path=xl/activeX/_rels/activeX57.xml.rels><?xml version="1.0" encoding="UTF-8" standalone="yes"?>
<Relationships xmlns="http://schemas.openxmlformats.org/package/2006/relationships"><Relationship Id="rId1" Type="http://schemas.microsoft.com/office/2006/relationships/activeXControlBinary" Target="activeX57.bin"/></Relationships>
</file>

<file path=xl/activeX/_rels/activeX58.xml.rels><?xml version="1.0" encoding="UTF-8" standalone="yes"?>
<Relationships xmlns="http://schemas.openxmlformats.org/package/2006/relationships"><Relationship Id="rId1" Type="http://schemas.microsoft.com/office/2006/relationships/activeXControlBinary" Target="activeX58.bin"/></Relationships>
</file>

<file path=xl/activeX/_rels/activeX59.xml.rels><?xml version="1.0" encoding="UTF-8" standalone="yes"?>
<Relationships xmlns="http://schemas.openxmlformats.org/package/2006/relationships"><Relationship Id="rId1" Type="http://schemas.microsoft.com/office/2006/relationships/activeXControlBinary" Target="activeX59.bin"/></Relationships>
</file>

<file path=xl/activeX/_rels/activeX60.xml.rels><?xml version="1.0" encoding="UTF-8" standalone="yes"?>
<Relationships xmlns="http://schemas.openxmlformats.org/package/2006/relationships"><Relationship Id="rId1" Type="http://schemas.microsoft.com/office/2006/relationships/activeXControlBinary" Target="activeX60.bin"/></Relationships>
</file>

<file path=xl/activeX/_rels/activeX61.xml.rels><?xml version="1.0" encoding="UTF-8" standalone="yes"?>
<Relationships xmlns="http://schemas.openxmlformats.org/package/2006/relationships"><Relationship Id="rId1" Type="http://schemas.microsoft.com/office/2006/relationships/activeXControlBinary" Target="activeX61.bin"/></Relationships>
</file>

<file path=xl/activeX/_rels/activeX62.xml.rels><?xml version="1.0" encoding="UTF-8" standalone="yes"?>
<Relationships xmlns="http://schemas.openxmlformats.org/package/2006/relationships"><Relationship Id="rId1" Type="http://schemas.microsoft.com/office/2006/relationships/activeXControlBinary" Target="activeX62.bin"/></Relationships>
</file>

<file path=xl/activeX/_rels/activeX63.xml.rels><?xml version="1.0" encoding="UTF-8" standalone="yes"?>
<Relationships xmlns="http://schemas.openxmlformats.org/package/2006/relationships"><Relationship Id="rId1" Type="http://schemas.microsoft.com/office/2006/relationships/activeXControlBinary" Target="activeX63.bin"/></Relationships>
</file>

<file path=xl/activeX/_rels/activeX64.xml.rels><?xml version="1.0" encoding="UTF-8" standalone="yes"?>
<Relationships xmlns="http://schemas.openxmlformats.org/package/2006/relationships"><Relationship Id="rId1" Type="http://schemas.microsoft.com/office/2006/relationships/activeXControlBinary" Target="activeX64.bin"/></Relationships>
</file>

<file path=xl/activeX/_rels/activeX65.xml.rels><?xml version="1.0" encoding="UTF-8" standalone="yes"?>
<Relationships xmlns="http://schemas.openxmlformats.org/package/2006/relationships"><Relationship Id="rId1" Type="http://schemas.microsoft.com/office/2006/relationships/activeXControlBinary" Target="activeX65.bin"/></Relationships>
</file>

<file path=xl/activeX/_rels/activeX66.xml.rels><?xml version="1.0" encoding="UTF-8" standalone="yes"?>
<Relationships xmlns="http://schemas.openxmlformats.org/package/2006/relationships"><Relationship Id="rId1" Type="http://schemas.microsoft.com/office/2006/relationships/activeXControlBinary" Target="activeX66.bin"/></Relationships>
</file>

<file path=xl/activeX/_rels/activeX67.xml.rels><?xml version="1.0" encoding="UTF-8" standalone="yes"?>
<Relationships xmlns="http://schemas.openxmlformats.org/package/2006/relationships"><Relationship Id="rId1" Type="http://schemas.microsoft.com/office/2006/relationships/activeXControlBinary" Target="activeX67.bin"/></Relationships>
</file>

<file path=xl/activeX/_rels/activeX68.xml.rels><?xml version="1.0" encoding="UTF-8" standalone="yes"?>
<Relationships xmlns="http://schemas.openxmlformats.org/package/2006/relationships"><Relationship Id="rId1" Type="http://schemas.microsoft.com/office/2006/relationships/activeXControlBinary" Target="activeX68.bin"/></Relationships>
</file>

<file path=xl/activeX/_rels/activeX69.xml.rels><?xml version="1.0" encoding="UTF-8" standalone="yes"?>
<Relationships xmlns="http://schemas.openxmlformats.org/package/2006/relationships"><Relationship Id="rId1" Type="http://schemas.microsoft.com/office/2006/relationships/activeXControlBinary" Target="activeX69.bin"/></Relationships>
</file>

<file path=xl/activeX/_rels/activeX70.xml.rels><?xml version="1.0" encoding="UTF-8" standalone="yes"?>
<Relationships xmlns="http://schemas.openxmlformats.org/package/2006/relationships"><Relationship Id="rId1" Type="http://schemas.microsoft.com/office/2006/relationships/activeXControlBinary" Target="activeX70.bin"/></Relationships>
</file>

<file path=xl/activeX/_rels/activeX71.xml.rels><?xml version="1.0" encoding="UTF-8" standalone="yes"?>
<Relationships xmlns="http://schemas.openxmlformats.org/package/2006/relationships"><Relationship Id="rId1" Type="http://schemas.microsoft.com/office/2006/relationships/activeXControlBinary" Target="activeX71.bin"/></Relationships>
</file>

<file path=xl/activeX/_rels/activeX72.xml.rels><?xml version="1.0" encoding="UTF-8" standalone="yes"?>
<Relationships xmlns="http://schemas.openxmlformats.org/package/2006/relationships"><Relationship Id="rId1" Type="http://schemas.microsoft.com/office/2006/relationships/activeXControlBinary" Target="activeX72.bin"/></Relationships>
</file>

<file path=xl/activeX/_rels/activeX73.xml.rels><?xml version="1.0" encoding="UTF-8" standalone="yes"?>
<Relationships xmlns="http://schemas.openxmlformats.org/package/2006/relationships"><Relationship Id="rId1" Type="http://schemas.microsoft.com/office/2006/relationships/activeXControlBinary" Target="activeX73.bin"/></Relationships>
</file>

<file path=xl/activeX/_rels/activeX74.xml.rels><?xml version="1.0" encoding="UTF-8" standalone="yes"?>
<Relationships xmlns="http://schemas.openxmlformats.org/package/2006/relationships"><Relationship Id="rId1" Type="http://schemas.microsoft.com/office/2006/relationships/activeXControlBinary" Target="activeX74.bin"/></Relationships>
</file>

<file path=xl/activeX/_rels/activeX75.xml.rels><?xml version="1.0" encoding="UTF-8" standalone="yes"?>
<Relationships xmlns="http://schemas.openxmlformats.org/package/2006/relationships"><Relationship Id="rId1" Type="http://schemas.microsoft.com/office/2006/relationships/activeXControlBinary" Target="activeX75.bin"/></Relationships>
</file>

<file path=xl/activeX/_rels/activeX76.xml.rels><?xml version="1.0" encoding="UTF-8" standalone="yes"?>
<Relationships xmlns="http://schemas.openxmlformats.org/package/2006/relationships"><Relationship Id="rId1" Type="http://schemas.microsoft.com/office/2006/relationships/activeXControlBinary" Target="activeX76.bin"/></Relationships>
</file>

<file path=xl/activeX/_rels/activeX77.xml.rels><?xml version="1.0" encoding="UTF-8" standalone="yes"?>
<Relationships xmlns="http://schemas.openxmlformats.org/package/2006/relationships"><Relationship Id="rId1" Type="http://schemas.microsoft.com/office/2006/relationships/activeXControlBinary" Target="activeX77.bin"/></Relationships>
</file>

<file path=xl/activeX/_rels/activeX78.xml.rels><?xml version="1.0" encoding="UTF-8" standalone="yes"?>
<Relationships xmlns="http://schemas.openxmlformats.org/package/2006/relationships"><Relationship Id="rId1" Type="http://schemas.microsoft.com/office/2006/relationships/activeXControlBinary" Target="activeX78.bin"/></Relationships>
</file>

<file path=xl/activeX/_rels/activeX79.xml.rels><?xml version="1.0" encoding="UTF-8" standalone="yes"?>
<Relationships xmlns="http://schemas.openxmlformats.org/package/2006/relationships"><Relationship Id="rId1" Type="http://schemas.microsoft.com/office/2006/relationships/activeXControlBinary" Target="activeX79.bin"/></Relationships>
</file>

<file path=xl/activeX/_rels/activeX80.xml.rels><?xml version="1.0" encoding="UTF-8" standalone="yes"?>
<Relationships xmlns="http://schemas.openxmlformats.org/package/2006/relationships"><Relationship Id="rId1" Type="http://schemas.microsoft.com/office/2006/relationships/activeXControlBinary" Target="activeX80.bin"/></Relationships>
</file>

<file path=xl/activeX/_rels/activeX81.xml.rels><?xml version="1.0" encoding="UTF-8" standalone="yes"?>
<Relationships xmlns="http://schemas.openxmlformats.org/package/2006/relationships"><Relationship Id="rId1" Type="http://schemas.microsoft.com/office/2006/relationships/activeXControlBinary" Target="activeX81.bin"/></Relationships>
</file>

<file path=xl/activeX/_rels/activeX82.xml.rels><?xml version="1.0" encoding="UTF-8" standalone="yes"?>
<Relationships xmlns="http://schemas.openxmlformats.org/package/2006/relationships"><Relationship Id="rId1" Type="http://schemas.microsoft.com/office/2006/relationships/activeXControlBinary" Target="activeX82.bin"/></Relationships>
</file>

<file path=xl/activeX/_rels/activeX83.xml.rels><?xml version="1.0" encoding="UTF-8" standalone="yes"?>
<Relationships xmlns="http://schemas.openxmlformats.org/package/2006/relationships"><Relationship Id="rId1" Type="http://schemas.microsoft.com/office/2006/relationships/activeXControlBinary" Target="activeX83.bin"/></Relationships>
</file>

<file path=xl/activeX/_rels/activeX84.xml.rels><?xml version="1.0" encoding="UTF-8" standalone="yes"?>
<Relationships xmlns="http://schemas.openxmlformats.org/package/2006/relationships"><Relationship Id="rId1" Type="http://schemas.microsoft.com/office/2006/relationships/activeXControlBinary" Target="activeX84.bin"/></Relationships>
</file>

<file path=xl/activeX/_rels/activeX85.xml.rels><?xml version="1.0" encoding="UTF-8" standalone="yes"?>
<Relationships xmlns="http://schemas.openxmlformats.org/package/2006/relationships"><Relationship Id="rId1" Type="http://schemas.microsoft.com/office/2006/relationships/activeXControlBinary" Target="activeX85.bin"/></Relationships>
</file>

<file path=xl/activeX/_rels/activeX86.xml.rels><?xml version="1.0" encoding="UTF-8" standalone="yes"?>
<Relationships xmlns="http://schemas.openxmlformats.org/package/2006/relationships"><Relationship Id="rId1" Type="http://schemas.microsoft.com/office/2006/relationships/activeXControlBinary" Target="activeX86.bin"/></Relationships>
</file>

<file path=xl/activeX/_rels/activeX87.xml.rels><?xml version="1.0" encoding="UTF-8" standalone="yes"?>
<Relationships xmlns="http://schemas.openxmlformats.org/package/2006/relationships"><Relationship Id="rId1" Type="http://schemas.microsoft.com/office/2006/relationships/activeXControlBinary" Target="activeX87.bin"/></Relationships>
</file>

<file path=xl/activeX/_rels/activeX88.xml.rels><?xml version="1.0" encoding="UTF-8" standalone="yes"?>
<Relationships xmlns="http://schemas.openxmlformats.org/package/2006/relationships"><Relationship Id="rId1" Type="http://schemas.microsoft.com/office/2006/relationships/activeXControlBinary" Target="activeX88.bin"/></Relationships>
</file>

<file path=xl/activeX/_rels/activeX89.xml.rels><?xml version="1.0" encoding="UTF-8" standalone="yes"?>
<Relationships xmlns="http://schemas.openxmlformats.org/package/2006/relationships"><Relationship Id="rId1" Type="http://schemas.microsoft.com/office/2006/relationships/activeXControlBinary" Target="activeX89.bin"/></Relationships>
</file>

<file path=xl/activeX/_rels/activeX90.xml.rels><?xml version="1.0" encoding="UTF-8" standalone="yes"?>
<Relationships xmlns="http://schemas.openxmlformats.org/package/2006/relationships"><Relationship Id="rId1" Type="http://schemas.microsoft.com/office/2006/relationships/activeXControlBinary" Target="activeX90.bin"/></Relationships>
</file>

<file path=xl/activeX/_rels/activeX91.xml.rels><?xml version="1.0" encoding="UTF-8" standalone="yes"?>
<Relationships xmlns="http://schemas.openxmlformats.org/package/2006/relationships"><Relationship Id="rId1" Type="http://schemas.microsoft.com/office/2006/relationships/activeXControlBinary" Target="activeX91.bin"/></Relationships>
</file>

<file path=xl/activeX/_rels/activeX92.xml.rels><?xml version="1.0" encoding="UTF-8" standalone="yes"?>
<Relationships xmlns="http://schemas.openxmlformats.org/package/2006/relationships"><Relationship Id="rId1" Type="http://schemas.microsoft.com/office/2006/relationships/activeXControlBinary" Target="activeX92.bin"/></Relationships>
</file>

<file path=xl/activeX/_rels/activeX93.xml.rels><?xml version="1.0" encoding="UTF-8" standalone="yes"?>
<Relationships xmlns="http://schemas.openxmlformats.org/package/2006/relationships"><Relationship Id="rId1" Type="http://schemas.microsoft.com/office/2006/relationships/activeXControlBinary" Target="activeX93.bin"/></Relationships>
</file>

<file path=xl/activeX/_rels/activeX94.xml.rels><?xml version="1.0" encoding="UTF-8" standalone="yes"?>
<Relationships xmlns="http://schemas.openxmlformats.org/package/2006/relationships"><Relationship Id="rId1" Type="http://schemas.microsoft.com/office/2006/relationships/activeXControlBinary" Target="activeX94.bin"/></Relationships>
</file>

<file path=xl/activeX/_rels/activeX95.xml.rels><?xml version="1.0" encoding="UTF-8" standalone="yes"?>
<Relationships xmlns="http://schemas.openxmlformats.org/package/2006/relationships"><Relationship Id="rId1" Type="http://schemas.microsoft.com/office/2006/relationships/activeXControlBinary" Target="activeX95.bin"/></Relationships>
</file>

<file path=xl/activeX/_rels/activeX96.xml.rels><?xml version="1.0" encoding="UTF-8" standalone="yes"?>
<Relationships xmlns="http://schemas.openxmlformats.org/package/2006/relationships"><Relationship Id="rId1" Type="http://schemas.microsoft.com/office/2006/relationships/activeXControlBinary" Target="activeX96.bin"/></Relationships>
</file>

<file path=xl/activeX/_rels/activeX97.xml.rels><?xml version="1.0" encoding="UTF-8" standalone="yes"?>
<Relationships xmlns="http://schemas.openxmlformats.org/package/2006/relationships"><Relationship Id="rId1" Type="http://schemas.microsoft.com/office/2006/relationships/activeXControlBinary" Target="activeX97.bin"/></Relationships>
</file>

<file path=xl/activeX/_rels/activeX98.xml.rels><?xml version="1.0" encoding="UTF-8" standalone="yes"?>
<Relationships xmlns="http://schemas.openxmlformats.org/package/2006/relationships"><Relationship Id="rId1" Type="http://schemas.microsoft.com/office/2006/relationships/activeXControlBinary" Target="activeX98.bin"/></Relationships>
</file>

<file path=xl/activeX/_rels/activeX99.xml.rels><?xml version="1.0" encoding="UTF-8" standalone="yes"?>
<Relationships xmlns="http://schemas.openxmlformats.org/package/2006/relationships"><Relationship Id="rId1" Type="http://schemas.microsoft.com/office/2006/relationships/activeXControlBinary" Target="activeX99.bin"/></Relationships>
</file>

<file path=xl/activeX/_rels/activeX100.xml.rels><?xml version="1.0" encoding="UTF-8" standalone="yes"?>
<Relationships xmlns="http://schemas.openxmlformats.org/package/2006/relationships"><Relationship Id="rId1" Type="http://schemas.microsoft.com/office/2006/relationships/activeXControlBinary" Target="activeX100.bin"/></Relationships>
</file>

<file path=xl/activeX/_rels/activeX101.xml.rels><?xml version="1.0" encoding="UTF-8" standalone="yes"?>
<Relationships xmlns="http://schemas.openxmlformats.org/package/2006/relationships"><Relationship Id="rId1" Type="http://schemas.microsoft.com/office/2006/relationships/activeXControlBinary" Target="activeX101.bin"/></Relationships>
</file>

<file path=xl/activeX/_rels/activeX102.xml.rels><?xml version="1.0" encoding="UTF-8" standalone="yes"?>
<Relationships xmlns="http://schemas.openxmlformats.org/package/2006/relationships"><Relationship Id="rId1" Type="http://schemas.microsoft.com/office/2006/relationships/activeXControlBinary" Target="activeX102.bin"/></Relationships>
</file>

<file path=xl/activeX/_rels/activeX103.xml.rels><?xml version="1.0" encoding="UTF-8" standalone="yes"?>
<Relationships xmlns="http://schemas.openxmlformats.org/package/2006/relationships"><Relationship Id="rId1" Type="http://schemas.microsoft.com/office/2006/relationships/activeXControlBinary" Target="activeX103.bin"/></Relationships>
</file>

<file path=xl/activeX/_rels/activeX104.xml.rels><?xml version="1.0" encoding="UTF-8" standalone="yes"?>
<Relationships xmlns="http://schemas.openxmlformats.org/package/2006/relationships"><Relationship Id="rId1" Type="http://schemas.microsoft.com/office/2006/relationships/activeXControlBinary" Target="activeX104.bin"/></Relationships>
</file>

<file path=xl/activeX/_rels/activeX105.xml.rels><?xml version="1.0" encoding="UTF-8" standalone="yes"?>
<Relationships xmlns="http://schemas.openxmlformats.org/package/2006/relationships"><Relationship Id="rId1" Type="http://schemas.microsoft.com/office/2006/relationships/activeXControlBinary" Target="activeX105.bin"/></Relationships>
</file>

<file path=xl/activeX/_rels/activeX106.xml.rels><?xml version="1.0" encoding="UTF-8" standalone="yes"?>
<Relationships xmlns="http://schemas.openxmlformats.org/package/2006/relationships"><Relationship Id="rId1" Type="http://schemas.microsoft.com/office/2006/relationships/activeXControlBinary" Target="activeX106.bin"/></Relationships>
</file>

<file path=xl/activeX/_rels/activeX107.xml.rels><?xml version="1.0" encoding="UTF-8" standalone="yes"?>
<Relationships xmlns="http://schemas.openxmlformats.org/package/2006/relationships"><Relationship Id="rId1" Type="http://schemas.microsoft.com/office/2006/relationships/activeXControlBinary" Target="activeX107.bin"/></Relationships>
</file>

<file path=xl/activeX/_rels/activeX108.xml.rels><?xml version="1.0" encoding="UTF-8" standalone="yes"?>
<Relationships xmlns="http://schemas.openxmlformats.org/package/2006/relationships"><Relationship Id="rId1" Type="http://schemas.microsoft.com/office/2006/relationships/activeXControlBinary" Target="activeX108.bin"/></Relationships>
</file>

<file path=xl/activeX/_rels/activeX109.xml.rels><?xml version="1.0" encoding="UTF-8" standalone="yes"?>
<Relationships xmlns="http://schemas.openxmlformats.org/package/2006/relationships"><Relationship Id="rId1" Type="http://schemas.microsoft.com/office/2006/relationships/activeXControlBinary" Target="activeX109.bin"/></Relationships>
</file>

<file path=xl/activeX/_rels/activeX110.xml.rels><?xml version="1.0" encoding="UTF-8" standalone="yes"?>
<Relationships xmlns="http://schemas.openxmlformats.org/package/2006/relationships"><Relationship Id="rId1" Type="http://schemas.microsoft.com/office/2006/relationships/activeXControlBinary" Target="activeX110.bin"/></Relationships>
</file>

<file path=xl/activeX/_rels/activeX111.xml.rels><?xml version="1.0" encoding="UTF-8" standalone="yes"?>
<Relationships xmlns="http://schemas.openxmlformats.org/package/2006/relationships"><Relationship Id="rId1" Type="http://schemas.microsoft.com/office/2006/relationships/activeXControlBinary" Target="activeX111.bin"/></Relationships>
</file>

<file path=xl/activeX/_rels/activeX112.xml.rels><?xml version="1.0" encoding="UTF-8" standalone="yes"?>
<Relationships xmlns="http://schemas.openxmlformats.org/package/2006/relationships"><Relationship Id="rId1" Type="http://schemas.microsoft.com/office/2006/relationships/activeXControlBinary" Target="activeX112.bin"/></Relationships>
</file>

<file path=xl/activeX/_rels/activeX113.xml.rels><?xml version="1.0" encoding="UTF-8" standalone="yes"?>
<Relationships xmlns="http://schemas.openxmlformats.org/package/2006/relationships"><Relationship Id="rId1" Type="http://schemas.microsoft.com/office/2006/relationships/activeXControlBinary" Target="activeX113.bin"/></Relationships>
</file>

<file path=xl/activeX/_rels/activeX114.xml.rels><?xml version="1.0" encoding="UTF-8" standalone="yes"?>
<Relationships xmlns="http://schemas.openxmlformats.org/package/2006/relationships"><Relationship Id="rId1" Type="http://schemas.microsoft.com/office/2006/relationships/activeXControlBinary" Target="activeX114.bin"/></Relationships>
</file>

<file path=xl/activeX/_rels/activeX115.xml.rels><?xml version="1.0" encoding="UTF-8" standalone="yes"?>
<Relationships xmlns="http://schemas.openxmlformats.org/package/2006/relationships"><Relationship Id="rId1" Type="http://schemas.microsoft.com/office/2006/relationships/activeXControlBinary" Target="activeX115.bin"/></Relationships>
</file>

<file path=xl/activeX/_rels/activeX116.xml.rels><?xml version="1.0" encoding="UTF-8" standalone="yes"?>
<Relationships xmlns="http://schemas.openxmlformats.org/package/2006/relationships"><Relationship Id="rId1" Type="http://schemas.microsoft.com/office/2006/relationships/activeXControlBinary" Target="activeX116.bin"/></Relationships>
</file>

<file path=xl/activeX/activeX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5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5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5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5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5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5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5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5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5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5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7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7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7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7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7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7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7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7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7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7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9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9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9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9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9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9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9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9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9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9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0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0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0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0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0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0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0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0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0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0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1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1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1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1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1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1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1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'Waterberg project'!$N$92</c:f>
              <c:strCache>
                <c:ptCount val="1"/>
                <c:pt idx="0">
                  <c:v>realisation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numRef>
              <c:f>'Waterberg project'!$M$93:$M$98</c:f>
              <c:numCache>
                <c:formatCode>General</c:formatCode>
                <c:ptCount val="6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</c:numCache>
            </c:numRef>
          </c:cat>
          <c:val>
            <c:numRef>
              <c:f>'Waterberg project'!$N$93:$N$98</c:f>
              <c:numCache>
                <c:formatCode>General</c:formatCode>
                <c:ptCount val="6"/>
                <c:pt idx="4">
                  <c:v>-75</c:v>
                </c:pt>
                <c:pt idx="5">
                  <c:v>-75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BA-4576-82FF-3F0AFDB9F217}"/>
            </c:ext>
          </c:extLst>
        </c:ser>
        <c:ser>
          <c:idx val="1"/>
          <c:order val="1"/>
          <c:tx>
            <c:strRef>
              <c:f>'Waterberg project'!$O$92</c:f>
              <c:strCache>
                <c:ptCount val="1"/>
                <c:pt idx="0">
                  <c:v>capital</c:v>
                </c:pt>
              </c:strCache>
            </c:strRef>
          </c:tx>
          <c:spPr>
            <a:noFill/>
            <a:ln w="19050">
              <a:solidFill>
                <a:schemeClr val="tx1"/>
              </a:solidFill>
            </a:ln>
            <a:effectLst/>
          </c:spPr>
          <c:invertIfNegative val="0"/>
          <c:cat>
            <c:numRef>
              <c:f>'Waterberg project'!$M$93:$M$98</c:f>
              <c:numCache>
                <c:formatCode>General</c:formatCode>
                <c:ptCount val="6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</c:numCache>
            </c:numRef>
          </c:cat>
          <c:val>
            <c:numRef>
              <c:f>'Waterberg project'!$O$93:$O$98</c:f>
              <c:numCache>
                <c:formatCode>General</c:formatCode>
                <c:ptCount val="6"/>
                <c:pt idx="0">
                  <c:v>-30</c:v>
                </c:pt>
                <c:pt idx="1">
                  <c:v>-60</c:v>
                </c:pt>
                <c:pt idx="2">
                  <c:v>-200</c:v>
                </c:pt>
                <c:pt idx="3">
                  <c:v>-290</c:v>
                </c:pt>
                <c:pt idx="4">
                  <c:v>-200</c:v>
                </c:pt>
                <c:pt idx="5">
                  <c:v>-300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BA-4576-82FF-3F0AFDB9F2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74239536"/>
        <c:axId val="1574232880"/>
      </c:barChart>
      <c:catAx>
        <c:axId val="1574239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4232880"/>
        <c:crosses val="autoZero"/>
        <c:auto val="1"/>
        <c:lblAlgn val="ctr"/>
        <c:lblOffset val="100"/>
        <c:noMultiLvlLbl val="0"/>
      </c:catAx>
      <c:valAx>
        <c:axId val="1574232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4239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66152435869181"/>
          <c:y val="2.8155262617327086E-2"/>
          <c:w val="0.80106364466872593"/>
          <c:h val="0.71232501686187777"/>
        </c:manualLayout>
      </c:layout>
      <c:barChart>
        <c:barDir val="col"/>
        <c:grouping val="stacked"/>
        <c:varyColors val="0"/>
        <c:ser>
          <c:idx val="0"/>
          <c:order val="0"/>
          <c:tx>
            <c:v>Mining</c:v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'Students worksheet'!$N$54:$N$55</c:f>
              <c:strCache>
                <c:ptCount val="2"/>
                <c:pt idx="0">
                  <c:v>Conventional route</c:v>
                </c:pt>
                <c:pt idx="1">
                  <c:v>New  route</c:v>
                </c:pt>
              </c:strCache>
            </c:strRef>
          </c:cat>
          <c:val>
            <c:numRef>
              <c:f>'Students worksheet'!$O$54:$O$55</c:f>
              <c:numCache>
                <c:formatCode>#,##0.00</c:formatCode>
                <c:ptCount val="2"/>
                <c:pt idx="0">
                  <c:v>29.85</c:v>
                </c:pt>
                <c:pt idx="1">
                  <c:v>29.85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53-4085-91B6-004513A32086}"/>
            </c:ext>
          </c:extLst>
        </c:ser>
        <c:ser>
          <c:idx val="1"/>
          <c:order val="1"/>
          <c:tx>
            <c:v>Concentration</c:v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'Students worksheet'!$N$54:$N$55</c:f>
              <c:strCache>
                <c:ptCount val="2"/>
                <c:pt idx="0">
                  <c:v>Conventional route</c:v>
                </c:pt>
                <c:pt idx="1">
                  <c:v>New  route</c:v>
                </c:pt>
              </c:strCache>
            </c:strRef>
          </c:cat>
          <c:val>
            <c:numRef>
              <c:f>'Students worksheet'!$P$54:$P$55</c:f>
              <c:numCache>
                <c:formatCode>#,##0.00</c:formatCode>
                <c:ptCount val="2"/>
                <c:pt idx="0">
                  <c:v>12.76195652173913</c:v>
                </c:pt>
                <c:pt idx="1">
                  <c:v>12.76195652173913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53-4085-91B6-004513A32086}"/>
            </c:ext>
          </c:extLst>
        </c:ser>
        <c:ser>
          <c:idx val="2"/>
          <c:order val="2"/>
          <c:tx>
            <c:strRef>
              <c:f>'Students worksheet'!$Q$53</c:f>
              <c:strCache>
                <c:ptCount val="1"/>
                <c:pt idx="0">
                  <c:v>Smelting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'Students worksheet'!$N$54:$N$55</c:f>
              <c:strCache>
                <c:ptCount val="2"/>
                <c:pt idx="0">
                  <c:v>Conventional route</c:v>
                </c:pt>
                <c:pt idx="1">
                  <c:v>New  route</c:v>
                </c:pt>
              </c:strCache>
            </c:strRef>
          </c:cat>
          <c:val>
            <c:numRef>
              <c:f>'Students worksheet'!$Q$54:$Q$55</c:f>
              <c:numCache>
                <c:formatCode>#,##0.00</c:formatCode>
                <c:ptCount val="2"/>
                <c:pt idx="0">
                  <c:v>9.0147000000000013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F53-4085-91B6-004513A32086}"/>
            </c:ext>
          </c:extLst>
        </c:ser>
        <c:ser>
          <c:idx val="3"/>
          <c:order val="3"/>
          <c:tx>
            <c:strRef>
              <c:f>'Students worksheet'!$R$53</c:f>
              <c:strCache>
                <c:ptCount val="1"/>
                <c:pt idx="0">
                  <c:v>Refining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'Students worksheet'!$N$54:$N$55</c:f>
              <c:strCache>
                <c:ptCount val="2"/>
                <c:pt idx="0">
                  <c:v>Conventional route</c:v>
                </c:pt>
                <c:pt idx="1">
                  <c:v>New  route</c:v>
                </c:pt>
              </c:strCache>
            </c:strRef>
          </c:cat>
          <c:val>
            <c:numRef>
              <c:f>'Students worksheet'!$R$54:$R$55</c:f>
              <c:numCache>
                <c:formatCode>#,##0.00</c:formatCode>
                <c:ptCount val="2"/>
                <c:pt idx="0">
                  <c:v>3.5223000000000004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F53-4085-91B6-004513A32086}"/>
            </c:ext>
          </c:extLst>
        </c:ser>
        <c:ser>
          <c:idx val="4"/>
          <c:order val="4"/>
          <c:tx>
            <c:strRef>
              <c:f>'Students worksheet'!$S$53</c:f>
              <c:strCache>
                <c:ptCount val="1"/>
                <c:pt idx="0">
                  <c:v>Kell process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'Students worksheet'!$N$54:$N$55</c:f>
              <c:strCache>
                <c:ptCount val="2"/>
                <c:pt idx="0">
                  <c:v>Conventional route</c:v>
                </c:pt>
                <c:pt idx="1">
                  <c:v>New  route</c:v>
                </c:pt>
              </c:strCache>
            </c:strRef>
          </c:cat>
          <c:val>
            <c:numRef>
              <c:f>'Students worksheet'!$S$54:$S$55</c:f>
              <c:numCache>
                <c:formatCode>#,##0.00</c:formatCode>
                <c:ptCount val="2"/>
                <c:pt idx="0">
                  <c:v>0</c:v>
                </c:pt>
                <c:pt idx="1">
                  <c:v>6.2287000000000008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F53-4085-91B6-004513A32086}"/>
            </c:ext>
          </c:extLst>
        </c:ser>
        <c:ser>
          <c:idx val="5"/>
          <c:order val="5"/>
          <c:tx>
            <c:v>Series 2</c:v>
          </c:tx>
          <c:spPr>
            <a:solidFill>
              <a:schemeClr val="bg1"/>
            </a:solidFill>
            <a:ln>
              <a:noFill/>
            </a:ln>
            <a:effectLst/>
          </c:spPr>
          <c:invertIfNegative val="0"/>
          <c:val>
            <c:numLit>
              <c:formatCode>General</c:formatCode>
              <c:ptCount val="1"/>
              <c:pt idx="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5-5F53-4085-91B6-004513A320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7"/>
        <c:overlap val="100"/>
        <c:axId val="952733640"/>
        <c:axId val="952729376"/>
      </c:barChart>
      <c:catAx>
        <c:axId val="952733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52729376"/>
        <c:crosses val="autoZero"/>
        <c:auto val="1"/>
        <c:lblAlgn val="ctr"/>
        <c:lblOffset val="100"/>
        <c:noMultiLvlLbl val="0"/>
      </c:catAx>
      <c:valAx>
        <c:axId val="952729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ZA"/>
                  <a:t>Energy consumption (PJ)</a:t>
                </a:r>
              </a:p>
            </c:rich>
          </c:tx>
          <c:layout>
            <c:manualLayout>
              <c:xMode val="edge"/>
              <c:yMode val="edge"/>
              <c:x val="1.7088136772958624E-2"/>
              <c:y val="0.2589443609873732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52733640"/>
        <c:crosses val="autoZero"/>
        <c:crossBetween val="between"/>
        <c:majorUnit val="5"/>
      </c:valAx>
      <c:spPr>
        <a:noFill/>
        <a:ln w="12700">
          <a:solidFill>
            <a:schemeClr val="tx1"/>
          </a:solidFill>
        </a:ln>
        <a:effectLst/>
      </c:spPr>
    </c:plotArea>
    <c:legend>
      <c:legendPos val="b"/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bg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ayout>
        <c:manualLayout>
          <c:xMode val="edge"/>
          <c:yMode val="edge"/>
          <c:x val="4.9999952068453916E-2"/>
          <c:y val="0.85496375291737803"/>
          <c:w val="0.94912472266933479"/>
          <c:h val="0.1450362470826219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 sz="12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399022535976105"/>
          <c:y val="3.3847943975739751E-2"/>
          <c:w val="0.80904002172142275"/>
          <c:h val="0.70784753971269365"/>
        </c:manualLayout>
      </c:layout>
      <c:barChart>
        <c:barDir val="col"/>
        <c:grouping val="stacked"/>
        <c:varyColors val="0"/>
        <c:ser>
          <c:idx val="0"/>
          <c:order val="0"/>
          <c:tx>
            <c:v>Mining</c:v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'Students worksheet'!$N$54:$N$55</c:f>
              <c:strCache>
                <c:ptCount val="2"/>
                <c:pt idx="0">
                  <c:v>Conventional route</c:v>
                </c:pt>
                <c:pt idx="1">
                  <c:v>New  route</c:v>
                </c:pt>
              </c:strCache>
            </c:strRef>
          </c:cat>
          <c:val>
            <c:numRef>
              <c:f>'Students worksheet'!$AB$54:$AB$55</c:f>
              <c:numCache>
                <c:formatCode>#,##0.00</c:formatCode>
                <c:ptCount val="2"/>
                <c:pt idx="0">
                  <c:v>356.38221153846149</c:v>
                </c:pt>
                <c:pt idx="1">
                  <c:v>356.38221153846149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9D-4BE5-B053-21E1F526E508}"/>
            </c:ext>
          </c:extLst>
        </c:ser>
        <c:ser>
          <c:idx val="1"/>
          <c:order val="1"/>
          <c:tx>
            <c:strRef>
              <c:f>'Students worksheet'!$AC$53</c:f>
              <c:strCache>
                <c:ptCount val="1"/>
                <c:pt idx="0">
                  <c:v>Concentration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'Students worksheet'!$N$54:$N$55</c:f>
              <c:strCache>
                <c:ptCount val="2"/>
                <c:pt idx="0">
                  <c:v>Conventional route</c:v>
                </c:pt>
                <c:pt idx="1">
                  <c:v>New  route</c:v>
                </c:pt>
              </c:strCache>
            </c:strRef>
          </c:cat>
          <c:val>
            <c:numRef>
              <c:f>'Students worksheet'!$AC$54:$AC$55</c:f>
              <c:numCache>
                <c:formatCode>#,##0.00</c:formatCode>
                <c:ptCount val="2"/>
                <c:pt idx="0">
                  <c:v>1.3323597396611686</c:v>
                </c:pt>
                <c:pt idx="1">
                  <c:v>1.3323597396611686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9D-4BE5-B053-21E1F526E508}"/>
            </c:ext>
          </c:extLst>
        </c:ser>
        <c:ser>
          <c:idx val="2"/>
          <c:order val="2"/>
          <c:tx>
            <c:v>Smelting</c:v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'Students worksheet'!$N$54:$N$55</c:f>
              <c:strCache>
                <c:ptCount val="2"/>
                <c:pt idx="0">
                  <c:v>Conventional route</c:v>
                </c:pt>
                <c:pt idx="1">
                  <c:v>New  route</c:v>
                </c:pt>
              </c:strCache>
            </c:strRef>
          </c:cat>
          <c:val>
            <c:numRef>
              <c:f>'Students worksheet'!$AD$54:$AD$55</c:f>
              <c:numCache>
                <c:formatCode>#,##0.00</c:formatCode>
                <c:ptCount val="2"/>
                <c:pt idx="0">
                  <c:v>227.12660078746046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E9D-4BE5-B053-21E1F526E508}"/>
            </c:ext>
          </c:extLst>
        </c:ser>
        <c:ser>
          <c:idx val="3"/>
          <c:order val="3"/>
          <c:tx>
            <c:v>Refining</c:v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'Students worksheet'!$N$54:$N$55</c:f>
              <c:strCache>
                <c:ptCount val="2"/>
                <c:pt idx="0">
                  <c:v>Conventional route</c:v>
                </c:pt>
                <c:pt idx="1">
                  <c:v>New  route</c:v>
                </c:pt>
              </c:strCache>
            </c:strRef>
          </c:cat>
          <c:val>
            <c:numRef>
              <c:f>'Students worksheet'!$AE$54:$AE$55</c:f>
              <c:numCache>
                <c:formatCode>#,##0.00</c:formatCode>
                <c:ptCount val="2"/>
                <c:pt idx="0">
                  <c:v>208.38306347903807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E9D-4BE5-B053-21E1F526E508}"/>
            </c:ext>
          </c:extLst>
        </c:ser>
        <c:ser>
          <c:idx val="4"/>
          <c:order val="4"/>
          <c:tx>
            <c:strRef>
              <c:f>'Students worksheet'!$AF$53</c:f>
              <c:strCache>
                <c:ptCount val="1"/>
                <c:pt idx="0">
                  <c:v>Kell process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'Students worksheet'!$N$54:$N$55</c:f>
              <c:strCache>
                <c:ptCount val="2"/>
                <c:pt idx="0">
                  <c:v>Conventional route</c:v>
                </c:pt>
                <c:pt idx="1">
                  <c:v>New  route</c:v>
                </c:pt>
              </c:strCache>
            </c:strRef>
          </c:cat>
          <c:val>
            <c:numRef>
              <c:f>'Students worksheet'!$AF$54:$AF$55</c:f>
              <c:numCache>
                <c:formatCode>#,##0.00</c:formatCode>
                <c:ptCount val="2"/>
                <c:pt idx="0">
                  <c:v>0</c:v>
                </c:pt>
                <c:pt idx="1">
                  <c:v>444.05766235068103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E9D-4BE5-B053-21E1F526E508}"/>
            </c:ext>
          </c:extLst>
        </c:ser>
        <c:ser>
          <c:idx val="5"/>
          <c:order val="5"/>
          <c:tx>
            <c:v>series2</c:v>
          </c:tx>
          <c:spPr>
            <a:solidFill>
              <a:schemeClr val="bg1"/>
            </a:solidFill>
            <a:ln>
              <a:noFill/>
            </a:ln>
            <a:effectLst/>
          </c:spPr>
          <c:invertIfNegative val="0"/>
          <c:val>
            <c:numLit>
              <c:formatCode>General</c:formatCode>
              <c:ptCount val="1"/>
              <c:pt idx="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5-CE9D-4BE5-B053-21E1F526E5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0"/>
        <c:overlap val="100"/>
        <c:axId val="952733640"/>
        <c:axId val="952729376"/>
      </c:barChart>
      <c:catAx>
        <c:axId val="952733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52729376"/>
        <c:crosses val="autoZero"/>
        <c:auto val="1"/>
        <c:lblAlgn val="ctr"/>
        <c:lblOffset val="100"/>
        <c:noMultiLvlLbl val="0"/>
      </c:catAx>
      <c:valAx>
        <c:axId val="952729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ZA"/>
                  <a:t>Overall emissions (kt)</a:t>
                </a:r>
              </a:p>
            </c:rich>
          </c:tx>
          <c:layout>
            <c:manualLayout>
              <c:xMode val="edge"/>
              <c:yMode val="edge"/>
              <c:x val="7.8724952484387732E-3"/>
              <c:y val="0.2687253328949623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52733640"/>
        <c:crosses val="autoZero"/>
        <c:crossBetween val="between"/>
      </c:valAx>
      <c:spPr>
        <a:noFill/>
        <a:ln w="12700">
          <a:solidFill>
            <a:schemeClr val="tx1"/>
          </a:solidFill>
        </a:ln>
        <a:effectLst/>
      </c:spPr>
    </c:plotArea>
    <c:legend>
      <c:legendPos val="b"/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bg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ayout>
        <c:manualLayout>
          <c:xMode val="edge"/>
          <c:yMode val="edge"/>
          <c:x val="8.0181156665761602E-2"/>
          <c:y val="0.86134336666127087"/>
          <c:w val="0.87549953841976647"/>
          <c:h val="0.1386566333387290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 sz="12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638247851331882"/>
          <c:y val="2.5093613298337709E-2"/>
          <c:w val="0.70740152660493094"/>
          <c:h val="0.6788245635348851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'Students worksheet'!$O$21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chemeClr val="tx1">
                <a:alpha val="99000"/>
              </a:schemeClr>
            </a:solidFill>
            <a:ln>
              <a:noFill/>
            </a:ln>
            <a:effectLst/>
          </c:spPr>
          <c:invertIfNegative val="0"/>
          <c:cat>
            <c:strRef>
              <c:f>'Students worksheet'!$N$22:$N$26</c:f>
              <c:strCache>
                <c:ptCount val="5"/>
                <c:pt idx="0">
                  <c:v>Mining</c:v>
                </c:pt>
                <c:pt idx="1">
                  <c:v>Concentration</c:v>
                </c:pt>
                <c:pt idx="2">
                  <c:v>Smelting</c:v>
                </c:pt>
                <c:pt idx="3">
                  <c:v>Refining</c:v>
                </c:pt>
                <c:pt idx="4">
                  <c:v>Kell process</c:v>
                </c:pt>
              </c:strCache>
            </c:strRef>
          </c:cat>
          <c:val>
            <c:numRef>
              <c:f>'Students worksheet'!$O$22:$O$26</c:f>
              <c:numCache>
                <c:formatCode>#,##0.00</c:formatCode>
                <c:ptCount val="5"/>
                <c:pt idx="0">
                  <c:v>24.749483944954129</c:v>
                </c:pt>
                <c:pt idx="1">
                  <c:v>12.739408895375632</c:v>
                </c:pt>
                <c:pt idx="2">
                  <c:v>6.4313829850746282</c:v>
                </c:pt>
                <c:pt idx="3">
                  <c:v>1.1965064885496186</c:v>
                </c:pt>
                <c:pt idx="4">
                  <c:v>1.3080270000000001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D2-4C91-AABF-FA442713EFEA}"/>
            </c:ext>
          </c:extLst>
        </c:ser>
        <c:ser>
          <c:idx val="1"/>
          <c:order val="1"/>
          <c:tx>
            <c:strRef>
              <c:f>'Students worksheet'!$P$21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Pt>
            <c:idx val="2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56D2-4C91-AABF-FA442713EFEA}"/>
              </c:ext>
            </c:extLst>
          </c:dPt>
          <c:cat>
            <c:strRef>
              <c:f>'Students worksheet'!$N$22:$N$26</c:f>
              <c:strCache>
                <c:ptCount val="5"/>
                <c:pt idx="0">
                  <c:v>Mining</c:v>
                </c:pt>
                <c:pt idx="1">
                  <c:v>Concentration</c:v>
                </c:pt>
                <c:pt idx="2">
                  <c:v>Smelting</c:v>
                </c:pt>
                <c:pt idx="3">
                  <c:v>Refining</c:v>
                </c:pt>
                <c:pt idx="4">
                  <c:v>Kell process</c:v>
                </c:pt>
              </c:strCache>
            </c:strRef>
          </c:cat>
          <c:val>
            <c:numRef>
              <c:f>'Students worksheet'!$P$22:$P$26</c:f>
              <c:numCache>
                <c:formatCode>#,##0.00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2.2738571641791046</c:v>
                </c:pt>
                <c:pt idx="3">
                  <c:v>2.2585740458015273</c:v>
                </c:pt>
                <c:pt idx="4">
                  <c:v>4.8583860000000012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6D2-4C91-AABF-FA442713EFEA}"/>
            </c:ext>
          </c:extLst>
        </c:ser>
        <c:ser>
          <c:idx val="2"/>
          <c:order val="2"/>
          <c:tx>
            <c:strRef>
              <c:f>'Students worksheet'!$Q$21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'Students worksheet'!$N$22:$N$26</c:f>
              <c:strCache>
                <c:ptCount val="5"/>
                <c:pt idx="0">
                  <c:v>Mining</c:v>
                </c:pt>
                <c:pt idx="1">
                  <c:v>Concentration</c:v>
                </c:pt>
                <c:pt idx="2">
                  <c:v>Smelting</c:v>
                </c:pt>
                <c:pt idx="3">
                  <c:v>Refining</c:v>
                </c:pt>
                <c:pt idx="4">
                  <c:v>Kell process</c:v>
                </c:pt>
              </c:strCache>
            </c:strRef>
          </c:cat>
          <c:val>
            <c:numRef>
              <c:f>'Students worksheet'!$Q$22:$Q$26</c:f>
              <c:numCache>
                <c:formatCode>#,##0.00</c:formatCode>
                <c:ptCount val="5"/>
                <c:pt idx="0">
                  <c:v>0</c:v>
                </c:pt>
                <c:pt idx="1">
                  <c:v>2.2547626363496696E-2</c:v>
                </c:pt>
                <c:pt idx="2">
                  <c:v>0.28255029850746272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6D2-4C91-AABF-FA442713EFEA}"/>
            </c:ext>
          </c:extLst>
        </c:ser>
        <c:ser>
          <c:idx val="3"/>
          <c:order val="3"/>
          <c:tx>
            <c:strRef>
              <c:f>'Students worksheet'!$R$21</c:f>
              <c:strCache>
                <c:ptCount val="1"/>
                <c:pt idx="0">
                  <c:v>Liquid fuels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'Students worksheet'!$N$22:$N$26</c:f>
              <c:strCache>
                <c:ptCount val="5"/>
                <c:pt idx="0">
                  <c:v>Mining</c:v>
                </c:pt>
                <c:pt idx="1">
                  <c:v>Concentration</c:v>
                </c:pt>
                <c:pt idx="2">
                  <c:v>Smelting</c:v>
                </c:pt>
                <c:pt idx="3">
                  <c:v>Refining</c:v>
                </c:pt>
                <c:pt idx="4">
                  <c:v>Kell process</c:v>
                </c:pt>
              </c:strCache>
            </c:strRef>
          </c:cat>
          <c:val>
            <c:numRef>
              <c:f>'Students worksheet'!$R$22:$R$26</c:f>
              <c:numCache>
                <c:formatCode>#,##0.00</c:formatCode>
                <c:ptCount val="5"/>
                <c:pt idx="0">
                  <c:v>5.1005160550458708</c:v>
                </c:pt>
                <c:pt idx="1">
                  <c:v>0</c:v>
                </c:pt>
                <c:pt idx="2">
                  <c:v>2.6909552238805975E-2</c:v>
                </c:pt>
                <c:pt idx="3">
                  <c:v>6.721946564885499E-2</c:v>
                </c:pt>
                <c:pt idx="4">
                  <c:v>6.2287000000000009E-2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6D2-4C91-AABF-FA442713EF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4"/>
        <c:overlap val="100"/>
        <c:axId val="488420704"/>
        <c:axId val="488421032"/>
      </c:barChart>
      <c:lineChart>
        <c:grouping val="standard"/>
        <c:varyColors val="0"/>
        <c:ser>
          <c:idx val="4"/>
          <c:order val="4"/>
          <c:tx>
            <c:v>Energy intensity </c:v>
          </c:tx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val>
            <c:numRef>
              <c:f>'Students worksheet'!$V$11:$V$15</c:f>
              <c:numCache>
                <c:formatCode>#,##0.00</c:formatCode>
                <c:ptCount val="5"/>
                <c:pt idx="0" formatCode="#,##0.00000">
                  <c:v>0.1</c:v>
                </c:pt>
                <c:pt idx="1">
                  <c:v>4.2753623188405795E-2</c:v>
                </c:pt>
                <c:pt idx="2">
                  <c:v>3.0200000000000005E-2</c:v>
                </c:pt>
                <c:pt idx="3">
                  <c:v>1.1800000000000001E-2</c:v>
                </c:pt>
                <c:pt idx="4">
                  <c:v>2.0866666666666669E-2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6D2-4C91-AABF-FA442713EFEA}"/>
            </c:ext>
          </c:extLst>
        </c:ser>
        <c:ser>
          <c:idx val="5"/>
          <c:order val="5"/>
          <c:tx>
            <c:v>series2</c:v>
          </c:tx>
          <c:spPr>
            <a:ln w="0" cap="rnd">
              <a:noFill/>
              <a:round/>
            </a:ln>
            <a:effectLst/>
          </c:spPr>
          <c:marker>
            <c:symbol val="none"/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7-56D2-4C91-AABF-FA442713EF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6907528"/>
        <c:axId val="496907200"/>
      </c:lineChart>
      <c:catAx>
        <c:axId val="488420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120000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88421032"/>
        <c:crosses val="autoZero"/>
        <c:auto val="1"/>
        <c:lblAlgn val="ctr"/>
        <c:lblOffset val="100"/>
        <c:noMultiLvlLbl val="0"/>
      </c:catAx>
      <c:valAx>
        <c:axId val="488421032"/>
        <c:scaling>
          <c:orientation val="minMax"/>
          <c:max val="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ZA"/>
                  <a:t>Energy consumption (PJ)</a:t>
                </a:r>
              </a:p>
            </c:rich>
          </c:tx>
          <c:layout>
            <c:manualLayout>
              <c:xMode val="edge"/>
              <c:yMode val="edge"/>
              <c:x val="2.9894512942945308E-3"/>
              <c:y val="0.1707735955578106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88420704"/>
        <c:crosses val="autoZero"/>
        <c:crossBetween val="between"/>
        <c:majorUnit val="5"/>
      </c:valAx>
      <c:valAx>
        <c:axId val="496907200"/>
        <c:scaling>
          <c:orientation val="minMax"/>
          <c:max val="0.11000000000000001"/>
          <c:min val="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ZA"/>
                  <a:t>Energy intensity (PJ/ t PGM)</a:t>
                </a:r>
              </a:p>
            </c:rich>
          </c:tx>
          <c:layout>
            <c:manualLayout>
              <c:xMode val="edge"/>
              <c:yMode val="edge"/>
              <c:x val="0.94046148556584208"/>
              <c:y val="0.120042286380869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0000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96907528"/>
        <c:crosses val="max"/>
        <c:crossBetween val="between"/>
      </c:valAx>
      <c:catAx>
        <c:axId val="496907528"/>
        <c:scaling>
          <c:orientation val="minMax"/>
        </c:scaling>
        <c:delete val="1"/>
        <c:axPos val="b"/>
        <c:majorTickMark val="out"/>
        <c:minorTickMark val="none"/>
        <c:tickLblPos val="nextTo"/>
        <c:crossAx val="496907200"/>
        <c:crosses val="autoZero"/>
        <c:auto val="1"/>
        <c:lblAlgn val="ctr"/>
        <c:lblOffset val="100"/>
        <c:noMultiLvlLbl val="0"/>
      </c:catAx>
      <c:spPr>
        <a:noFill/>
        <a:ln w="12700">
          <a:solidFill>
            <a:schemeClr val="tx1">
              <a:alpha val="94000"/>
            </a:schemeClr>
          </a:solidFill>
        </a:ln>
        <a:effectLst/>
      </c:spPr>
    </c:plotArea>
    <c:legend>
      <c:legendPos val="b"/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bg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ayout>
        <c:manualLayout>
          <c:xMode val="edge"/>
          <c:yMode val="edge"/>
          <c:x val="0"/>
          <c:y val="0.83009773277905419"/>
          <c:w val="1"/>
          <c:h val="0.1699023089951476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 b="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710011960098802"/>
          <c:y val="5.5637891706614956E-2"/>
          <c:w val="0.69081034922651563"/>
          <c:h val="0.63382840369886151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'Students worksheet'!$P$21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'Students worksheet'!$N$22:$N$26</c:f>
              <c:strCache>
                <c:ptCount val="5"/>
                <c:pt idx="0">
                  <c:v>Mining</c:v>
                </c:pt>
                <c:pt idx="1">
                  <c:v>Concentration</c:v>
                </c:pt>
                <c:pt idx="2">
                  <c:v>Smelting</c:v>
                </c:pt>
                <c:pt idx="3">
                  <c:v>Refining</c:v>
                </c:pt>
                <c:pt idx="4">
                  <c:v>Kell process</c:v>
                </c:pt>
              </c:strCache>
            </c:strRef>
          </c:cat>
          <c:val>
            <c:numRef>
              <c:f>'Students worksheet'!$AF$13:$AF$17</c:f>
              <c:numCache>
                <c:formatCode>#,##0.00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205.79419438416227</c:v>
                </c:pt>
                <c:pt idx="3">
                  <c:v>204.41100414524209</c:v>
                </c:pt>
                <c:pt idx="4">
                  <c:v>439.70555786350155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C0-45AC-B7D8-845193CD8EE3}"/>
            </c:ext>
          </c:extLst>
        </c:ser>
        <c:ser>
          <c:idx val="2"/>
          <c:order val="1"/>
          <c:tx>
            <c:strRef>
              <c:f>'Students worksheet'!$Q$21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'Students worksheet'!$N$22:$N$26</c:f>
              <c:strCache>
                <c:ptCount val="5"/>
                <c:pt idx="0">
                  <c:v>Mining</c:v>
                </c:pt>
                <c:pt idx="1">
                  <c:v>Concentration</c:v>
                </c:pt>
                <c:pt idx="2">
                  <c:v>Smelting</c:v>
                </c:pt>
                <c:pt idx="3">
                  <c:v>Refining</c:v>
                </c:pt>
                <c:pt idx="4">
                  <c:v>Kell process</c:v>
                </c:pt>
              </c:strCache>
            </c:strRef>
          </c:cat>
          <c:val>
            <c:numRef>
              <c:f>'Students worksheet'!$AG$13:$AG$17</c:f>
              <c:numCache>
                <c:formatCode>#,##0.00</c:formatCode>
                <c:ptCount val="5"/>
                <c:pt idx="0">
                  <c:v>0</c:v>
                </c:pt>
                <c:pt idx="1">
                  <c:v>1.3323597396611686</c:v>
                </c:pt>
                <c:pt idx="2">
                  <c:v>1.5901099050203531</c:v>
                </c:pt>
                <c:pt idx="3">
                  <c:v>3.9720593337959769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C0-45AC-B7D8-845193CD8EE3}"/>
            </c:ext>
          </c:extLst>
        </c:ser>
        <c:ser>
          <c:idx val="3"/>
          <c:order val="2"/>
          <c:tx>
            <c:strRef>
              <c:f>'Students worksheet'!$R$21</c:f>
              <c:strCache>
                <c:ptCount val="1"/>
                <c:pt idx="0">
                  <c:v>Liquid fuels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'Students worksheet'!$N$22:$N$26</c:f>
              <c:strCache>
                <c:ptCount val="5"/>
                <c:pt idx="0">
                  <c:v>Mining</c:v>
                </c:pt>
                <c:pt idx="1">
                  <c:v>Concentration</c:v>
                </c:pt>
                <c:pt idx="2">
                  <c:v>Smelting</c:v>
                </c:pt>
                <c:pt idx="3">
                  <c:v>Refining</c:v>
                </c:pt>
                <c:pt idx="4">
                  <c:v>Kell process</c:v>
                </c:pt>
              </c:strCache>
            </c:strRef>
          </c:cat>
          <c:val>
            <c:numRef>
              <c:f>'Students worksheet'!$AH$13:$AH$17</c:f>
              <c:numCache>
                <c:formatCode>#,##0.00</c:formatCode>
                <c:ptCount val="5"/>
                <c:pt idx="0">
                  <c:v>356.38221153846149</c:v>
                </c:pt>
                <c:pt idx="1">
                  <c:v>0</c:v>
                </c:pt>
                <c:pt idx="2">
                  <c:v>19.742296498277845</c:v>
                </c:pt>
                <c:pt idx="3">
                  <c:v>0</c:v>
                </c:pt>
                <c:pt idx="4">
                  <c:v>4.3521044871794885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7C0-45AC-B7D8-845193CD8E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6"/>
        <c:overlap val="100"/>
        <c:axId val="488420704"/>
        <c:axId val="488421032"/>
      </c:barChart>
      <c:lineChart>
        <c:grouping val="standard"/>
        <c:varyColors val="0"/>
        <c:ser>
          <c:idx val="4"/>
          <c:order val="3"/>
          <c:tx>
            <c:v>Energy intensity </c:v>
          </c:tx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val>
            <c:numRef>
              <c:f>'Students worksheet'!$AJ$13:$AJ$17</c:f>
              <c:numCache>
                <c:formatCode>#,##0.000</c:formatCode>
                <c:ptCount val="5"/>
                <c:pt idx="0" formatCode="#,##0.00">
                  <c:v>1.1939102564102562</c:v>
                </c:pt>
                <c:pt idx="1">
                  <c:v>4.4635167157828096E-3</c:v>
                </c:pt>
                <c:pt idx="2" formatCode="#,##0.00">
                  <c:v>0.76089313496636668</c:v>
                </c:pt>
                <c:pt idx="3" formatCode="#,##0.00">
                  <c:v>0.69810071517265682</c:v>
                </c:pt>
                <c:pt idx="4" formatCode="#,##0.00">
                  <c:v>1.4876303596337723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7C0-45AC-B7D8-845193CD8EE3}"/>
            </c:ext>
          </c:extLst>
        </c:ser>
        <c:ser>
          <c:idx val="0"/>
          <c:order val="4"/>
          <c:tx>
            <c:v>series2</c:v>
          </c:tx>
          <c:spPr>
            <a:ln w="28575" cap="rnd">
              <a:solidFill>
                <a:schemeClr val="bg1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4-77C0-45AC-B7D8-845193CD8E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6907528"/>
        <c:axId val="496907200"/>
      </c:lineChart>
      <c:catAx>
        <c:axId val="488420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120000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88421032"/>
        <c:crosses val="autoZero"/>
        <c:auto val="1"/>
        <c:lblAlgn val="ctr"/>
        <c:lblOffset val="100"/>
        <c:noMultiLvlLbl val="0"/>
      </c:catAx>
      <c:valAx>
        <c:axId val="488421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ZA"/>
                  <a:t>Direct emissions (kt)</a:t>
                </a:r>
              </a:p>
            </c:rich>
          </c:tx>
          <c:layout>
            <c:manualLayout>
              <c:xMode val="edge"/>
              <c:yMode val="edge"/>
              <c:x val="1.5304864949215005E-2"/>
              <c:y val="0.2135350652202117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88420704"/>
        <c:crosses val="autoZero"/>
        <c:crossBetween val="between"/>
        <c:majorUnit val="50"/>
      </c:valAx>
      <c:valAx>
        <c:axId val="496907200"/>
        <c:scaling>
          <c:orientation val="minMax"/>
          <c:max val="1.55"/>
          <c:min val="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ZA"/>
                  <a:t>Carbon intensity (kt/ t PGM))</a:t>
                </a:r>
              </a:p>
            </c:rich>
          </c:tx>
          <c:layout>
            <c:manualLayout>
              <c:xMode val="edge"/>
              <c:yMode val="edge"/>
              <c:x val="0.94185318471031232"/>
              <c:y val="0.1470811973062494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0" sourceLinked="1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96907528"/>
        <c:crosses val="max"/>
        <c:crossBetween val="between"/>
      </c:valAx>
      <c:catAx>
        <c:axId val="496907528"/>
        <c:scaling>
          <c:orientation val="minMax"/>
        </c:scaling>
        <c:delete val="1"/>
        <c:axPos val="b"/>
        <c:majorTickMark val="out"/>
        <c:minorTickMark val="none"/>
        <c:tickLblPos val="nextTo"/>
        <c:crossAx val="496907200"/>
        <c:crosses val="autoZero"/>
        <c:auto val="1"/>
        <c:lblAlgn val="ctr"/>
        <c:lblOffset val="100"/>
        <c:noMultiLvlLbl val="0"/>
      </c:catAx>
      <c:spPr>
        <a:noFill/>
        <a:ln w="12700">
          <a:solidFill>
            <a:schemeClr val="tx1"/>
          </a:solidFill>
        </a:ln>
        <a:effectLst/>
      </c:spPr>
    </c:plotArea>
    <c:legend>
      <c:legendPos val="b"/>
      <c:legendEntry>
        <c:idx val="4"/>
        <c:txPr>
          <a:bodyPr rot="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bg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ayout>
        <c:manualLayout>
          <c:xMode val="edge"/>
          <c:yMode val="edge"/>
          <c:x val="1.2347011738853011E-3"/>
          <c:y val="0.85132946547481625"/>
          <c:w val="0.99481558040681439"/>
          <c:h val="0.127545905869541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1.emf"/><Relationship Id="rId2" Type="http://schemas.openxmlformats.org/officeDocument/2006/relationships/image" Target="../media/image50.emf"/><Relationship Id="rId1" Type="http://schemas.openxmlformats.org/officeDocument/2006/relationships/image" Target="../media/image49.emf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.emf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5.emf"/><Relationship Id="rId2" Type="http://schemas.openxmlformats.org/officeDocument/2006/relationships/image" Target="../media/image54.emf"/><Relationship Id="rId1" Type="http://schemas.openxmlformats.org/officeDocument/2006/relationships/image" Target="../media/image53.emf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emf"/><Relationship Id="rId2" Type="http://schemas.openxmlformats.org/officeDocument/2006/relationships/image" Target="../media/image57.emf"/><Relationship Id="rId1" Type="http://schemas.openxmlformats.org/officeDocument/2006/relationships/image" Target="../media/image56.emf"/><Relationship Id="rId5" Type="http://schemas.openxmlformats.org/officeDocument/2006/relationships/chart" Target="../charts/chart1.xml"/><Relationship Id="rId4" Type="http://schemas.openxmlformats.org/officeDocument/2006/relationships/image" Target="../media/image59.emf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0.emf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62.png"/><Relationship Id="rId1" Type="http://schemas.openxmlformats.org/officeDocument/2006/relationships/image" Target="../media/image61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3" Type="http://schemas.openxmlformats.org/officeDocument/2006/relationships/image" Target="../media/image5.emf"/><Relationship Id="rId2" Type="http://schemas.openxmlformats.org/officeDocument/2006/relationships/image" Target="../media/image4.emf"/><Relationship Id="rId1" Type="http://schemas.openxmlformats.org/officeDocument/2006/relationships/image" Target="../media/image3.emf"/></Relationships>
</file>

<file path=xl/drawings/_rels/vmlDrawing3.vml.rels><?xml version="1.0" encoding="UTF-8" standalone="yes"?>
<Relationships xmlns="http://schemas.openxmlformats.org/package/2006/relationships"><Relationship Id="rId3" Type="http://schemas.openxmlformats.org/officeDocument/2006/relationships/image" Target="../media/image6.emf"/><Relationship Id="rId2" Type="http://schemas.openxmlformats.org/officeDocument/2006/relationships/image" Target="../media/image7.emf"/><Relationship Id="rId1" Type="http://schemas.openxmlformats.org/officeDocument/2006/relationships/image" Target="../media/image8.emf"/></Relationships>
</file>

<file path=xl/drawings/_rels/vmlDrawing4.vml.rels><?xml version="1.0" encoding="UTF-8" standalone="yes"?>
<Relationships xmlns="http://schemas.openxmlformats.org/package/2006/relationships"><Relationship Id="rId3" Type="http://schemas.openxmlformats.org/officeDocument/2006/relationships/image" Target="../media/image9.emf"/><Relationship Id="rId2" Type="http://schemas.openxmlformats.org/officeDocument/2006/relationships/image" Target="../media/image10.emf"/><Relationship Id="rId1" Type="http://schemas.openxmlformats.org/officeDocument/2006/relationships/image" Target="../media/image11.emf"/></Relationships>
</file>

<file path=xl/drawings/_rels/vmlDrawing5.vml.rels><?xml version="1.0" encoding="UTF-8" standalone="yes"?>
<Relationships xmlns="http://schemas.openxmlformats.org/package/2006/relationships"><Relationship Id="rId3" Type="http://schemas.openxmlformats.org/officeDocument/2006/relationships/image" Target="../media/image14.emf"/><Relationship Id="rId2" Type="http://schemas.openxmlformats.org/officeDocument/2006/relationships/image" Target="../media/image13.emf"/><Relationship Id="rId1" Type="http://schemas.openxmlformats.org/officeDocument/2006/relationships/image" Target="../media/image12.emf"/></Relationships>
</file>

<file path=xl/drawings/_rels/vmlDrawing6.vml.rels><?xml version="1.0" encoding="UTF-8" standalone="yes"?>
<Relationships xmlns="http://schemas.openxmlformats.org/package/2006/relationships"><Relationship Id="rId3" Type="http://schemas.openxmlformats.org/officeDocument/2006/relationships/image" Target="../media/image16.emf"/><Relationship Id="rId2" Type="http://schemas.openxmlformats.org/officeDocument/2006/relationships/image" Target="../media/image17.emf"/><Relationship Id="rId1" Type="http://schemas.openxmlformats.org/officeDocument/2006/relationships/image" Target="../media/image18.emf"/><Relationship Id="rId5" Type="http://schemas.openxmlformats.org/officeDocument/2006/relationships/image" Target="../media/image19.emf"/><Relationship Id="rId4" Type="http://schemas.openxmlformats.org/officeDocument/2006/relationships/image" Target="../media/image15.emf"/></Relationships>
</file>

<file path=xl/drawings/_rels/vmlDrawing7.vml.rels><?xml version="1.0" encoding="UTF-8" standalone="yes"?>
<Relationships xmlns="http://schemas.openxmlformats.org/package/2006/relationships"><Relationship Id="rId3" Type="http://schemas.openxmlformats.org/officeDocument/2006/relationships/image" Target="../media/image20.emf"/><Relationship Id="rId2" Type="http://schemas.openxmlformats.org/officeDocument/2006/relationships/image" Target="../media/image21.emf"/><Relationship Id="rId1" Type="http://schemas.openxmlformats.org/officeDocument/2006/relationships/image" Target="../media/image22.emf"/></Relationships>
</file>

<file path=xl/drawings/_rels/vmlDrawing8.vml.rels><?xml version="1.0" encoding="UTF-8" standalone="yes"?>
<Relationships xmlns="http://schemas.openxmlformats.org/package/2006/relationships"><Relationship Id="rId3" Type="http://schemas.openxmlformats.org/officeDocument/2006/relationships/image" Target="../media/image25.emf"/><Relationship Id="rId2" Type="http://schemas.openxmlformats.org/officeDocument/2006/relationships/image" Target="../media/image26.emf"/><Relationship Id="rId1" Type="http://schemas.openxmlformats.org/officeDocument/2006/relationships/image" Target="../media/image27.emf"/><Relationship Id="rId5" Type="http://schemas.openxmlformats.org/officeDocument/2006/relationships/image" Target="../media/image23.emf"/><Relationship Id="rId4" Type="http://schemas.openxmlformats.org/officeDocument/2006/relationships/image" Target="../media/image24.emf"/></Relationships>
</file>

<file path=xl/drawings/_rels/vmlDrawing9.vml.rels><?xml version="1.0" encoding="UTF-8" standalone="yes"?>
<Relationships xmlns="http://schemas.openxmlformats.org/package/2006/relationships"><Relationship Id="rId3" Type="http://schemas.openxmlformats.org/officeDocument/2006/relationships/image" Target="../media/image30.emf"/><Relationship Id="rId7" Type="http://schemas.openxmlformats.org/officeDocument/2006/relationships/image" Target="../media/image34.emf"/><Relationship Id="rId2" Type="http://schemas.openxmlformats.org/officeDocument/2006/relationships/image" Target="../media/image29.emf"/><Relationship Id="rId1" Type="http://schemas.openxmlformats.org/officeDocument/2006/relationships/image" Target="../media/image28.emf"/><Relationship Id="rId6" Type="http://schemas.openxmlformats.org/officeDocument/2006/relationships/image" Target="../media/image33.emf"/><Relationship Id="rId5" Type="http://schemas.openxmlformats.org/officeDocument/2006/relationships/image" Target="../media/image32.emf"/><Relationship Id="rId4" Type="http://schemas.openxmlformats.org/officeDocument/2006/relationships/image" Target="../media/image31.emf"/></Relationships>
</file>

<file path=xl/drawings/_rels/vmlDrawing10.vml.rels><?xml version="1.0" encoding="UTF-8" standalone="yes"?>
<Relationships xmlns="http://schemas.openxmlformats.org/package/2006/relationships"><Relationship Id="rId3" Type="http://schemas.openxmlformats.org/officeDocument/2006/relationships/image" Target="../media/image37.emf"/><Relationship Id="rId7" Type="http://schemas.openxmlformats.org/officeDocument/2006/relationships/image" Target="../media/image41.emf"/><Relationship Id="rId2" Type="http://schemas.openxmlformats.org/officeDocument/2006/relationships/image" Target="../media/image36.emf"/><Relationship Id="rId1" Type="http://schemas.openxmlformats.org/officeDocument/2006/relationships/image" Target="../media/image35.emf"/><Relationship Id="rId6" Type="http://schemas.openxmlformats.org/officeDocument/2006/relationships/image" Target="../media/image40.emf"/><Relationship Id="rId5" Type="http://schemas.openxmlformats.org/officeDocument/2006/relationships/image" Target="../media/image39.emf"/><Relationship Id="rId4" Type="http://schemas.openxmlformats.org/officeDocument/2006/relationships/image" Target="../media/image38.emf"/></Relationships>
</file>

<file path=xl/drawings/_rels/vmlDrawing11.vml.rels><?xml version="1.0" encoding="UTF-8" standalone="yes"?>
<Relationships xmlns="http://schemas.openxmlformats.org/package/2006/relationships"><Relationship Id="rId3" Type="http://schemas.openxmlformats.org/officeDocument/2006/relationships/image" Target="../media/image46.emf"/><Relationship Id="rId7" Type="http://schemas.openxmlformats.org/officeDocument/2006/relationships/image" Target="../media/image42.emf"/><Relationship Id="rId2" Type="http://schemas.openxmlformats.org/officeDocument/2006/relationships/image" Target="../media/image47.emf"/><Relationship Id="rId1" Type="http://schemas.openxmlformats.org/officeDocument/2006/relationships/image" Target="../media/image48.emf"/><Relationship Id="rId6" Type="http://schemas.openxmlformats.org/officeDocument/2006/relationships/image" Target="../media/image43.emf"/><Relationship Id="rId5" Type="http://schemas.openxmlformats.org/officeDocument/2006/relationships/image" Target="../media/image44.emf"/><Relationship Id="rId4" Type="http://schemas.openxmlformats.org/officeDocument/2006/relationships/image" Target="../media/image45.emf"/></Relationships>
</file>

<file path=xl/drawings/_rels/vmlDrawing15.vml.rels><?xml version="1.0" encoding="UTF-8" standalone="yes"?>
<Relationships xmlns="http://schemas.openxmlformats.org/package/2006/relationships"><Relationship Id="rId8" Type="http://schemas.openxmlformats.org/officeDocument/2006/relationships/image" Target="../media/image70.emf"/><Relationship Id="rId3" Type="http://schemas.openxmlformats.org/officeDocument/2006/relationships/image" Target="../media/image65.emf"/><Relationship Id="rId7" Type="http://schemas.openxmlformats.org/officeDocument/2006/relationships/image" Target="../media/image69.emf"/><Relationship Id="rId2" Type="http://schemas.openxmlformats.org/officeDocument/2006/relationships/image" Target="../media/image64.emf"/><Relationship Id="rId1" Type="http://schemas.openxmlformats.org/officeDocument/2006/relationships/image" Target="../media/image63.emf"/><Relationship Id="rId6" Type="http://schemas.openxmlformats.org/officeDocument/2006/relationships/image" Target="../media/image68.emf"/><Relationship Id="rId5" Type="http://schemas.openxmlformats.org/officeDocument/2006/relationships/image" Target="../media/image67.emf"/><Relationship Id="rId4" Type="http://schemas.openxmlformats.org/officeDocument/2006/relationships/image" Target="../media/image66.emf"/></Relationships>
</file>

<file path=xl/drawings/_rels/vmlDrawing16.vml.rels><?xml version="1.0" encoding="UTF-8" standalone="yes"?>
<Relationships xmlns="http://schemas.openxmlformats.org/package/2006/relationships"><Relationship Id="rId3" Type="http://schemas.openxmlformats.org/officeDocument/2006/relationships/image" Target="../media/image73.emf"/><Relationship Id="rId2" Type="http://schemas.openxmlformats.org/officeDocument/2006/relationships/image" Target="../media/image72.emf"/><Relationship Id="rId1" Type="http://schemas.openxmlformats.org/officeDocument/2006/relationships/image" Target="../media/image71.emf"/><Relationship Id="rId4" Type="http://schemas.openxmlformats.org/officeDocument/2006/relationships/image" Target="../media/image74.emf"/></Relationships>
</file>

<file path=xl/drawings/_rels/vmlDrawing17.vml.rels><?xml version="1.0" encoding="UTF-8" standalone="yes"?>
<Relationships xmlns="http://schemas.openxmlformats.org/package/2006/relationships"><Relationship Id="rId8" Type="http://schemas.openxmlformats.org/officeDocument/2006/relationships/image" Target="../media/image83.emf"/><Relationship Id="rId3" Type="http://schemas.openxmlformats.org/officeDocument/2006/relationships/image" Target="../media/image78.emf"/><Relationship Id="rId7" Type="http://schemas.openxmlformats.org/officeDocument/2006/relationships/image" Target="../media/image82.emf"/><Relationship Id="rId2" Type="http://schemas.openxmlformats.org/officeDocument/2006/relationships/image" Target="../media/image77.emf"/><Relationship Id="rId1" Type="http://schemas.openxmlformats.org/officeDocument/2006/relationships/image" Target="../media/image76.emf"/><Relationship Id="rId6" Type="http://schemas.openxmlformats.org/officeDocument/2006/relationships/image" Target="../media/image81.emf"/><Relationship Id="rId5" Type="http://schemas.openxmlformats.org/officeDocument/2006/relationships/image" Target="../media/image80.emf"/><Relationship Id="rId10" Type="http://schemas.openxmlformats.org/officeDocument/2006/relationships/image" Target="../media/image75.emf"/><Relationship Id="rId4" Type="http://schemas.openxmlformats.org/officeDocument/2006/relationships/image" Target="../media/image79.emf"/><Relationship Id="rId9" Type="http://schemas.openxmlformats.org/officeDocument/2006/relationships/image" Target="../media/image84.emf"/></Relationships>
</file>

<file path=xl/drawings/_rels/vmlDrawing18.vml.rels><?xml version="1.0" encoding="UTF-8" standalone="yes"?>
<Relationships xmlns="http://schemas.openxmlformats.org/package/2006/relationships"><Relationship Id="rId8" Type="http://schemas.openxmlformats.org/officeDocument/2006/relationships/image" Target="../media/image92.emf"/><Relationship Id="rId3" Type="http://schemas.openxmlformats.org/officeDocument/2006/relationships/image" Target="../media/image87.emf"/><Relationship Id="rId7" Type="http://schemas.openxmlformats.org/officeDocument/2006/relationships/image" Target="../media/image91.emf"/><Relationship Id="rId2" Type="http://schemas.openxmlformats.org/officeDocument/2006/relationships/image" Target="../media/image86.emf"/><Relationship Id="rId1" Type="http://schemas.openxmlformats.org/officeDocument/2006/relationships/image" Target="../media/image85.emf"/><Relationship Id="rId6" Type="http://schemas.openxmlformats.org/officeDocument/2006/relationships/image" Target="../media/image90.emf"/><Relationship Id="rId5" Type="http://schemas.openxmlformats.org/officeDocument/2006/relationships/image" Target="../media/image89.emf"/><Relationship Id="rId4" Type="http://schemas.openxmlformats.org/officeDocument/2006/relationships/image" Target="../media/image88.emf"/></Relationships>
</file>

<file path=xl/drawings/_rels/vmlDrawing19.vml.rels><?xml version="1.0" encoding="UTF-8" standalone="yes"?>
<Relationships xmlns="http://schemas.openxmlformats.org/package/2006/relationships"><Relationship Id="rId8" Type="http://schemas.openxmlformats.org/officeDocument/2006/relationships/image" Target="../media/image101.emf"/><Relationship Id="rId3" Type="http://schemas.openxmlformats.org/officeDocument/2006/relationships/image" Target="../media/image96.emf"/><Relationship Id="rId7" Type="http://schemas.openxmlformats.org/officeDocument/2006/relationships/image" Target="../media/image100.emf"/><Relationship Id="rId2" Type="http://schemas.openxmlformats.org/officeDocument/2006/relationships/image" Target="../media/image95.emf"/><Relationship Id="rId1" Type="http://schemas.openxmlformats.org/officeDocument/2006/relationships/image" Target="../media/image94.emf"/><Relationship Id="rId6" Type="http://schemas.openxmlformats.org/officeDocument/2006/relationships/image" Target="../media/image99.emf"/><Relationship Id="rId5" Type="http://schemas.openxmlformats.org/officeDocument/2006/relationships/image" Target="../media/image98.emf"/><Relationship Id="rId10" Type="http://schemas.openxmlformats.org/officeDocument/2006/relationships/image" Target="../media/image93.emf"/><Relationship Id="rId4" Type="http://schemas.openxmlformats.org/officeDocument/2006/relationships/image" Target="../media/image97.emf"/><Relationship Id="rId9" Type="http://schemas.openxmlformats.org/officeDocument/2006/relationships/image" Target="../media/image102.emf"/></Relationships>
</file>

<file path=xl/drawings/_rels/vmlDrawing20.vml.rels><?xml version="1.0" encoding="UTF-8" standalone="yes"?>
<Relationships xmlns="http://schemas.openxmlformats.org/package/2006/relationships"><Relationship Id="rId8" Type="http://schemas.openxmlformats.org/officeDocument/2006/relationships/image" Target="../media/image111.emf"/><Relationship Id="rId3" Type="http://schemas.openxmlformats.org/officeDocument/2006/relationships/image" Target="../media/image106.emf"/><Relationship Id="rId7" Type="http://schemas.openxmlformats.org/officeDocument/2006/relationships/image" Target="../media/image110.emf"/><Relationship Id="rId2" Type="http://schemas.openxmlformats.org/officeDocument/2006/relationships/image" Target="../media/image105.emf"/><Relationship Id="rId1" Type="http://schemas.openxmlformats.org/officeDocument/2006/relationships/image" Target="../media/image104.emf"/><Relationship Id="rId6" Type="http://schemas.openxmlformats.org/officeDocument/2006/relationships/image" Target="../media/image109.emf"/><Relationship Id="rId5" Type="http://schemas.openxmlformats.org/officeDocument/2006/relationships/image" Target="../media/image108.emf"/><Relationship Id="rId10" Type="http://schemas.openxmlformats.org/officeDocument/2006/relationships/image" Target="../media/image103.emf"/><Relationship Id="rId4" Type="http://schemas.openxmlformats.org/officeDocument/2006/relationships/image" Target="../media/image107.emf"/><Relationship Id="rId9" Type="http://schemas.openxmlformats.org/officeDocument/2006/relationships/image" Target="../media/image112.emf"/></Relationships>
</file>

<file path=xl/drawings/_rels/vmlDrawing21.vml.rels><?xml version="1.0" encoding="UTF-8" standalone="yes"?>
<Relationships xmlns="http://schemas.openxmlformats.org/package/2006/relationships"><Relationship Id="rId8" Type="http://schemas.openxmlformats.org/officeDocument/2006/relationships/image" Target="../media/image120.emf"/><Relationship Id="rId3" Type="http://schemas.openxmlformats.org/officeDocument/2006/relationships/image" Target="../media/image115.emf"/><Relationship Id="rId7" Type="http://schemas.openxmlformats.org/officeDocument/2006/relationships/image" Target="../media/image119.emf"/><Relationship Id="rId2" Type="http://schemas.openxmlformats.org/officeDocument/2006/relationships/image" Target="../media/image114.emf"/><Relationship Id="rId1" Type="http://schemas.openxmlformats.org/officeDocument/2006/relationships/image" Target="../media/image113.emf"/><Relationship Id="rId6" Type="http://schemas.openxmlformats.org/officeDocument/2006/relationships/image" Target="../media/image118.emf"/><Relationship Id="rId5" Type="http://schemas.openxmlformats.org/officeDocument/2006/relationships/image" Target="../media/image117.emf"/><Relationship Id="rId4" Type="http://schemas.openxmlformats.org/officeDocument/2006/relationships/image" Target="../media/image116.emf"/></Relationships>
</file>

<file path=xl/drawings/_rels/vmlDrawing22.vml.rels><?xml version="1.0" encoding="UTF-8" standalone="yes"?>
<Relationships xmlns="http://schemas.openxmlformats.org/package/2006/relationships"><Relationship Id="rId8" Type="http://schemas.openxmlformats.org/officeDocument/2006/relationships/image" Target="../media/image129.emf"/><Relationship Id="rId3" Type="http://schemas.openxmlformats.org/officeDocument/2006/relationships/image" Target="../media/image124.emf"/><Relationship Id="rId7" Type="http://schemas.openxmlformats.org/officeDocument/2006/relationships/image" Target="../media/image128.emf"/><Relationship Id="rId2" Type="http://schemas.openxmlformats.org/officeDocument/2006/relationships/image" Target="../media/image123.emf"/><Relationship Id="rId1" Type="http://schemas.openxmlformats.org/officeDocument/2006/relationships/image" Target="../media/image122.emf"/><Relationship Id="rId6" Type="http://schemas.openxmlformats.org/officeDocument/2006/relationships/image" Target="../media/image127.emf"/><Relationship Id="rId5" Type="http://schemas.openxmlformats.org/officeDocument/2006/relationships/image" Target="../media/image126.emf"/><Relationship Id="rId10" Type="http://schemas.openxmlformats.org/officeDocument/2006/relationships/image" Target="../media/image121.emf"/><Relationship Id="rId4" Type="http://schemas.openxmlformats.org/officeDocument/2006/relationships/image" Target="../media/image125.emf"/><Relationship Id="rId9" Type="http://schemas.openxmlformats.org/officeDocument/2006/relationships/image" Target="../media/image130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2</xdr:row>
          <xdr:rowOff>0</xdr:rowOff>
        </xdr:from>
        <xdr:to>
          <xdr:col>0</xdr:col>
          <xdr:colOff>828675</xdr:colOff>
          <xdr:row>3</xdr:row>
          <xdr:rowOff>9525</xdr:rowOff>
        </xdr:to>
        <xdr:sp macro="" textlink="">
          <xdr:nvSpPr>
            <xdr:cNvPr id="63489" name="cmdCheckRegionsSheet" hidden="1">
              <a:extLst>
                <a:ext uri="{63B3BB69-23CF-44E3-9099-C40C66FF867C}">
                  <a14:compatExt spid="_x0000_s63489"/>
                </a:ext>
                <a:ext uri="{FF2B5EF4-FFF2-40B4-BE49-F238E27FC236}">
                  <a16:creationId xmlns:a16="http://schemas.microsoft.com/office/drawing/2014/main" id="{00000000-0008-0000-0500-000001F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</xdr:colOff>
          <xdr:row>3</xdr:row>
          <xdr:rowOff>19050</xdr:rowOff>
        </xdr:from>
        <xdr:to>
          <xdr:col>3</xdr:col>
          <xdr:colOff>9525</xdr:colOff>
          <xdr:row>4</xdr:row>
          <xdr:rowOff>114300</xdr:rowOff>
        </xdr:to>
        <xdr:sp macro="" textlink="">
          <xdr:nvSpPr>
            <xdr:cNvPr id="63490" name="cmdSpecifySets" hidden="1">
              <a:extLst>
                <a:ext uri="{63B3BB69-23CF-44E3-9099-C40C66FF867C}">
                  <a14:compatExt spid="_x0000_s63490"/>
                </a:ext>
                <a:ext uri="{FF2B5EF4-FFF2-40B4-BE49-F238E27FC236}">
                  <a16:creationId xmlns:a16="http://schemas.microsoft.com/office/drawing/2014/main" id="{00000000-0008-0000-0500-000002F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3</xdr:row>
          <xdr:rowOff>133350</xdr:rowOff>
        </xdr:from>
        <xdr:to>
          <xdr:col>4</xdr:col>
          <xdr:colOff>1924050</xdr:colOff>
          <xdr:row>4</xdr:row>
          <xdr:rowOff>152400</xdr:rowOff>
        </xdr:to>
        <xdr:sp macro="" textlink="">
          <xdr:nvSpPr>
            <xdr:cNvPr id="71681" name="cmdSpecifySets" hidden="1">
              <a:extLst>
                <a:ext uri="{63B3BB69-23CF-44E3-9099-C40C66FF867C}">
                  <a14:compatExt spid="_x0000_s71681"/>
                </a:ext>
                <a:ext uri="{FF2B5EF4-FFF2-40B4-BE49-F238E27FC236}">
                  <a16:creationId xmlns:a16="http://schemas.microsoft.com/office/drawing/2014/main" id="{00000000-0008-0000-0600-0000011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2</xdr:row>
          <xdr:rowOff>0</xdr:rowOff>
        </xdr:from>
        <xdr:to>
          <xdr:col>0</xdr:col>
          <xdr:colOff>828675</xdr:colOff>
          <xdr:row>3</xdr:row>
          <xdr:rowOff>95250</xdr:rowOff>
        </xdr:to>
        <xdr:sp macro="" textlink="">
          <xdr:nvSpPr>
            <xdr:cNvPr id="71682" name="cmdCheckCommoditiesSheet" hidden="1">
              <a:extLst>
                <a:ext uri="{63B3BB69-23CF-44E3-9099-C40C66FF867C}">
                  <a14:compatExt spid="_x0000_s71682"/>
                </a:ext>
                <a:ext uri="{FF2B5EF4-FFF2-40B4-BE49-F238E27FC236}">
                  <a16:creationId xmlns:a16="http://schemas.microsoft.com/office/drawing/2014/main" id="{00000000-0008-0000-0600-0000021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9525</xdr:colOff>
          <xdr:row>3</xdr:row>
          <xdr:rowOff>133350</xdr:rowOff>
        </xdr:from>
        <xdr:to>
          <xdr:col>3</xdr:col>
          <xdr:colOff>676275</xdr:colOff>
          <xdr:row>4</xdr:row>
          <xdr:rowOff>152400</xdr:rowOff>
        </xdr:to>
        <xdr:sp macro="" textlink="">
          <xdr:nvSpPr>
            <xdr:cNvPr id="71683" name="cmdCommUnit" hidden="1">
              <a:extLst>
                <a:ext uri="{63B3BB69-23CF-44E3-9099-C40C66FF867C}">
                  <a14:compatExt spid="_x0000_s71683"/>
                </a:ext>
                <a:ext uri="{FF2B5EF4-FFF2-40B4-BE49-F238E27FC236}">
                  <a16:creationId xmlns:a16="http://schemas.microsoft.com/office/drawing/2014/main" id="{00000000-0008-0000-0600-0000031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3</xdr:row>
          <xdr:rowOff>133350</xdr:rowOff>
        </xdr:from>
        <xdr:to>
          <xdr:col>4</xdr:col>
          <xdr:colOff>1924050</xdr:colOff>
          <xdr:row>4</xdr:row>
          <xdr:rowOff>152400</xdr:rowOff>
        </xdr:to>
        <xdr:sp macro="" textlink="">
          <xdr:nvSpPr>
            <xdr:cNvPr id="125953" name="cmdSpecifySets" hidden="1">
              <a:extLst>
                <a:ext uri="{63B3BB69-23CF-44E3-9099-C40C66FF867C}">
                  <a14:compatExt spid="_x0000_s125953"/>
                </a:ext>
                <a:ext uri="{FF2B5EF4-FFF2-40B4-BE49-F238E27FC236}">
                  <a16:creationId xmlns:a16="http://schemas.microsoft.com/office/drawing/2014/main" id="{00000000-0008-0000-0700-000001E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2</xdr:row>
          <xdr:rowOff>0</xdr:rowOff>
        </xdr:from>
        <xdr:to>
          <xdr:col>0</xdr:col>
          <xdr:colOff>828675</xdr:colOff>
          <xdr:row>3</xdr:row>
          <xdr:rowOff>95250</xdr:rowOff>
        </xdr:to>
        <xdr:sp macro="" textlink="">
          <xdr:nvSpPr>
            <xdr:cNvPr id="125954" name="cmdCheckCommoditiesSheet" hidden="1">
              <a:extLst>
                <a:ext uri="{63B3BB69-23CF-44E3-9099-C40C66FF867C}">
                  <a14:compatExt spid="_x0000_s125954"/>
                </a:ext>
                <a:ext uri="{FF2B5EF4-FFF2-40B4-BE49-F238E27FC236}">
                  <a16:creationId xmlns:a16="http://schemas.microsoft.com/office/drawing/2014/main" id="{00000000-0008-0000-0700-000002E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9525</xdr:colOff>
          <xdr:row>3</xdr:row>
          <xdr:rowOff>133350</xdr:rowOff>
        </xdr:from>
        <xdr:to>
          <xdr:col>3</xdr:col>
          <xdr:colOff>676275</xdr:colOff>
          <xdr:row>4</xdr:row>
          <xdr:rowOff>152400</xdr:rowOff>
        </xdr:to>
        <xdr:sp macro="" textlink="">
          <xdr:nvSpPr>
            <xdr:cNvPr id="125955" name="cmdCommUnit" hidden="1">
              <a:extLst>
                <a:ext uri="{63B3BB69-23CF-44E3-9099-C40C66FF867C}">
                  <a14:compatExt spid="_x0000_s125955"/>
                </a:ext>
                <a:ext uri="{FF2B5EF4-FFF2-40B4-BE49-F238E27FC236}">
                  <a16:creationId xmlns:a16="http://schemas.microsoft.com/office/drawing/2014/main" id="{00000000-0008-0000-0700-000003E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4</xdr:col>
      <xdr:colOff>25400</xdr:colOff>
      <xdr:row>3</xdr:row>
      <xdr:rowOff>139700</xdr:rowOff>
    </xdr:from>
    <xdr:to>
      <xdr:col>4</xdr:col>
      <xdr:colOff>1922780</xdr:colOff>
      <xdr:row>4</xdr:row>
      <xdr:rowOff>152400</xdr:rowOff>
    </xdr:to>
    <xdr:sp macro="" textlink="">
      <xdr:nvSpPr>
        <xdr:cNvPr id="2" name="cmdSpecifySets" hidden="1">
          <a:extLst>
            <a:ext uri="{63B3BB69-23CF-44E3-9099-C40C66FF867C}">
              <a14:compatExt xmlns:a14="http://schemas.microsoft.com/office/drawing/2010/main" spid="_x0000_s258049"/>
            </a:ex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SpPr/>
      </xdr:nvSpPr>
      <xdr:spPr bwMode="auto">
        <a:xfrm>
          <a:off x="4384040" y="574040"/>
          <a:ext cx="1905000" cy="22606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12700</xdr:colOff>
      <xdr:row>2</xdr:row>
      <xdr:rowOff>0</xdr:rowOff>
    </xdr:from>
    <xdr:to>
      <xdr:col>0</xdr:col>
      <xdr:colOff>817880</xdr:colOff>
      <xdr:row>3</xdr:row>
      <xdr:rowOff>93980</xdr:rowOff>
    </xdr:to>
    <xdr:sp macro="" textlink="">
      <xdr:nvSpPr>
        <xdr:cNvPr id="3" name="cmdCheckCommoditiesSheet" hidden="1">
          <a:extLst>
            <a:ext uri="{63B3BB69-23CF-44E3-9099-C40C66FF867C}">
              <a14:compatExt xmlns:a14="http://schemas.microsoft.com/office/drawing/2010/main" spid="_x0000_s258050"/>
            </a:ex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 bwMode="auto">
        <a:xfrm>
          <a:off x="16510" y="304800"/>
          <a:ext cx="805180" cy="23114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12700</xdr:colOff>
      <xdr:row>3</xdr:row>
      <xdr:rowOff>139700</xdr:rowOff>
    </xdr:from>
    <xdr:to>
      <xdr:col>3</xdr:col>
      <xdr:colOff>665480</xdr:colOff>
      <xdr:row>4</xdr:row>
      <xdr:rowOff>152400</xdr:rowOff>
    </xdr:to>
    <xdr:sp macro="" textlink="">
      <xdr:nvSpPr>
        <xdr:cNvPr id="4" name="cmdCommUnit" hidden="1">
          <a:extLst>
            <a:ext uri="{63B3BB69-23CF-44E3-9099-C40C66FF867C}">
              <a14:compatExt xmlns:a14="http://schemas.microsoft.com/office/drawing/2010/main" spid="_x0000_s258051"/>
            </a:ex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SpPr/>
      </xdr:nvSpPr>
      <xdr:spPr bwMode="auto">
        <a:xfrm>
          <a:off x="3674110" y="574040"/>
          <a:ext cx="652780" cy="22606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3</xdr:row>
          <xdr:rowOff>133350</xdr:rowOff>
        </xdr:from>
        <xdr:to>
          <xdr:col>4</xdr:col>
          <xdr:colOff>1924050</xdr:colOff>
          <xdr:row>5</xdr:row>
          <xdr:rowOff>0</xdr:rowOff>
        </xdr:to>
        <xdr:sp macro="" textlink="">
          <xdr:nvSpPr>
            <xdr:cNvPr id="80897" name="cmdSpecifySets" hidden="1">
              <a:extLst>
                <a:ext uri="{63B3BB69-23CF-44E3-9099-C40C66FF867C}">
                  <a14:compatExt spid="_x0000_s80897"/>
                </a:ext>
                <a:ext uri="{FF2B5EF4-FFF2-40B4-BE49-F238E27FC236}">
                  <a16:creationId xmlns:a16="http://schemas.microsoft.com/office/drawing/2014/main" id="{00000000-0008-0000-0800-0000013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2</xdr:row>
          <xdr:rowOff>0</xdr:rowOff>
        </xdr:from>
        <xdr:to>
          <xdr:col>0</xdr:col>
          <xdr:colOff>828675</xdr:colOff>
          <xdr:row>3</xdr:row>
          <xdr:rowOff>95250</xdr:rowOff>
        </xdr:to>
        <xdr:sp macro="" textlink="">
          <xdr:nvSpPr>
            <xdr:cNvPr id="80898" name="cmdCheckTechnologiesSheet" hidden="1">
              <a:extLst>
                <a:ext uri="{63B3BB69-23CF-44E3-9099-C40C66FF867C}">
                  <a14:compatExt spid="_x0000_s80898"/>
                </a:ext>
                <a:ext uri="{FF2B5EF4-FFF2-40B4-BE49-F238E27FC236}">
                  <a16:creationId xmlns:a16="http://schemas.microsoft.com/office/drawing/2014/main" id="{00000000-0008-0000-0800-0000023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9525</xdr:colOff>
          <xdr:row>3</xdr:row>
          <xdr:rowOff>133350</xdr:rowOff>
        </xdr:from>
        <xdr:to>
          <xdr:col>3</xdr:col>
          <xdr:colOff>647700</xdr:colOff>
          <xdr:row>5</xdr:row>
          <xdr:rowOff>0</xdr:rowOff>
        </xdr:to>
        <xdr:sp macro="" textlink="">
          <xdr:nvSpPr>
            <xdr:cNvPr id="80899" name="cmdProcUnits" hidden="1">
              <a:extLst>
                <a:ext uri="{63B3BB69-23CF-44E3-9099-C40C66FF867C}">
                  <a14:compatExt spid="_x0000_s80899"/>
                </a:ext>
                <a:ext uri="{FF2B5EF4-FFF2-40B4-BE49-F238E27FC236}">
                  <a16:creationId xmlns:a16="http://schemas.microsoft.com/office/drawing/2014/main" id="{00000000-0008-0000-0800-0000033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4</xdr:row>
          <xdr:rowOff>19050</xdr:rowOff>
        </xdr:from>
        <xdr:to>
          <xdr:col>5</xdr:col>
          <xdr:colOff>19050</xdr:colOff>
          <xdr:row>5</xdr:row>
          <xdr:rowOff>28575</xdr:rowOff>
        </xdr:to>
        <xdr:sp macro="" textlink="">
          <xdr:nvSpPr>
            <xdr:cNvPr id="101377" name="cmdConstraintSets" hidden="1">
              <a:extLst>
                <a:ext uri="{63B3BB69-23CF-44E3-9099-C40C66FF867C}">
                  <a14:compatExt spid="_x0000_s101377"/>
                </a:ext>
                <a:ext uri="{FF2B5EF4-FFF2-40B4-BE49-F238E27FC236}">
                  <a16:creationId xmlns:a16="http://schemas.microsoft.com/office/drawing/2014/main" id="{00000000-0008-0000-0900-0000018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3</xdr:row>
          <xdr:rowOff>0</xdr:rowOff>
        </xdr:from>
        <xdr:to>
          <xdr:col>0</xdr:col>
          <xdr:colOff>790575</xdr:colOff>
          <xdr:row>4</xdr:row>
          <xdr:rowOff>0</xdr:rowOff>
        </xdr:to>
        <xdr:sp macro="" textlink="">
          <xdr:nvSpPr>
            <xdr:cNvPr id="101378" name="cmdCheckConstraintsSheet" hidden="1">
              <a:extLst>
                <a:ext uri="{63B3BB69-23CF-44E3-9099-C40C66FF867C}">
                  <a14:compatExt spid="_x0000_s101378"/>
                </a:ext>
                <a:ext uri="{FF2B5EF4-FFF2-40B4-BE49-F238E27FC236}">
                  <a16:creationId xmlns:a16="http://schemas.microsoft.com/office/drawing/2014/main" id="{00000000-0008-0000-0900-0000028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19050</xdr:colOff>
          <xdr:row>4</xdr:row>
          <xdr:rowOff>9525</xdr:rowOff>
        </xdr:from>
        <xdr:to>
          <xdr:col>3</xdr:col>
          <xdr:colOff>571500</xdr:colOff>
          <xdr:row>5</xdr:row>
          <xdr:rowOff>28575</xdr:rowOff>
        </xdr:to>
        <xdr:sp macro="" textlink="">
          <xdr:nvSpPr>
            <xdr:cNvPr id="101379" name="cmdConstraintUnit" hidden="1">
              <a:extLst>
                <a:ext uri="{63B3BB69-23CF-44E3-9099-C40C66FF867C}">
                  <a14:compatExt spid="_x0000_s101379"/>
                </a:ext>
                <a:ext uri="{FF2B5EF4-FFF2-40B4-BE49-F238E27FC236}">
                  <a16:creationId xmlns:a16="http://schemas.microsoft.com/office/drawing/2014/main" id="{00000000-0008-0000-0900-0000038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3</xdr:row>
          <xdr:rowOff>38100</xdr:rowOff>
        </xdr:from>
        <xdr:to>
          <xdr:col>0</xdr:col>
          <xdr:colOff>828675</xdr:colOff>
          <xdr:row>4</xdr:row>
          <xdr:rowOff>19050</xdr:rowOff>
        </xdr:to>
        <xdr:sp macro="" textlink="">
          <xdr:nvSpPr>
            <xdr:cNvPr id="90113" name="cmdAddParameter" hidden="1">
              <a:extLst>
                <a:ext uri="{63B3BB69-23CF-44E3-9099-C40C66FF867C}">
                  <a14:compatExt spid="_x0000_s90113"/>
                </a:ext>
                <a:ext uri="{FF2B5EF4-FFF2-40B4-BE49-F238E27FC236}">
                  <a16:creationId xmlns:a16="http://schemas.microsoft.com/office/drawing/2014/main" id="{00000000-0008-0000-0A00-0000016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</xdr:colOff>
          <xdr:row>2</xdr:row>
          <xdr:rowOff>0</xdr:rowOff>
        </xdr:from>
        <xdr:to>
          <xdr:col>3</xdr:col>
          <xdr:colOff>0</xdr:colOff>
          <xdr:row>3</xdr:row>
          <xdr:rowOff>47625</xdr:rowOff>
        </xdr:to>
        <xdr:sp macro="" textlink="">
          <xdr:nvSpPr>
            <xdr:cNvPr id="90114" name="cmdCommNameAndDesc" hidden="1">
              <a:extLst>
                <a:ext uri="{63B3BB69-23CF-44E3-9099-C40C66FF867C}">
                  <a14:compatExt spid="_x0000_s90114"/>
                </a:ext>
                <a:ext uri="{FF2B5EF4-FFF2-40B4-BE49-F238E27FC236}">
                  <a16:creationId xmlns:a16="http://schemas.microsoft.com/office/drawing/2014/main" id="{00000000-0008-0000-0A00-0000026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4</xdr:row>
          <xdr:rowOff>19050</xdr:rowOff>
        </xdr:from>
        <xdr:to>
          <xdr:col>0</xdr:col>
          <xdr:colOff>828675</xdr:colOff>
          <xdr:row>5</xdr:row>
          <xdr:rowOff>9525</xdr:rowOff>
        </xdr:to>
        <xdr:sp macro="" textlink="">
          <xdr:nvSpPr>
            <xdr:cNvPr id="90115" name="cmdAddParamQualifier1" hidden="1">
              <a:extLst>
                <a:ext uri="{63B3BB69-23CF-44E3-9099-C40C66FF867C}">
                  <a14:compatExt spid="_x0000_s90115"/>
                </a:ext>
                <a:ext uri="{FF2B5EF4-FFF2-40B4-BE49-F238E27FC236}">
                  <a16:creationId xmlns:a16="http://schemas.microsoft.com/office/drawing/2014/main" id="{00000000-0008-0000-0A00-0000036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1</xdr:row>
          <xdr:rowOff>123825</xdr:rowOff>
        </xdr:from>
        <xdr:to>
          <xdr:col>0</xdr:col>
          <xdr:colOff>828675</xdr:colOff>
          <xdr:row>3</xdr:row>
          <xdr:rowOff>28575</xdr:rowOff>
        </xdr:to>
        <xdr:sp macro="" textlink="">
          <xdr:nvSpPr>
            <xdr:cNvPr id="90116" name="cmdCheckCommDataSheet" hidden="1">
              <a:extLst>
                <a:ext uri="{63B3BB69-23CF-44E3-9099-C40C66FF867C}">
                  <a14:compatExt spid="_x0000_s90116"/>
                </a:ext>
                <a:ext uri="{FF2B5EF4-FFF2-40B4-BE49-F238E27FC236}">
                  <a16:creationId xmlns:a16="http://schemas.microsoft.com/office/drawing/2014/main" id="{00000000-0008-0000-0A00-0000046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5</xdr:row>
          <xdr:rowOff>19050</xdr:rowOff>
        </xdr:from>
        <xdr:to>
          <xdr:col>0</xdr:col>
          <xdr:colOff>828675</xdr:colOff>
          <xdr:row>6</xdr:row>
          <xdr:rowOff>9525</xdr:rowOff>
        </xdr:to>
        <xdr:sp macro="" textlink="">
          <xdr:nvSpPr>
            <xdr:cNvPr id="90118" name="cmdAddParamQualifier2" hidden="1">
              <a:extLst>
                <a:ext uri="{63B3BB69-23CF-44E3-9099-C40C66FF867C}">
                  <a14:compatExt spid="_x0000_s90118"/>
                </a:ext>
                <a:ext uri="{FF2B5EF4-FFF2-40B4-BE49-F238E27FC236}">
                  <a16:creationId xmlns:a16="http://schemas.microsoft.com/office/drawing/2014/main" id="{00000000-0008-0000-0A00-0000066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3</xdr:row>
          <xdr:rowOff>133350</xdr:rowOff>
        </xdr:from>
        <xdr:to>
          <xdr:col>4</xdr:col>
          <xdr:colOff>1924050</xdr:colOff>
          <xdr:row>4</xdr:row>
          <xdr:rowOff>142875</xdr:rowOff>
        </xdr:to>
        <xdr:sp macro="" textlink="">
          <xdr:nvSpPr>
            <xdr:cNvPr id="128001" name="cmdSpecifySets" hidden="1">
              <a:extLst>
                <a:ext uri="{63B3BB69-23CF-44E3-9099-C40C66FF867C}">
                  <a14:compatExt spid="_x0000_s128001"/>
                </a:ext>
                <a:ext uri="{FF2B5EF4-FFF2-40B4-BE49-F238E27FC236}">
                  <a16:creationId xmlns:a16="http://schemas.microsoft.com/office/drawing/2014/main" id="{00000000-0008-0000-0B00-000001F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2</xdr:row>
          <xdr:rowOff>0</xdr:rowOff>
        </xdr:from>
        <xdr:to>
          <xdr:col>0</xdr:col>
          <xdr:colOff>828675</xdr:colOff>
          <xdr:row>3</xdr:row>
          <xdr:rowOff>76200</xdr:rowOff>
        </xdr:to>
        <xdr:sp macro="" textlink="">
          <xdr:nvSpPr>
            <xdr:cNvPr id="128002" name="cmdCheckTechnologiesSheet" hidden="1">
              <a:extLst>
                <a:ext uri="{63B3BB69-23CF-44E3-9099-C40C66FF867C}">
                  <a14:compatExt spid="_x0000_s128002"/>
                </a:ext>
                <a:ext uri="{FF2B5EF4-FFF2-40B4-BE49-F238E27FC236}">
                  <a16:creationId xmlns:a16="http://schemas.microsoft.com/office/drawing/2014/main" id="{00000000-0008-0000-0B00-000002F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9525</xdr:colOff>
          <xdr:row>3</xdr:row>
          <xdr:rowOff>133350</xdr:rowOff>
        </xdr:from>
        <xdr:to>
          <xdr:col>3</xdr:col>
          <xdr:colOff>647700</xdr:colOff>
          <xdr:row>4</xdr:row>
          <xdr:rowOff>142875</xdr:rowOff>
        </xdr:to>
        <xdr:sp macro="" textlink="">
          <xdr:nvSpPr>
            <xdr:cNvPr id="128003" name="cmdProcUnits" hidden="1">
              <a:extLst>
                <a:ext uri="{63B3BB69-23CF-44E3-9099-C40C66FF867C}">
                  <a14:compatExt spid="_x0000_s128003"/>
                </a:ext>
                <a:ext uri="{FF2B5EF4-FFF2-40B4-BE49-F238E27FC236}">
                  <a16:creationId xmlns:a16="http://schemas.microsoft.com/office/drawing/2014/main" id="{00000000-0008-0000-0B00-000003F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4</xdr:col>
      <xdr:colOff>25400</xdr:colOff>
      <xdr:row>3</xdr:row>
      <xdr:rowOff>139700</xdr:rowOff>
    </xdr:from>
    <xdr:to>
      <xdr:col>4</xdr:col>
      <xdr:colOff>1978025</xdr:colOff>
      <xdr:row>5</xdr:row>
      <xdr:rowOff>57150</xdr:rowOff>
    </xdr:to>
    <xdr:sp macro="" textlink="">
      <xdr:nvSpPr>
        <xdr:cNvPr id="4" name="cmdSpecifySets" hidden="1">
          <a:extLst>
            <a:ext uri="{63B3BB69-23CF-44E3-9099-C40C66FF867C}">
              <a14:compatExt xmlns:a14="http://schemas.microsoft.com/office/drawing/2010/main" spid="_x0000_s257025"/>
            </a:ex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SpPr/>
      </xdr:nvSpPr>
      <xdr:spPr bwMode="auto">
        <a:xfrm>
          <a:off x="5936615" y="650240"/>
          <a:ext cx="1956435" cy="28321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12700</xdr:colOff>
      <xdr:row>2</xdr:row>
      <xdr:rowOff>0</xdr:rowOff>
    </xdr:from>
    <xdr:to>
      <xdr:col>0</xdr:col>
      <xdr:colOff>821690</xdr:colOff>
      <xdr:row>3</xdr:row>
      <xdr:rowOff>172085</xdr:rowOff>
    </xdr:to>
    <xdr:sp macro="" textlink="">
      <xdr:nvSpPr>
        <xdr:cNvPr id="5" name="cmdCheckTechnologiesSheet" hidden="1">
          <a:extLst>
            <a:ext uri="{63B3BB69-23CF-44E3-9099-C40C66FF867C}">
              <a14:compatExt xmlns:a14="http://schemas.microsoft.com/office/drawing/2010/main" spid="_x0000_s257026"/>
            </a:ex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SpPr/>
      </xdr:nvSpPr>
      <xdr:spPr bwMode="auto">
        <a:xfrm>
          <a:off x="16510" y="342900"/>
          <a:ext cx="805180" cy="30543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3</xdr:row>
          <xdr:rowOff>38100</xdr:rowOff>
        </xdr:from>
        <xdr:to>
          <xdr:col>0</xdr:col>
          <xdr:colOff>828675</xdr:colOff>
          <xdr:row>4</xdr:row>
          <xdr:rowOff>19050</xdr:rowOff>
        </xdr:to>
        <xdr:sp macro="" textlink="">
          <xdr:nvSpPr>
            <xdr:cNvPr id="126977" name="cmdAddParameter" hidden="1">
              <a:extLst>
                <a:ext uri="{63B3BB69-23CF-44E3-9099-C40C66FF867C}">
                  <a14:compatExt spid="_x0000_s126977"/>
                </a:ext>
                <a:ext uri="{FF2B5EF4-FFF2-40B4-BE49-F238E27FC236}">
                  <a16:creationId xmlns:a16="http://schemas.microsoft.com/office/drawing/2014/main" id="{00000000-0008-0000-0C00-000001F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</xdr:colOff>
          <xdr:row>2</xdr:row>
          <xdr:rowOff>0</xdr:rowOff>
        </xdr:from>
        <xdr:to>
          <xdr:col>3</xdr:col>
          <xdr:colOff>0</xdr:colOff>
          <xdr:row>3</xdr:row>
          <xdr:rowOff>47625</xdr:rowOff>
        </xdr:to>
        <xdr:sp macro="" textlink="">
          <xdr:nvSpPr>
            <xdr:cNvPr id="126978" name="cmdCommNameAndDesc" hidden="1">
              <a:extLst>
                <a:ext uri="{63B3BB69-23CF-44E3-9099-C40C66FF867C}">
                  <a14:compatExt spid="_x0000_s126978"/>
                </a:ext>
                <a:ext uri="{FF2B5EF4-FFF2-40B4-BE49-F238E27FC236}">
                  <a16:creationId xmlns:a16="http://schemas.microsoft.com/office/drawing/2014/main" id="{00000000-0008-0000-0C00-000002F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4</xdr:row>
          <xdr:rowOff>19050</xdr:rowOff>
        </xdr:from>
        <xdr:to>
          <xdr:col>0</xdr:col>
          <xdr:colOff>828675</xdr:colOff>
          <xdr:row>5</xdr:row>
          <xdr:rowOff>9525</xdr:rowOff>
        </xdr:to>
        <xdr:sp macro="" textlink="">
          <xdr:nvSpPr>
            <xdr:cNvPr id="126979" name="cmdAddParamQualifier1" hidden="1">
              <a:extLst>
                <a:ext uri="{63B3BB69-23CF-44E3-9099-C40C66FF867C}">
                  <a14:compatExt spid="_x0000_s126979"/>
                </a:ext>
                <a:ext uri="{FF2B5EF4-FFF2-40B4-BE49-F238E27FC236}">
                  <a16:creationId xmlns:a16="http://schemas.microsoft.com/office/drawing/2014/main" id="{00000000-0008-0000-0C00-000003F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1</xdr:row>
          <xdr:rowOff>123825</xdr:rowOff>
        </xdr:from>
        <xdr:to>
          <xdr:col>0</xdr:col>
          <xdr:colOff>828675</xdr:colOff>
          <xdr:row>3</xdr:row>
          <xdr:rowOff>9525</xdr:rowOff>
        </xdr:to>
        <xdr:sp macro="" textlink="">
          <xdr:nvSpPr>
            <xdr:cNvPr id="126980" name="cmdCheckCommDataSheet" hidden="1">
              <a:extLst>
                <a:ext uri="{63B3BB69-23CF-44E3-9099-C40C66FF867C}">
                  <a14:compatExt spid="_x0000_s126980"/>
                </a:ext>
                <a:ext uri="{FF2B5EF4-FFF2-40B4-BE49-F238E27FC236}">
                  <a16:creationId xmlns:a16="http://schemas.microsoft.com/office/drawing/2014/main" id="{00000000-0008-0000-0C00-000004F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5</xdr:row>
          <xdr:rowOff>19050</xdr:rowOff>
        </xdr:from>
        <xdr:to>
          <xdr:col>0</xdr:col>
          <xdr:colOff>828675</xdr:colOff>
          <xdr:row>6</xdr:row>
          <xdr:rowOff>9525</xdr:rowOff>
        </xdr:to>
        <xdr:sp macro="" textlink="">
          <xdr:nvSpPr>
            <xdr:cNvPr id="126981" name="cmdAddParamQualifier2" hidden="1">
              <a:extLst>
                <a:ext uri="{63B3BB69-23CF-44E3-9099-C40C66FF867C}">
                  <a14:compatExt spid="_x0000_s126981"/>
                </a:ext>
                <a:ext uri="{FF2B5EF4-FFF2-40B4-BE49-F238E27FC236}">
                  <a16:creationId xmlns:a16="http://schemas.microsoft.com/office/drawing/2014/main" id="{00000000-0008-0000-0C00-000005F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</xdr:row>
          <xdr:rowOff>114300</xdr:rowOff>
        </xdr:from>
        <xdr:to>
          <xdr:col>2</xdr:col>
          <xdr:colOff>847725</xdr:colOff>
          <xdr:row>2</xdr:row>
          <xdr:rowOff>209550</xdr:rowOff>
        </xdr:to>
        <xdr:sp macro="" textlink="">
          <xdr:nvSpPr>
            <xdr:cNvPr id="157697" name="cmdTechNameAndDesc" hidden="1">
              <a:extLst>
                <a:ext uri="{63B3BB69-23CF-44E3-9099-C40C66FF867C}">
                  <a14:compatExt spid="_x0000_s157697"/>
                </a:ext>
                <a:ext uri="{FF2B5EF4-FFF2-40B4-BE49-F238E27FC236}">
                  <a16:creationId xmlns:a16="http://schemas.microsoft.com/office/drawing/2014/main" id="{00000000-0008-0000-0D00-0000016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</xdr:row>
          <xdr:rowOff>114300</xdr:rowOff>
        </xdr:from>
        <xdr:to>
          <xdr:col>4</xdr:col>
          <xdr:colOff>619125</xdr:colOff>
          <xdr:row>2</xdr:row>
          <xdr:rowOff>209550</xdr:rowOff>
        </xdr:to>
        <xdr:sp macro="" textlink="">
          <xdr:nvSpPr>
            <xdr:cNvPr id="157698" name="cmdCommIN" hidden="1">
              <a:extLst>
                <a:ext uri="{63B3BB69-23CF-44E3-9099-C40C66FF867C}">
                  <a14:compatExt spid="_x0000_s157698"/>
                </a:ext>
                <a:ext uri="{FF2B5EF4-FFF2-40B4-BE49-F238E27FC236}">
                  <a16:creationId xmlns:a16="http://schemas.microsoft.com/office/drawing/2014/main" id="{00000000-0008-0000-0D00-0000026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</xdr:row>
          <xdr:rowOff>114300</xdr:rowOff>
        </xdr:from>
        <xdr:to>
          <xdr:col>5</xdr:col>
          <xdr:colOff>619125</xdr:colOff>
          <xdr:row>2</xdr:row>
          <xdr:rowOff>209550</xdr:rowOff>
        </xdr:to>
        <xdr:sp macro="" textlink="">
          <xdr:nvSpPr>
            <xdr:cNvPr id="157699" name="cmdCommOUT" hidden="1">
              <a:extLst>
                <a:ext uri="{63B3BB69-23CF-44E3-9099-C40C66FF867C}">
                  <a14:compatExt spid="_x0000_s157699"/>
                </a:ext>
                <a:ext uri="{FF2B5EF4-FFF2-40B4-BE49-F238E27FC236}">
                  <a16:creationId xmlns:a16="http://schemas.microsoft.com/office/drawing/2014/main" id="{00000000-0008-0000-0D00-0000036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2</xdr:row>
          <xdr:rowOff>190500</xdr:rowOff>
        </xdr:from>
        <xdr:to>
          <xdr:col>1</xdr:col>
          <xdr:colOff>0</xdr:colOff>
          <xdr:row>2</xdr:row>
          <xdr:rowOff>428625</xdr:rowOff>
        </xdr:to>
        <xdr:sp macro="" textlink="">
          <xdr:nvSpPr>
            <xdr:cNvPr id="157700" name="cmdAddParameter" hidden="1">
              <a:extLst>
                <a:ext uri="{63B3BB69-23CF-44E3-9099-C40C66FF867C}">
                  <a14:compatExt spid="_x0000_s157700"/>
                </a:ext>
                <a:ext uri="{FF2B5EF4-FFF2-40B4-BE49-F238E27FC236}">
                  <a16:creationId xmlns:a16="http://schemas.microsoft.com/office/drawing/2014/main" id="{00000000-0008-0000-0D00-0000046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3</xdr:row>
          <xdr:rowOff>171450</xdr:rowOff>
        </xdr:from>
        <xdr:to>
          <xdr:col>1</xdr:col>
          <xdr:colOff>0</xdr:colOff>
          <xdr:row>4</xdr:row>
          <xdr:rowOff>133350</xdr:rowOff>
        </xdr:to>
        <xdr:sp macro="" textlink="">
          <xdr:nvSpPr>
            <xdr:cNvPr id="157701" name="cmdAddParamQualifier1" hidden="1">
              <a:extLst>
                <a:ext uri="{63B3BB69-23CF-44E3-9099-C40C66FF867C}">
                  <a14:compatExt spid="_x0000_s157701"/>
                </a:ext>
                <a:ext uri="{FF2B5EF4-FFF2-40B4-BE49-F238E27FC236}">
                  <a16:creationId xmlns:a16="http://schemas.microsoft.com/office/drawing/2014/main" id="{00000000-0008-0000-0D00-0000056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1</xdr:row>
          <xdr:rowOff>114300</xdr:rowOff>
        </xdr:from>
        <xdr:to>
          <xdr:col>1</xdr:col>
          <xdr:colOff>0</xdr:colOff>
          <xdr:row>2</xdr:row>
          <xdr:rowOff>209550</xdr:rowOff>
        </xdr:to>
        <xdr:sp macro="" textlink="">
          <xdr:nvSpPr>
            <xdr:cNvPr id="157702" name="cmdCheckTechDataSheet" hidden="1">
              <a:extLst>
                <a:ext uri="{63B3BB69-23CF-44E3-9099-C40C66FF867C}">
                  <a14:compatExt spid="_x0000_s157702"/>
                </a:ext>
                <a:ext uri="{FF2B5EF4-FFF2-40B4-BE49-F238E27FC236}">
                  <a16:creationId xmlns:a16="http://schemas.microsoft.com/office/drawing/2014/main" id="{00000000-0008-0000-0D00-0000066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5</xdr:row>
          <xdr:rowOff>19050</xdr:rowOff>
        </xdr:from>
        <xdr:to>
          <xdr:col>1</xdr:col>
          <xdr:colOff>0</xdr:colOff>
          <xdr:row>6</xdr:row>
          <xdr:rowOff>38100</xdr:rowOff>
        </xdr:to>
        <xdr:sp macro="" textlink="">
          <xdr:nvSpPr>
            <xdr:cNvPr id="157703" name="cmdAddParamQualifier2" hidden="1">
              <a:extLst>
                <a:ext uri="{63B3BB69-23CF-44E3-9099-C40C66FF867C}">
                  <a14:compatExt spid="_x0000_s157703"/>
                </a:ext>
                <a:ext uri="{FF2B5EF4-FFF2-40B4-BE49-F238E27FC236}">
                  <a16:creationId xmlns:a16="http://schemas.microsoft.com/office/drawing/2014/main" id="{00000000-0008-0000-0D00-0000076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</xdr:col>
      <xdr:colOff>0</xdr:colOff>
      <xdr:row>1</xdr:row>
      <xdr:rowOff>114300</xdr:rowOff>
    </xdr:from>
    <xdr:to>
      <xdr:col>2</xdr:col>
      <xdr:colOff>858520</xdr:colOff>
      <xdr:row>2</xdr:row>
      <xdr:rowOff>208280</xdr:rowOff>
    </xdr:to>
    <xdr:sp macro="" textlink="">
      <xdr:nvSpPr>
        <xdr:cNvPr id="9" name="cmdTechNameAndDesc" hidden="1">
          <a:extLst>
            <a:ext uri="{63B3BB69-23CF-44E3-9099-C40C66FF867C}">
              <a14:compatExt xmlns:a14="http://schemas.microsoft.com/office/drawing/2010/main" spid="_x0000_s259086"/>
            </a:ext>
            <a:ext uri="{FF2B5EF4-FFF2-40B4-BE49-F238E27FC236}">
              <a16:creationId xmlns:a16="http://schemas.microsoft.com/office/drawing/2014/main" id="{00000000-0008-0000-0D00-000009000000}"/>
            </a:ext>
          </a:extLst>
        </xdr:cNvPr>
        <xdr:cNvSpPr/>
      </xdr:nvSpPr>
      <xdr:spPr bwMode="auto">
        <a:xfrm>
          <a:off x="847725" y="247650"/>
          <a:ext cx="1902460" cy="23114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1</xdr:row>
      <xdr:rowOff>114300</xdr:rowOff>
    </xdr:from>
    <xdr:to>
      <xdr:col>4</xdr:col>
      <xdr:colOff>35560</xdr:colOff>
      <xdr:row>2</xdr:row>
      <xdr:rowOff>208280</xdr:rowOff>
    </xdr:to>
    <xdr:sp macro="" textlink="">
      <xdr:nvSpPr>
        <xdr:cNvPr id="10" name="cmdCommIN" hidden="1">
          <a:extLst>
            <a:ext uri="{63B3BB69-23CF-44E3-9099-C40C66FF867C}">
              <a14:compatExt xmlns:a14="http://schemas.microsoft.com/office/drawing/2010/main" spid="_x0000_s259087"/>
            </a:ex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SpPr/>
      </xdr:nvSpPr>
      <xdr:spPr bwMode="auto">
        <a:xfrm>
          <a:off x="4371975" y="247650"/>
          <a:ext cx="626110" cy="23114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</xdr:row>
      <xdr:rowOff>114300</xdr:rowOff>
    </xdr:from>
    <xdr:to>
      <xdr:col>4</xdr:col>
      <xdr:colOff>629920</xdr:colOff>
      <xdr:row>2</xdr:row>
      <xdr:rowOff>208280</xdr:rowOff>
    </xdr:to>
    <xdr:sp macro="" textlink="">
      <xdr:nvSpPr>
        <xdr:cNvPr id="11" name="cmdCommOUT" hidden="1">
          <a:extLst>
            <a:ext uri="{63B3BB69-23CF-44E3-9099-C40C66FF867C}">
              <a14:compatExt xmlns:a14="http://schemas.microsoft.com/office/drawing/2010/main" spid="_x0000_s259088"/>
            </a:ext>
            <a:ext uri="{FF2B5EF4-FFF2-40B4-BE49-F238E27FC236}">
              <a16:creationId xmlns:a16="http://schemas.microsoft.com/office/drawing/2014/main" id="{00000000-0008-0000-0D00-00000B000000}"/>
            </a:ext>
          </a:extLst>
        </xdr:cNvPr>
        <xdr:cNvSpPr/>
      </xdr:nvSpPr>
      <xdr:spPr bwMode="auto">
        <a:xfrm>
          <a:off x="4962525" y="247650"/>
          <a:ext cx="626110" cy="23114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12700</xdr:colOff>
      <xdr:row>2</xdr:row>
      <xdr:rowOff>190500</xdr:rowOff>
    </xdr:from>
    <xdr:to>
      <xdr:col>1</xdr:col>
      <xdr:colOff>686</xdr:colOff>
      <xdr:row>3</xdr:row>
      <xdr:rowOff>1199</xdr:rowOff>
    </xdr:to>
    <xdr:sp macro="" textlink="">
      <xdr:nvSpPr>
        <xdr:cNvPr id="12" name="cmdAddParameter" hidden="1">
          <a:extLst>
            <a:ext uri="{63B3BB69-23CF-44E3-9099-C40C66FF867C}">
              <a14:compatExt xmlns:a14="http://schemas.microsoft.com/office/drawing/2010/main" spid="_x0000_s259089"/>
            </a:ext>
            <a:ext uri="{FF2B5EF4-FFF2-40B4-BE49-F238E27FC236}">
              <a16:creationId xmlns:a16="http://schemas.microsoft.com/office/drawing/2014/main" id="{00000000-0008-0000-0D00-00000C000000}"/>
            </a:ext>
          </a:extLst>
        </xdr:cNvPr>
        <xdr:cNvSpPr/>
      </xdr:nvSpPr>
      <xdr:spPr bwMode="auto">
        <a:xfrm>
          <a:off x="16510" y="457200"/>
          <a:ext cx="831901" cy="248849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12700</xdr:colOff>
      <xdr:row>3</xdr:row>
      <xdr:rowOff>177800</xdr:rowOff>
    </xdr:from>
    <xdr:to>
      <xdr:col>1</xdr:col>
      <xdr:colOff>686</xdr:colOff>
      <xdr:row>4</xdr:row>
      <xdr:rowOff>132080</xdr:rowOff>
    </xdr:to>
    <xdr:sp macro="" textlink="">
      <xdr:nvSpPr>
        <xdr:cNvPr id="13" name="cmdAddParamQualifier1" hidden="1">
          <a:extLst>
            <a:ext uri="{63B3BB69-23CF-44E3-9099-C40C66FF867C}">
              <a14:compatExt xmlns:a14="http://schemas.microsoft.com/office/drawing/2010/main" spid="_x0000_s259090"/>
            </a:ext>
            <a:ext uri="{FF2B5EF4-FFF2-40B4-BE49-F238E27FC236}">
              <a16:creationId xmlns:a16="http://schemas.microsoft.com/office/drawing/2014/main" id="{00000000-0008-0000-0D00-00000D000000}"/>
            </a:ext>
          </a:extLst>
        </xdr:cNvPr>
        <xdr:cNvSpPr/>
      </xdr:nvSpPr>
      <xdr:spPr bwMode="auto">
        <a:xfrm>
          <a:off x="16510" y="878840"/>
          <a:ext cx="831901" cy="23812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12700</xdr:colOff>
      <xdr:row>1</xdr:row>
      <xdr:rowOff>114300</xdr:rowOff>
    </xdr:from>
    <xdr:to>
      <xdr:col>1</xdr:col>
      <xdr:colOff>686</xdr:colOff>
      <xdr:row>2</xdr:row>
      <xdr:rowOff>208280</xdr:rowOff>
    </xdr:to>
    <xdr:sp macro="" textlink="">
      <xdr:nvSpPr>
        <xdr:cNvPr id="14" name="cmdCheckTechDataSheet" hidden="1">
          <a:extLst>
            <a:ext uri="{63B3BB69-23CF-44E3-9099-C40C66FF867C}">
              <a14:compatExt xmlns:a14="http://schemas.microsoft.com/office/drawing/2010/main" spid="_x0000_s259091"/>
            </a:ext>
            <a:ext uri="{FF2B5EF4-FFF2-40B4-BE49-F238E27FC236}">
              <a16:creationId xmlns:a16="http://schemas.microsoft.com/office/drawing/2014/main" id="{00000000-0008-0000-0D00-00000E000000}"/>
            </a:ext>
          </a:extLst>
        </xdr:cNvPr>
        <xdr:cNvSpPr/>
      </xdr:nvSpPr>
      <xdr:spPr bwMode="auto">
        <a:xfrm>
          <a:off x="16510" y="247650"/>
          <a:ext cx="831901" cy="23114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12700</xdr:colOff>
      <xdr:row>5</xdr:row>
      <xdr:rowOff>25400</xdr:rowOff>
    </xdr:from>
    <xdr:to>
      <xdr:col>1</xdr:col>
      <xdr:colOff>686</xdr:colOff>
      <xdr:row>6</xdr:row>
      <xdr:rowOff>38100</xdr:rowOff>
    </xdr:to>
    <xdr:sp macro="" textlink="">
      <xdr:nvSpPr>
        <xdr:cNvPr id="15" name="cmdAddParamQualifier2" hidden="1">
          <a:extLst>
            <a:ext uri="{63B3BB69-23CF-44E3-9099-C40C66FF867C}">
              <a14:compatExt xmlns:a14="http://schemas.microsoft.com/office/drawing/2010/main" spid="_x0000_s259092"/>
            </a:ext>
            <a:ext uri="{FF2B5EF4-FFF2-40B4-BE49-F238E27FC236}">
              <a16:creationId xmlns:a16="http://schemas.microsoft.com/office/drawing/2014/main" id="{00000000-0008-0000-0D00-00000F000000}"/>
            </a:ext>
          </a:extLst>
        </xdr:cNvPr>
        <xdr:cNvSpPr/>
      </xdr:nvSpPr>
      <xdr:spPr bwMode="auto">
        <a:xfrm>
          <a:off x="16510" y="1212215"/>
          <a:ext cx="831901" cy="22606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</xdr:row>
          <xdr:rowOff>114300</xdr:rowOff>
        </xdr:from>
        <xdr:to>
          <xdr:col>2</xdr:col>
          <xdr:colOff>1304925</xdr:colOff>
          <xdr:row>2</xdr:row>
          <xdr:rowOff>209550</xdr:rowOff>
        </xdr:to>
        <xdr:sp macro="" textlink="">
          <xdr:nvSpPr>
            <xdr:cNvPr id="113665" name="cmdTechNameAndDesc" hidden="1">
              <a:extLst>
                <a:ext uri="{63B3BB69-23CF-44E3-9099-C40C66FF867C}">
                  <a14:compatExt spid="_x0000_s113665"/>
                </a:ext>
                <a:ext uri="{FF2B5EF4-FFF2-40B4-BE49-F238E27FC236}">
                  <a16:creationId xmlns:a16="http://schemas.microsoft.com/office/drawing/2014/main" id="{00000000-0008-0000-0E00-000001B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</xdr:row>
          <xdr:rowOff>114300</xdr:rowOff>
        </xdr:from>
        <xdr:to>
          <xdr:col>5</xdr:col>
          <xdr:colOff>28575</xdr:colOff>
          <xdr:row>2</xdr:row>
          <xdr:rowOff>209550</xdr:rowOff>
        </xdr:to>
        <xdr:sp macro="" textlink="">
          <xdr:nvSpPr>
            <xdr:cNvPr id="113666" name="cmdCommIN" hidden="1">
              <a:extLst>
                <a:ext uri="{63B3BB69-23CF-44E3-9099-C40C66FF867C}">
                  <a14:compatExt spid="_x0000_s113666"/>
                </a:ext>
                <a:ext uri="{FF2B5EF4-FFF2-40B4-BE49-F238E27FC236}">
                  <a16:creationId xmlns:a16="http://schemas.microsoft.com/office/drawing/2014/main" id="{00000000-0008-0000-0E00-000002B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</xdr:row>
          <xdr:rowOff>114300</xdr:rowOff>
        </xdr:from>
        <xdr:to>
          <xdr:col>5</xdr:col>
          <xdr:colOff>619125</xdr:colOff>
          <xdr:row>2</xdr:row>
          <xdr:rowOff>209550</xdr:rowOff>
        </xdr:to>
        <xdr:sp macro="" textlink="">
          <xdr:nvSpPr>
            <xdr:cNvPr id="113667" name="cmdCommOUT" hidden="1">
              <a:extLst>
                <a:ext uri="{63B3BB69-23CF-44E3-9099-C40C66FF867C}">
                  <a14:compatExt spid="_x0000_s113667"/>
                </a:ext>
                <a:ext uri="{FF2B5EF4-FFF2-40B4-BE49-F238E27FC236}">
                  <a16:creationId xmlns:a16="http://schemas.microsoft.com/office/drawing/2014/main" id="{00000000-0008-0000-0E00-000003B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2</xdr:row>
          <xdr:rowOff>190500</xdr:rowOff>
        </xdr:from>
        <xdr:to>
          <xdr:col>1</xdr:col>
          <xdr:colOff>9525</xdr:colOff>
          <xdr:row>3</xdr:row>
          <xdr:rowOff>152400</xdr:rowOff>
        </xdr:to>
        <xdr:sp macro="" textlink="">
          <xdr:nvSpPr>
            <xdr:cNvPr id="113668" name="cmdAddParameter" hidden="1">
              <a:extLst>
                <a:ext uri="{63B3BB69-23CF-44E3-9099-C40C66FF867C}">
                  <a14:compatExt spid="_x0000_s113668"/>
                </a:ext>
                <a:ext uri="{FF2B5EF4-FFF2-40B4-BE49-F238E27FC236}">
                  <a16:creationId xmlns:a16="http://schemas.microsoft.com/office/drawing/2014/main" id="{00000000-0008-0000-0E00-000004B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3</xdr:row>
          <xdr:rowOff>171450</xdr:rowOff>
        </xdr:from>
        <xdr:to>
          <xdr:col>1</xdr:col>
          <xdr:colOff>9525</xdr:colOff>
          <xdr:row>4</xdr:row>
          <xdr:rowOff>190500</xdr:rowOff>
        </xdr:to>
        <xdr:sp macro="" textlink="">
          <xdr:nvSpPr>
            <xdr:cNvPr id="113669" name="cmdAddParamQualifier1" hidden="1">
              <a:extLst>
                <a:ext uri="{63B3BB69-23CF-44E3-9099-C40C66FF867C}">
                  <a14:compatExt spid="_x0000_s113669"/>
                </a:ext>
                <a:ext uri="{FF2B5EF4-FFF2-40B4-BE49-F238E27FC236}">
                  <a16:creationId xmlns:a16="http://schemas.microsoft.com/office/drawing/2014/main" id="{00000000-0008-0000-0E00-000005B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1</xdr:row>
          <xdr:rowOff>114300</xdr:rowOff>
        </xdr:from>
        <xdr:to>
          <xdr:col>1</xdr:col>
          <xdr:colOff>9525</xdr:colOff>
          <xdr:row>2</xdr:row>
          <xdr:rowOff>209550</xdr:rowOff>
        </xdr:to>
        <xdr:sp macro="" textlink="">
          <xdr:nvSpPr>
            <xdr:cNvPr id="113670" name="cmdCheckTechDataSheet" hidden="1">
              <a:extLst>
                <a:ext uri="{63B3BB69-23CF-44E3-9099-C40C66FF867C}">
                  <a14:compatExt spid="_x0000_s113670"/>
                </a:ext>
                <a:ext uri="{FF2B5EF4-FFF2-40B4-BE49-F238E27FC236}">
                  <a16:creationId xmlns:a16="http://schemas.microsoft.com/office/drawing/2014/main" id="{00000000-0008-0000-0E00-000006B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5</xdr:row>
          <xdr:rowOff>19050</xdr:rowOff>
        </xdr:from>
        <xdr:to>
          <xdr:col>1</xdr:col>
          <xdr:colOff>9525</xdr:colOff>
          <xdr:row>6</xdr:row>
          <xdr:rowOff>38100</xdr:rowOff>
        </xdr:to>
        <xdr:sp macro="" textlink="">
          <xdr:nvSpPr>
            <xdr:cNvPr id="113672" name="cmdAddParamQualifier2" hidden="1">
              <a:extLst>
                <a:ext uri="{63B3BB69-23CF-44E3-9099-C40C66FF867C}">
                  <a14:compatExt spid="_x0000_s113672"/>
                </a:ext>
                <a:ext uri="{FF2B5EF4-FFF2-40B4-BE49-F238E27FC236}">
                  <a16:creationId xmlns:a16="http://schemas.microsoft.com/office/drawing/2014/main" id="{00000000-0008-0000-0E00-000008B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1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</xdr:row>
          <xdr:rowOff>114300</xdr:rowOff>
        </xdr:from>
        <xdr:to>
          <xdr:col>2</xdr:col>
          <xdr:colOff>638175</xdr:colOff>
          <xdr:row>2</xdr:row>
          <xdr:rowOff>190500</xdr:rowOff>
        </xdr:to>
        <xdr:sp macro="" textlink="">
          <xdr:nvSpPr>
            <xdr:cNvPr id="206849" name="cmdTechNameAndDesc" hidden="1">
              <a:extLst>
                <a:ext uri="{63B3BB69-23CF-44E3-9099-C40C66FF867C}">
                  <a14:compatExt spid="_x0000_s206849"/>
                </a:ext>
                <a:ext uri="{FF2B5EF4-FFF2-40B4-BE49-F238E27FC236}">
                  <a16:creationId xmlns:a16="http://schemas.microsoft.com/office/drawing/2014/main" id="{00000000-0008-0000-0F00-0000012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</xdr:row>
          <xdr:rowOff>114300</xdr:rowOff>
        </xdr:from>
        <xdr:to>
          <xdr:col>4</xdr:col>
          <xdr:colOff>609600</xdr:colOff>
          <xdr:row>2</xdr:row>
          <xdr:rowOff>190500</xdr:rowOff>
        </xdr:to>
        <xdr:sp macro="" textlink="">
          <xdr:nvSpPr>
            <xdr:cNvPr id="206850" name="cmdCommIN" hidden="1">
              <a:extLst>
                <a:ext uri="{63B3BB69-23CF-44E3-9099-C40C66FF867C}">
                  <a14:compatExt spid="_x0000_s206850"/>
                </a:ext>
                <a:ext uri="{FF2B5EF4-FFF2-40B4-BE49-F238E27FC236}">
                  <a16:creationId xmlns:a16="http://schemas.microsoft.com/office/drawing/2014/main" id="{00000000-0008-0000-0F00-0000022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</xdr:row>
          <xdr:rowOff>114300</xdr:rowOff>
        </xdr:from>
        <xdr:to>
          <xdr:col>5</xdr:col>
          <xdr:colOff>609600</xdr:colOff>
          <xdr:row>2</xdr:row>
          <xdr:rowOff>190500</xdr:rowOff>
        </xdr:to>
        <xdr:sp macro="" textlink="">
          <xdr:nvSpPr>
            <xdr:cNvPr id="206851" name="cmdCommOUT" hidden="1">
              <a:extLst>
                <a:ext uri="{63B3BB69-23CF-44E3-9099-C40C66FF867C}">
                  <a14:compatExt spid="_x0000_s206851"/>
                </a:ext>
                <a:ext uri="{FF2B5EF4-FFF2-40B4-BE49-F238E27FC236}">
                  <a16:creationId xmlns:a16="http://schemas.microsoft.com/office/drawing/2014/main" id="{00000000-0008-0000-0F00-0000032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2</xdr:row>
          <xdr:rowOff>190500</xdr:rowOff>
        </xdr:from>
        <xdr:to>
          <xdr:col>0</xdr:col>
          <xdr:colOff>647700</xdr:colOff>
          <xdr:row>2</xdr:row>
          <xdr:rowOff>419100</xdr:rowOff>
        </xdr:to>
        <xdr:sp macro="" textlink="">
          <xdr:nvSpPr>
            <xdr:cNvPr id="206852" name="cmdAddParameter" hidden="1">
              <a:extLst>
                <a:ext uri="{63B3BB69-23CF-44E3-9099-C40C66FF867C}">
                  <a14:compatExt spid="_x0000_s206852"/>
                </a:ext>
                <a:ext uri="{FF2B5EF4-FFF2-40B4-BE49-F238E27FC236}">
                  <a16:creationId xmlns:a16="http://schemas.microsoft.com/office/drawing/2014/main" id="{00000000-0008-0000-0F00-0000042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3</xdr:row>
          <xdr:rowOff>171450</xdr:rowOff>
        </xdr:from>
        <xdr:to>
          <xdr:col>0</xdr:col>
          <xdr:colOff>647700</xdr:colOff>
          <xdr:row>4</xdr:row>
          <xdr:rowOff>104775</xdr:rowOff>
        </xdr:to>
        <xdr:sp macro="" textlink="">
          <xdr:nvSpPr>
            <xdr:cNvPr id="206853" name="cmdAddParamQualifier1" hidden="1">
              <a:extLst>
                <a:ext uri="{63B3BB69-23CF-44E3-9099-C40C66FF867C}">
                  <a14:compatExt spid="_x0000_s206853"/>
                </a:ext>
                <a:ext uri="{FF2B5EF4-FFF2-40B4-BE49-F238E27FC236}">
                  <a16:creationId xmlns:a16="http://schemas.microsoft.com/office/drawing/2014/main" id="{00000000-0008-0000-0F00-0000052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1</xdr:row>
          <xdr:rowOff>114300</xdr:rowOff>
        </xdr:from>
        <xdr:to>
          <xdr:col>0</xdr:col>
          <xdr:colOff>647700</xdr:colOff>
          <xdr:row>2</xdr:row>
          <xdr:rowOff>190500</xdr:rowOff>
        </xdr:to>
        <xdr:sp macro="" textlink="">
          <xdr:nvSpPr>
            <xdr:cNvPr id="206854" name="cmdCheckTechDataSheet" hidden="1">
              <a:extLst>
                <a:ext uri="{63B3BB69-23CF-44E3-9099-C40C66FF867C}">
                  <a14:compatExt spid="_x0000_s206854"/>
                </a:ext>
                <a:ext uri="{FF2B5EF4-FFF2-40B4-BE49-F238E27FC236}">
                  <a16:creationId xmlns:a16="http://schemas.microsoft.com/office/drawing/2014/main" id="{00000000-0008-0000-0F00-0000062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5</xdr:row>
          <xdr:rowOff>19050</xdr:rowOff>
        </xdr:from>
        <xdr:to>
          <xdr:col>0</xdr:col>
          <xdr:colOff>647700</xdr:colOff>
          <xdr:row>6</xdr:row>
          <xdr:rowOff>0</xdr:rowOff>
        </xdr:to>
        <xdr:sp macro="" textlink="">
          <xdr:nvSpPr>
            <xdr:cNvPr id="206855" name="cmdAddParamQualifier2" hidden="1">
              <a:extLst>
                <a:ext uri="{63B3BB69-23CF-44E3-9099-C40C66FF867C}">
                  <a14:compatExt spid="_x0000_s206855"/>
                </a:ext>
                <a:ext uri="{FF2B5EF4-FFF2-40B4-BE49-F238E27FC236}">
                  <a16:creationId xmlns:a16="http://schemas.microsoft.com/office/drawing/2014/main" id="{00000000-0008-0000-0F00-0000072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</xdr:col>
      <xdr:colOff>0</xdr:colOff>
      <xdr:row>1</xdr:row>
      <xdr:rowOff>114300</xdr:rowOff>
    </xdr:from>
    <xdr:to>
      <xdr:col>2</xdr:col>
      <xdr:colOff>854710</xdr:colOff>
      <xdr:row>2</xdr:row>
      <xdr:rowOff>212090</xdr:rowOff>
    </xdr:to>
    <xdr:sp macro="" textlink="">
      <xdr:nvSpPr>
        <xdr:cNvPr id="2" name="cmdTechNameAndDesc" hidden="1">
          <a:extLst>
            <a:ext uri="{63B3BB69-23CF-44E3-9099-C40C66FF867C}">
              <a14:compatExt xmlns:a14="http://schemas.microsoft.com/office/drawing/2010/main" spid="_x0000_s259086"/>
            </a:ex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 bwMode="auto">
        <a:xfrm>
          <a:off x="847725" y="247650"/>
          <a:ext cx="1902460" cy="23114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1</xdr:row>
      <xdr:rowOff>114300</xdr:rowOff>
    </xdr:from>
    <xdr:to>
      <xdr:col>4</xdr:col>
      <xdr:colOff>35560</xdr:colOff>
      <xdr:row>2</xdr:row>
      <xdr:rowOff>212090</xdr:rowOff>
    </xdr:to>
    <xdr:sp macro="" textlink="">
      <xdr:nvSpPr>
        <xdr:cNvPr id="3" name="cmdCommIN" hidden="1">
          <a:extLst>
            <a:ext uri="{63B3BB69-23CF-44E3-9099-C40C66FF867C}">
              <a14:compatExt xmlns:a14="http://schemas.microsoft.com/office/drawing/2010/main" spid="_x0000_s259087"/>
            </a:ex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 bwMode="auto">
        <a:xfrm>
          <a:off x="4371975" y="247650"/>
          <a:ext cx="626110" cy="23114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</xdr:row>
      <xdr:rowOff>114300</xdr:rowOff>
    </xdr:from>
    <xdr:to>
      <xdr:col>4</xdr:col>
      <xdr:colOff>626110</xdr:colOff>
      <xdr:row>2</xdr:row>
      <xdr:rowOff>212090</xdr:rowOff>
    </xdr:to>
    <xdr:sp macro="" textlink="">
      <xdr:nvSpPr>
        <xdr:cNvPr id="4" name="cmdCommOUT" hidden="1">
          <a:extLst>
            <a:ext uri="{63B3BB69-23CF-44E3-9099-C40C66FF867C}">
              <a14:compatExt xmlns:a14="http://schemas.microsoft.com/office/drawing/2010/main" spid="_x0000_s259088"/>
            </a:ex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 bwMode="auto">
        <a:xfrm>
          <a:off x="4962525" y="247650"/>
          <a:ext cx="626110" cy="23114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12700</xdr:colOff>
      <xdr:row>2</xdr:row>
      <xdr:rowOff>190500</xdr:rowOff>
    </xdr:from>
    <xdr:to>
      <xdr:col>1</xdr:col>
      <xdr:colOff>686</xdr:colOff>
      <xdr:row>3</xdr:row>
      <xdr:rowOff>1199</xdr:rowOff>
    </xdr:to>
    <xdr:sp macro="" textlink="">
      <xdr:nvSpPr>
        <xdr:cNvPr id="5" name="cmdAddParameter" hidden="1">
          <a:extLst>
            <a:ext uri="{63B3BB69-23CF-44E3-9099-C40C66FF867C}">
              <a14:compatExt xmlns:a14="http://schemas.microsoft.com/office/drawing/2010/main" spid="_x0000_s259089"/>
            </a:ex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SpPr/>
      </xdr:nvSpPr>
      <xdr:spPr bwMode="auto">
        <a:xfrm>
          <a:off x="16510" y="457200"/>
          <a:ext cx="831901" cy="248849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12700</xdr:colOff>
      <xdr:row>3</xdr:row>
      <xdr:rowOff>177800</xdr:rowOff>
    </xdr:from>
    <xdr:to>
      <xdr:col>1</xdr:col>
      <xdr:colOff>686</xdr:colOff>
      <xdr:row>4</xdr:row>
      <xdr:rowOff>135890</xdr:rowOff>
    </xdr:to>
    <xdr:sp macro="" textlink="">
      <xdr:nvSpPr>
        <xdr:cNvPr id="6" name="cmdAddParamQualifier1" hidden="1">
          <a:extLst>
            <a:ext uri="{63B3BB69-23CF-44E3-9099-C40C66FF867C}">
              <a14:compatExt xmlns:a14="http://schemas.microsoft.com/office/drawing/2010/main" spid="_x0000_s259090"/>
            </a:ex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SpPr/>
      </xdr:nvSpPr>
      <xdr:spPr bwMode="auto">
        <a:xfrm>
          <a:off x="16510" y="878840"/>
          <a:ext cx="831901" cy="23812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12700</xdr:colOff>
      <xdr:row>1</xdr:row>
      <xdr:rowOff>114300</xdr:rowOff>
    </xdr:from>
    <xdr:to>
      <xdr:col>1</xdr:col>
      <xdr:colOff>686</xdr:colOff>
      <xdr:row>2</xdr:row>
      <xdr:rowOff>212090</xdr:rowOff>
    </xdr:to>
    <xdr:sp macro="" textlink="">
      <xdr:nvSpPr>
        <xdr:cNvPr id="7" name="cmdCheckTechDataSheet" hidden="1">
          <a:extLst>
            <a:ext uri="{63B3BB69-23CF-44E3-9099-C40C66FF867C}">
              <a14:compatExt xmlns:a14="http://schemas.microsoft.com/office/drawing/2010/main" spid="_x0000_s259091"/>
            </a:ex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SpPr/>
      </xdr:nvSpPr>
      <xdr:spPr bwMode="auto">
        <a:xfrm>
          <a:off x="16510" y="247650"/>
          <a:ext cx="831901" cy="23114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12700</xdr:colOff>
      <xdr:row>5</xdr:row>
      <xdr:rowOff>25400</xdr:rowOff>
    </xdr:from>
    <xdr:to>
      <xdr:col>1</xdr:col>
      <xdr:colOff>686</xdr:colOff>
      <xdr:row>6</xdr:row>
      <xdr:rowOff>38100</xdr:rowOff>
    </xdr:to>
    <xdr:sp macro="" textlink="">
      <xdr:nvSpPr>
        <xdr:cNvPr id="8" name="cmdAddParamQualifier2" hidden="1">
          <a:extLst>
            <a:ext uri="{63B3BB69-23CF-44E3-9099-C40C66FF867C}">
              <a14:compatExt xmlns:a14="http://schemas.microsoft.com/office/drawing/2010/main" spid="_x0000_s259092"/>
            </a:ex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SpPr/>
      </xdr:nvSpPr>
      <xdr:spPr bwMode="auto">
        <a:xfrm>
          <a:off x="16510" y="1212215"/>
          <a:ext cx="831901" cy="22606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43</xdr:row>
      <xdr:rowOff>9525</xdr:rowOff>
    </xdr:from>
    <xdr:to>
      <xdr:col>13</xdr:col>
      <xdr:colOff>510887</xdr:colOff>
      <xdr:row>64</xdr:row>
      <xdr:rowOff>169025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7700" y="9039225"/>
          <a:ext cx="9334847" cy="4670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169372</xdr:colOff>
      <xdr:row>78</xdr:row>
      <xdr:rowOff>71957</xdr:rowOff>
    </xdr:from>
    <xdr:to>
      <xdr:col>7</xdr:col>
      <xdr:colOff>209550</xdr:colOff>
      <xdr:row>86</xdr:row>
      <xdr:rowOff>57496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8132" y="16355897"/>
          <a:ext cx="4673138" cy="14485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64944</xdr:colOff>
      <xdr:row>87</xdr:row>
      <xdr:rowOff>119062</xdr:rowOff>
    </xdr:from>
    <xdr:to>
      <xdr:col>9</xdr:col>
      <xdr:colOff>592085</xdr:colOff>
      <xdr:row>107</xdr:row>
      <xdr:rowOff>174307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3704" y="18048922"/>
          <a:ext cx="6955155" cy="37128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19</xdr:row>
      <xdr:rowOff>0</xdr:rowOff>
    </xdr:from>
    <xdr:to>
      <xdr:col>12</xdr:col>
      <xdr:colOff>142875</xdr:colOff>
      <xdr:row>40</xdr:row>
      <xdr:rowOff>104775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474720"/>
          <a:ext cx="6238875" cy="39452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285750</xdr:colOff>
      <xdr:row>3</xdr:row>
      <xdr:rowOff>85725</xdr:rowOff>
    </xdr:from>
    <xdr:to>
      <xdr:col>16</xdr:col>
      <xdr:colOff>320040</xdr:colOff>
      <xdr:row>37</xdr:row>
      <xdr:rowOff>139065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5350" y="634365"/>
          <a:ext cx="9172575" cy="62750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</xdr:col>
      <xdr:colOff>85725</xdr:colOff>
      <xdr:row>15</xdr:row>
      <xdr:rowOff>142875</xdr:rowOff>
    </xdr:from>
    <xdr:to>
      <xdr:col>18</xdr:col>
      <xdr:colOff>600075</xdr:colOff>
      <xdr:row>20</xdr:row>
      <xdr:rowOff>66675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SpPr/>
      </xdr:nvSpPr>
      <xdr:spPr>
        <a:xfrm>
          <a:off x="11058525" y="2886075"/>
          <a:ext cx="514350" cy="8382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  <xdr:twoCellAnchor editAs="oneCell">
    <xdr:from>
      <xdr:col>2</xdr:col>
      <xdr:colOff>33618</xdr:colOff>
      <xdr:row>40</xdr:row>
      <xdr:rowOff>11205</xdr:rowOff>
    </xdr:from>
    <xdr:to>
      <xdr:col>18</xdr:col>
      <xdr:colOff>54573</xdr:colOff>
      <xdr:row>80</xdr:row>
      <xdr:rowOff>64545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2818" y="7326405"/>
          <a:ext cx="9782175" cy="7372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355787</xdr:colOff>
      <xdr:row>83</xdr:row>
      <xdr:rowOff>150159</xdr:rowOff>
    </xdr:from>
    <xdr:to>
      <xdr:col>16</xdr:col>
      <xdr:colOff>384362</xdr:colOff>
      <xdr:row>91</xdr:row>
      <xdr:rowOff>12775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4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84587" y="15031571"/>
          <a:ext cx="7953375" cy="12931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</xdr:col>
      <xdr:colOff>28575</xdr:colOff>
      <xdr:row>55</xdr:row>
      <xdr:rowOff>133350</xdr:rowOff>
    </xdr:from>
    <xdr:to>
      <xdr:col>19</xdr:col>
      <xdr:colOff>438150</xdr:colOff>
      <xdr:row>59</xdr:row>
      <xdr:rowOff>180975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1400-000006000000}"/>
            </a:ext>
          </a:extLst>
        </xdr:cNvPr>
        <xdr:cNvSpPr/>
      </xdr:nvSpPr>
      <xdr:spPr>
        <a:xfrm>
          <a:off x="11610975" y="10191750"/>
          <a:ext cx="409575" cy="77914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171450</xdr:colOff>
      <xdr:row>3</xdr:row>
      <xdr:rowOff>133350</xdr:rowOff>
    </xdr:from>
    <xdr:to>
      <xdr:col>6</xdr:col>
      <xdr:colOff>435460</xdr:colOff>
      <xdr:row>18</xdr:row>
      <xdr:rowOff>39384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6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1050" y="647700"/>
          <a:ext cx="5779770" cy="25017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455295</xdr:colOff>
      <xdr:row>29</xdr:row>
      <xdr:rowOff>104774</xdr:rowOff>
    </xdr:from>
    <xdr:to>
      <xdr:col>6</xdr:col>
      <xdr:colOff>1615441</xdr:colOff>
      <xdr:row>53</xdr:row>
      <xdr:rowOff>93882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4895" y="5648324"/>
          <a:ext cx="6669406" cy="4143913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132031</xdr:colOff>
      <xdr:row>77</xdr:row>
      <xdr:rowOff>137012</xdr:rowOff>
    </xdr:from>
    <xdr:to>
      <xdr:col>11</xdr:col>
      <xdr:colOff>401774</xdr:colOff>
      <xdr:row>116</xdr:row>
      <xdr:rowOff>129833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600-000006000000}"/>
            </a:ext>
          </a:extLst>
        </xdr:cNvPr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1631" y="13967312"/>
          <a:ext cx="10232893" cy="6679371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8</xdr:col>
      <xdr:colOff>98162</xdr:colOff>
      <xdr:row>39</xdr:row>
      <xdr:rowOff>50733</xdr:rowOff>
    </xdr:from>
    <xdr:to>
      <xdr:col>8</xdr:col>
      <xdr:colOff>445569</xdr:colOff>
      <xdr:row>41</xdr:row>
      <xdr:rowOff>135887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1600-000007000000}"/>
            </a:ext>
          </a:extLst>
        </xdr:cNvPr>
        <xdr:cNvSpPr/>
      </xdr:nvSpPr>
      <xdr:spPr bwMode="auto">
        <a:xfrm>
          <a:off x="8513292" y="7405690"/>
          <a:ext cx="347407" cy="433023"/>
        </a:xfrm>
        <a:prstGeom prst="rightArrow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lang="en-ZA" sz="1100"/>
        </a:p>
      </xdr:txBody>
    </xdr:sp>
    <xdr:clientData/>
  </xdr:twoCellAnchor>
  <xdr:twoCellAnchor editAs="oneCell">
    <xdr:from>
      <xdr:col>1</xdr:col>
      <xdr:colOff>186688</xdr:colOff>
      <xdr:row>54</xdr:row>
      <xdr:rowOff>53195</xdr:rowOff>
    </xdr:from>
    <xdr:to>
      <xdr:col>6</xdr:col>
      <xdr:colOff>497884</xdr:colOff>
      <xdr:row>76</xdr:row>
      <xdr:rowOff>20697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6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4823" y="7299522"/>
          <a:ext cx="5825197" cy="37099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348551</xdr:colOff>
      <xdr:row>57</xdr:row>
      <xdr:rowOff>82271</xdr:rowOff>
    </xdr:from>
    <xdr:to>
      <xdr:col>9</xdr:col>
      <xdr:colOff>83045</xdr:colOff>
      <xdr:row>59</xdr:row>
      <xdr:rowOff>167723</xdr:rowOff>
    </xdr:to>
    <xdr:sp macro="" textlink="">
      <xdr:nvSpPr>
        <xdr:cNvPr id="9" name="Arrow: Right 8">
          <a:extLst>
            <a:ext uri="{FF2B5EF4-FFF2-40B4-BE49-F238E27FC236}">
              <a16:creationId xmlns:a16="http://schemas.microsoft.com/office/drawing/2014/main" id="{00000000-0008-0000-1600-000009000000}"/>
            </a:ext>
          </a:extLst>
        </xdr:cNvPr>
        <xdr:cNvSpPr/>
      </xdr:nvSpPr>
      <xdr:spPr bwMode="auto">
        <a:xfrm>
          <a:off x="7038032" y="7834156"/>
          <a:ext cx="342628" cy="422490"/>
        </a:xfrm>
        <a:prstGeom prst="rightArrow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lang="en-ZA" sz="1100"/>
        </a:p>
      </xdr:txBody>
    </xdr:sp>
    <xdr:clientData/>
  </xdr:twoCellAnchor>
  <xdr:twoCellAnchor>
    <xdr:from>
      <xdr:col>1</xdr:col>
      <xdr:colOff>476981</xdr:colOff>
      <xdr:row>93</xdr:row>
      <xdr:rowOff>59344</xdr:rowOff>
    </xdr:from>
    <xdr:to>
      <xdr:col>4</xdr:col>
      <xdr:colOff>244005</xdr:colOff>
      <xdr:row>104</xdr:row>
      <xdr:rowOff>21038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16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</xdr:col>
      <xdr:colOff>438979</xdr:colOff>
      <xdr:row>93</xdr:row>
      <xdr:rowOff>0</xdr:rowOff>
    </xdr:from>
    <xdr:to>
      <xdr:col>12</xdr:col>
      <xdr:colOff>181093</xdr:colOff>
      <xdr:row>95</xdr:row>
      <xdr:rowOff>93073</xdr:rowOff>
    </xdr:to>
    <xdr:sp macro="" textlink="">
      <xdr:nvSpPr>
        <xdr:cNvPr id="13" name="Arrow: Right 12">
          <a:extLst>
            <a:ext uri="{FF2B5EF4-FFF2-40B4-BE49-F238E27FC236}">
              <a16:creationId xmlns:a16="http://schemas.microsoft.com/office/drawing/2014/main" id="{00000000-0008-0000-1600-00000D000000}"/>
            </a:ext>
          </a:extLst>
        </xdr:cNvPr>
        <xdr:cNvSpPr/>
      </xdr:nvSpPr>
      <xdr:spPr bwMode="auto">
        <a:xfrm>
          <a:off x="11032436" y="16772283"/>
          <a:ext cx="355027" cy="440942"/>
        </a:xfrm>
        <a:prstGeom prst="rightArrow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lang="en-ZA" sz="1100"/>
        </a:p>
      </xdr:txBody>
    </xdr:sp>
    <xdr:clientData/>
  </xdr:twoCellAnchor>
  <xdr:twoCellAnchor>
    <xdr:from>
      <xdr:col>10</xdr:col>
      <xdr:colOff>554535</xdr:colOff>
      <xdr:row>27</xdr:row>
      <xdr:rowOff>95250</xdr:rowOff>
    </xdr:from>
    <xdr:to>
      <xdr:col>11</xdr:col>
      <xdr:colOff>504824</xdr:colOff>
      <xdr:row>32</xdr:row>
      <xdr:rowOff>132110</xdr:rowOff>
    </xdr:to>
    <xdr:sp macro="" textlink="">
      <xdr:nvSpPr>
        <xdr:cNvPr id="14" name="Arrow: Right 13">
          <a:extLst>
            <a:ext uri="{FF2B5EF4-FFF2-40B4-BE49-F238E27FC236}">
              <a16:creationId xmlns:a16="http://schemas.microsoft.com/office/drawing/2014/main" id="{00000000-0008-0000-1600-00000E000000}"/>
            </a:ext>
          </a:extLst>
        </xdr:cNvPr>
        <xdr:cNvSpPr/>
      </xdr:nvSpPr>
      <xdr:spPr bwMode="auto">
        <a:xfrm rot="16200000">
          <a:off x="10064825" y="5177260"/>
          <a:ext cx="1122710" cy="902789"/>
        </a:xfrm>
        <a:prstGeom prst="rightArrow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lang="en-ZA" sz="1100"/>
        </a:p>
      </xdr:txBody>
    </xdr:sp>
    <xdr:clientData/>
  </xdr:twoCellAnchor>
  <xdr:twoCellAnchor>
    <xdr:from>
      <xdr:col>7</xdr:col>
      <xdr:colOff>431072</xdr:colOff>
      <xdr:row>21</xdr:row>
      <xdr:rowOff>109656</xdr:rowOff>
    </xdr:from>
    <xdr:to>
      <xdr:col>8</xdr:col>
      <xdr:colOff>335115</xdr:colOff>
      <xdr:row>23</xdr:row>
      <xdr:rowOff>167394</xdr:rowOff>
    </xdr:to>
    <xdr:sp macro="" textlink="">
      <xdr:nvSpPr>
        <xdr:cNvPr id="15" name="Arrow: Right 14">
          <a:extLst>
            <a:ext uri="{FF2B5EF4-FFF2-40B4-BE49-F238E27FC236}">
              <a16:creationId xmlns:a16="http://schemas.microsoft.com/office/drawing/2014/main" id="{00000000-0008-0000-1600-00000F000000}"/>
            </a:ext>
          </a:extLst>
        </xdr:cNvPr>
        <xdr:cNvSpPr/>
      </xdr:nvSpPr>
      <xdr:spPr bwMode="auto">
        <a:xfrm>
          <a:off x="8233289" y="3795417"/>
          <a:ext cx="516956" cy="438738"/>
        </a:xfrm>
        <a:prstGeom prst="rightArrow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lang="en-ZA" sz="1100"/>
        </a:p>
      </xdr:txBody>
    </xdr:sp>
    <xdr:clientData/>
  </xdr:twoCellAnchor>
  <xdr:twoCellAnchor>
    <xdr:from>
      <xdr:col>11</xdr:col>
      <xdr:colOff>438979</xdr:colOff>
      <xdr:row>104</xdr:row>
      <xdr:rowOff>0</xdr:rowOff>
    </xdr:from>
    <xdr:to>
      <xdr:col>12</xdr:col>
      <xdr:colOff>181093</xdr:colOff>
      <xdr:row>106</xdr:row>
      <xdr:rowOff>93073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1600-00000C000000}"/>
            </a:ext>
          </a:extLst>
        </xdr:cNvPr>
        <xdr:cNvSpPr/>
      </xdr:nvSpPr>
      <xdr:spPr bwMode="auto">
        <a:xfrm>
          <a:off x="11007919" y="16573500"/>
          <a:ext cx="353619" cy="439783"/>
        </a:xfrm>
        <a:prstGeom prst="rightArrow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lang="en-ZA" sz="1100"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0</xdr:colOff>
      <xdr:row>31</xdr:row>
      <xdr:rowOff>0</xdr:rowOff>
    </xdr:from>
    <xdr:to>
      <xdr:col>22</xdr:col>
      <xdr:colOff>180975</xdr:colOff>
      <xdr:row>42</xdr:row>
      <xdr:rowOff>95250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40540" y="5669280"/>
          <a:ext cx="3838575" cy="21069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1041400</xdr:colOff>
      <xdr:row>57</xdr:row>
      <xdr:rowOff>38099</xdr:rowOff>
    </xdr:from>
    <xdr:to>
      <xdr:col>17</xdr:col>
      <xdr:colOff>457200</xdr:colOff>
      <xdr:row>77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59531</xdr:colOff>
      <xdr:row>61</xdr:row>
      <xdr:rowOff>158750</xdr:rowOff>
    </xdr:from>
    <xdr:to>
      <xdr:col>31</xdr:col>
      <xdr:colOff>515938</xdr:colOff>
      <xdr:row>81</xdr:row>
      <xdr:rowOff>163754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140907</xdr:colOff>
      <xdr:row>27</xdr:row>
      <xdr:rowOff>87660</xdr:rowOff>
    </xdr:from>
    <xdr:to>
      <xdr:col>19</xdr:col>
      <xdr:colOff>389862</xdr:colOff>
      <xdr:row>47</xdr:row>
      <xdr:rowOff>74280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29</xdr:col>
      <xdr:colOff>608092</xdr:colOff>
      <xdr:row>21</xdr:row>
      <xdr:rowOff>122117</xdr:rowOff>
    </xdr:from>
    <xdr:to>
      <xdr:col>33</xdr:col>
      <xdr:colOff>71613</xdr:colOff>
      <xdr:row>42</xdr:row>
      <xdr:rowOff>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8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9</xdr:col>
      <xdr:colOff>397563</xdr:colOff>
      <xdr:row>19</xdr:row>
      <xdr:rowOff>22496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514350"/>
          <a:ext cx="4660953" cy="2761886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485775</xdr:colOff>
      <xdr:row>5</xdr:row>
      <xdr:rowOff>171450</xdr:rowOff>
    </xdr:from>
    <xdr:to>
      <xdr:col>19</xdr:col>
      <xdr:colOff>266118</xdr:colOff>
      <xdr:row>21</xdr:row>
      <xdr:rowOff>37736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18095" y="1072515"/>
          <a:ext cx="4659048" cy="2765696"/>
        </a:xfrm>
        <a:prstGeom prst="rect">
          <a:avLst/>
        </a:prstGeom>
      </xdr:spPr>
    </xdr:pic>
    <xdr:clientData/>
  </xdr:twoCellAnchor>
  <xdr:twoCellAnchor editAs="oneCell">
    <xdr:from>
      <xdr:col>11</xdr:col>
      <xdr:colOff>466725</xdr:colOff>
      <xdr:row>31</xdr:row>
      <xdr:rowOff>26670</xdr:rowOff>
    </xdr:from>
    <xdr:to>
      <xdr:col>27</xdr:col>
      <xdr:colOff>40743</xdr:colOff>
      <xdr:row>56</xdr:row>
      <xdr:rowOff>178457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00950" y="5636895"/>
          <a:ext cx="9327618" cy="4676162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</xdr:colOff>
          <xdr:row>2</xdr:row>
          <xdr:rowOff>0</xdr:rowOff>
        </xdr:from>
        <xdr:to>
          <xdr:col>2</xdr:col>
          <xdr:colOff>1085850</xdr:colOff>
          <xdr:row>2</xdr:row>
          <xdr:rowOff>190500</xdr:rowOff>
        </xdr:to>
        <xdr:sp macro="" textlink="">
          <xdr:nvSpPr>
            <xdr:cNvPr id="102401" name="cmdConstrNameAndDesc" hidden="1">
              <a:extLst>
                <a:ext uri="{63B3BB69-23CF-44E3-9099-C40C66FF867C}">
                  <a14:compatExt spid="_x0000_s102401"/>
                </a:ext>
                <a:ext uri="{FF2B5EF4-FFF2-40B4-BE49-F238E27FC236}">
                  <a16:creationId xmlns:a16="http://schemas.microsoft.com/office/drawing/2014/main" id="{00000000-0008-0000-1B00-0000019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2</xdr:row>
          <xdr:rowOff>0</xdr:rowOff>
        </xdr:from>
        <xdr:to>
          <xdr:col>5</xdr:col>
          <xdr:colOff>0</xdr:colOff>
          <xdr:row>2</xdr:row>
          <xdr:rowOff>238125</xdr:rowOff>
        </xdr:to>
        <xdr:sp macro="" textlink="">
          <xdr:nvSpPr>
            <xdr:cNvPr id="102402" name="cmdProcName" hidden="1">
              <a:extLst>
                <a:ext uri="{63B3BB69-23CF-44E3-9099-C40C66FF867C}">
                  <a14:compatExt spid="_x0000_s102402"/>
                </a:ext>
                <a:ext uri="{FF2B5EF4-FFF2-40B4-BE49-F238E27FC236}">
                  <a16:creationId xmlns:a16="http://schemas.microsoft.com/office/drawing/2014/main" id="{00000000-0008-0000-1B00-0000029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190500</xdr:rowOff>
        </xdr:from>
        <xdr:to>
          <xdr:col>0</xdr:col>
          <xdr:colOff>819150</xdr:colOff>
          <xdr:row>3</xdr:row>
          <xdr:rowOff>152400</xdr:rowOff>
        </xdr:to>
        <xdr:sp macro="" textlink="">
          <xdr:nvSpPr>
            <xdr:cNvPr id="102403" name="cmdAddParameter" hidden="1">
              <a:extLst>
                <a:ext uri="{63B3BB69-23CF-44E3-9099-C40C66FF867C}">
                  <a14:compatExt spid="_x0000_s102403"/>
                </a:ext>
                <a:ext uri="{FF2B5EF4-FFF2-40B4-BE49-F238E27FC236}">
                  <a16:creationId xmlns:a16="http://schemas.microsoft.com/office/drawing/2014/main" id="{00000000-0008-0000-1B00-0000039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2</xdr:row>
          <xdr:rowOff>0</xdr:rowOff>
        </xdr:from>
        <xdr:to>
          <xdr:col>1</xdr:col>
          <xdr:colOff>0</xdr:colOff>
          <xdr:row>2</xdr:row>
          <xdr:rowOff>238125</xdr:rowOff>
        </xdr:to>
        <xdr:sp macro="" textlink="">
          <xdr:nvSpPr>
            <xdr:cNvPr id="102404" name="cmdCheckConstrDataSheet" hidden="1">
              <a:extLst>
                <a:ext uri="{63B3BB69-23CF-44E3-9099-C40C66FF867C}">
                  <a14:compatExt spid="_x0000_s102404"/>
                </a:ext>
                <a:ext uri="{FF2B5EF4-FFF2-40B4-BE49-F238E27FC236}">
                  <a16:creationId xmlns:a16="http://schemas.microsoft.com/office/drawing/2014/main" id="{00000000-0008-0000-1B00-0000049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</xdr:row>
          <xdr:rowOff>9525</xdr:rowOff>
        </xdr:from>
        <xdr:to>
          <xdr:col>0</xdr:col>
          <xdr:colOff>819150</xdr:colOff>
          <xdr:row>5</xdr:row>
          <xdr:rowOff>28575</xdr:rowOff>
        </xdr:to>
        <xdr:sp macro="" textlink="">
          <xdr:nvSpPr>
            <xdr:cNvPr id="102405" name="cmdAddParamQualifier1" hidden="1">
              <a:extLst>
                <a:ext uri="{63B3BB69-23CF-44E3-9099-C40C66FF867C}">
                  <a14:compatExt spid="_x0000_s102405"/>
                </a:ext>
                <a:ext uri="{FF2B5EF4-FFF2-40B4-BE49-F238E27FC236}">
                  <a16:creationId xmlns:a16="http://schemas.microsoft.com/office/drawing/2014/main" id="{00000000-0008-0000-1B00-0000059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</xdr:row>
          <xdr:rowOff>0</xdr:rowOff>
        </xdr:from>
        <xdr:to>
          <xdr:col>6</xdr:col>
          <xdr:colOff>9525</xdr:colOff>
          <xdr:row>2</xdr:row>
          <xdr:rowOff>238125</xdr:rowOff>
        </xdr:to>
        <xdr:sp macro="" textlink="">
          <xdr:nvSpPr>
            <xdr:cNvPr id="102407" name="cmdCommName" hidden="1">
              <a:extLst>
                <a:ext uri="{63B3BB69-23CF-44E3-9099-C40C66FF867C}">
                  <a14:compatExt spid="_x0000_s102407"/>
                </a:ext>
                <a:ext uri="{FF2B5EF4-FFF2-40B4-BE49-F238E27FC236}">
                  <a16:creationId xmlns:a16="http://schemas.microsoft.com/office/drawing/2014/main" id="{00000000-0008-0000-1B00-0000079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</xdr:row>
          <xdr:rowOff>0</xdr:rowOff>
        </xdr:from>
        <xdr:to>
          <xdr:col>7</xdr:col>
          <xdr:colOff>9525</xdr:colOff>
          <xdr:row>2</xdr:row>
          <xdr:rowOff>238125</xdr:rowOff>
        </xdr:to>
        <xdr:sp macro="" textlink="">
          <xdr:nvSpPr>
            <xdr:cNvPr id="102408" name="cmdTimeSlice" hidden="1">
              <a:extLst>
                <a:ext uri="{63B3BB69-23CF-44E3-9099-C40C66FF867C}">
                  <a14:compatExt spid="_x0000_s102408"/>
                </a:ext>
                <a:ext uri="{FF2B5EF4-FFF2-40B4-BE49-F238E27FC236}">
                  <a16:creationId xmlns:a16="http://schemas.microsoft.com/office/drawing/2014/main" id="{00000000-0008-0000-1B00-0000089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</xdr:row>
          <xdr:rowOff>19050</xdr:rowOff>
        </xdr:from>
        <xdr:to>
          <xdr:col>0</xdr:col>
          <xdr:colOff>819150</xdr:colOff>
          <xdr:row>6</xdr:row>
          <xdr:rowOff>38100</xdr:rowOff>
        </xdr:to>
        <xdr:sp macro="" textlink="">
          <xdr:nvSpPr>
            <xdr:cNvPr id="102409" name="cmdAddParamQualifier2" hidden="1">
              <a:extLst>
                <a:ext uri="{63B3BB69-23CF-44E3-9099-C40C66FF867C}">
                  <a14:compatExt spid="_x0000_s102409"/>
                </a:ext>
                <a:ext uri="{FF2B5EF4-FFF2-40B4-BE49-F238E27FC236}">
                  <a16:creationId xmlns:a16="http://schemas.microsoft.com/office/drawing/2014/main" id="{00000000-0008-0000-1B00-0000099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2</xdr:row>
          <xdr:rowOff>0</xdr:rowOff>
        </xdr:from>
        <xdr:to>
          <xdr:col>0</xdr:col>
          <xdr:colOff>828675</xdr:colOff>
          <xdr:row>3</xdr:row>
          <xdr:rowOff>0</xdr:rowOff>
        </xdr:to>
        <xdr:sp macro="" textlink="">
          <xdr:nvSpPr>
            <xdr:cNvPr id="55297" name="cmdCheckItemsSheet" hidden="1">
              <a:extLst>
                <a:ext uri="{63B3BB69-23CF-44E3-9099-C40C66FF867C}">
                  <a14:compatExt spid="_x0000_s55297"/>
                </a:ext>
                <a:ext uri="{FF2B5EF4-FFF2-40B4-BE49-F238E27FC236}">
                  <a16:creationId xmlns:a16="http://schemas.microsoft.com/office/drawing/2014/main" id="{00000000-0008-0000-1C00-000001D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9525</xdr:colOff>
          <xdr:row>3</xdr:row>
          <xdr:rowOff>0</xdr:rowOff>
        </xdr:from>
        <xdr:to>
          <xdr:col>2</xdr:col>
          <xdr:colOff>152400</xdr:colOff>
          <xdr:row>4</xdr:row>
          <xdr:rowOff>95250</xdr:rowOff>
        </xdr:to>
        <xdr:sp macro="" textlink="">
          <xdr:nvSpPr>
            <xdr:cNvPr id="55298" name="cmdSpecifyComponent" hidden="1">
              <a:extLst>
                <a:ext uri="{63B3BB69-23CF-44E3-9099-C40C66FF867C}">
                  <a14:compatExt spid="_x0000_s55298"/>
                </a:ext>
                <a:ext uri="{FF2B5EF4-FFF2-40B4-BE49-F238E27FC236}">
                  <a16:creationId xmlns:a16="http://schemas.microsoft.com/office/drawing/2014/main" id="{00000000-0008-0000-1C00-000002D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9525</xdr:colOff>
          <xdr:row>3</xdr:row>
          <xdr:rowOff>0</xdr:rowOff>
        </xdr:from>
        <xdr:to>
          <xdr:col>5</xdr:col>
          <xdr:colOff>0</xdr:colOff>
          <xdr:row>4</xdr:row>
          <xdr:rowOff>95250</xdr:rowOff>
        </xdr:to>
        <xdr:sp macro="" textlink="">
          <xdr:nvSpPr>
            <xdr:cNvPr id="55299" name="cmdSpecifyUnits" hidden="1">
              <a:extLst>
                <a:ext uri="{63B3BB69-23CF-44E3-9099-C40C66FF867C}">
                  <a14:compatExt spid="_x0000_s55299"/>
                </a:ext>
                <a:ext uri="{FF2B5EF4-FFF2-40B4-BE49-F238E27FC236}">
                  <a16:creationId xmlns:a16="http://schemas.microsoft.com/office/drawing/2014/main" id="{00000000-0008-0000-1C00-000003D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3</xdr:row>
          <xdr:rowOff>0</xdr:rowOff>
        </xdr:from>
        <xdr:to>
          <xdr:col>6</xdr:col>
          <xdr:colOff>0</xdr:colOff>
          <xdr:row>4</xdr:row>
          <xdr:rowOff>95250</xdr:rowOff>
        </xdr:to>
        <xdr:sp macro="" textlink="">
          <xdr:nvSpPr>
            <xdr:cNvPr id="55300" name="cmdSpecifySets" hidden="1">
              <a:extLst>
                <a:ext uri="{63B3BB69-23CF-44E3-9099-C40C66FF867C}">
                  <a14:compatExt spid="_x0000_s55300"/>
                </a:ext>
                <a:ext uri="{FF2B5EF4-FFF2-40B4-BE49-F238E27FC236}">
                  <a16:creationId xmlns:a16="http://schemas.microsoft.com/office/drawing/2014/main" id="{00000000-0008-0000-1C00-000004D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2</xdr:row>
          <xdr:rowOff>0</xdr:rowOff>
        </xdr:from>
        <xdr:to>
          <xdr:col>0</xdr:col>
          <xdr:colOff>828675</xdr:colOff>
          <xdr:row>3</xdr:row>
          <xdr:rowOff>19050</xdr:rowOff>
        </xdr:to>
        <xdr:sp macro="" textlink="">
          <xdr:nvSpPr>
            <xdr:cNvPr id="57345" name="cmdCheckTSDataSheet" hidden="1">
              <a:extLst>
                <a:ext uri="{63B3BB69-23CF-44E3-9099-C40C66FF867C}">
                  <a14:compatExt spid="_x0000_s57345"/>
                </a:ext>
                <a:ext uri="{FF2B5EF4-FFF2-40B4-BE49-F238E27FC236}">
                  <a16:creationId xmlns:a16="http://schemas.microsoft.com/office/drawing/2014/main" id="{00000000-0008-0000-1D00-000001E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9525</xdr:colOff>
          <xdr:row>3</xdr:row>
          <xdr:rowOff>0</xdr:rowOff>
        </xdr:from>
        <xdr:to>
          <xdr:col>2</xdr:col>
          <xdr:colOff>19050</xdr:colOff>
          <xdr:row>4</xdr:row>
          <xdr:rowOff>104775</xdr:rowOff>
        </xdr:to>
        <xdr:sp macro="" textlink="">
          <xdr:nvSpPr>
            <xdr:cNvPr id="57346" name="cmdSpecifyParameter" hidden="1">
              <a:extLst>
                <a:ext uri="{63B3BB69-23CF-44E3-9099-C40C66FF867C}">
                  <a14:compatExt spid="_x0000_s57346"/>
                </a:ext>
                <a:ext uri="{FF2B5EF4-FFF2-40B4-BE49-F238E27FC236}">
                  <a16:creationId xmlns:a16="http://schemas.microsoft.com/office/drawing/2014/main" id="{00000000-0008-0000-1D00-000002E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</xdr:colOff>
          <xdr:row>3</xdr:row>
          <xdr:rowOff>0</xdr:rowOff>
        </xdr:from>
        <xdr:to>
          <xdr:col>3</xdr:col>
          <xdr:colOff>19050</xdr:colOff>
          <xdr:row>4</xdr:row>
          <xdr:rowOff>104775</xdr:rowOff>
        </xdr:to>
        <xdr:sp macro="" textlink="">
          <xdr:nvSpPr>
            <xdr:cNvPr id="57347" name="cmdSpecifyArg1" hidden="1">
              <a:extLst>
                <a:ext uri="{63B3BB69-23CF-44E3-9099-C40C66FF867C}">
                  <a14:compatExt spid="_x0000_s57347"/>
                </a:ext>
                <a:ext uri="{FF2B5EF4-FFF2-40B4-BE49-F238E27FC236}">
                  <a16:creationId xmlns:a16="http://schemas.microsoft.com/office/drawing/2014/main" id="{00000000-0008-0000-1D00-000003E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9525</xdr:colOff>
          <xdr:row>3</xdr:row>
          <xdr:rowOff>0</xdr:rowOff>
        </xdr:from>
        <xdr:to>
          <xdr:col>4</xdr:col>
          <xdr:colOff>19050</xdr:colOff>
          <xdr:row>4</xdr:row>
          <xdr:rowOff>104775</xdr:rowOff>
        </xdr:to>
        <xdr:sp macro="" textlink="">
          <xdr:nvSpPr>
            <xdr:cNvPr id="57348" name="cmdSpecifyArg2" hidden="1">
              <a:extLst>
                <a:ext uri="{63B3BB69-23CF-44E3-9099-C40C66FF867C}">
                  <a14:compatExt spid="_x0000_s57348"/>
                </a:ext>
                <a:ext uri="{FF2B5EF4-FFF2-40B4-BE49-F238E27FC236}">
                  <a16:creationId xmlns:a16="http://schemas.microsoft.com/office/drawing/2014/main" id="{00000000-0008-0000-1D00-000004E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9525</xdr:colOff>
          <xdr:row>3</xdr:row>
          <xdr:rowOff>0</xdr:rowOff>
        </xdr:from>
        <xdr:to>
          <xdr:col>5</xdr:col>
          <xdr:colOff>19050</xdr:colOff>
          <xdr:row>4</xdr:row>
          <xdr:rowOff>104775</xdr:rowOff>
        </xdr:to>
        <xdr:sp macro="" textlink="">
          <xdr:nvSpPr>
            <xdr:cNvPr id="57349" name="cmdSpecifyArg3" hidden="1">
              <a:extLst>
                <a:ext uri="{63B3BB69-23CF-44E3-9099-C40C66FF867C}">
                  <a14:compatExt spid="_x0000_s57349"/>
                </a:ext>
                <a:ext uri="{FF2B5EF4-FFF2-40B4-BE49-F238E27FC236}">
                  <a16:creationId xmlns:a16="http://schemas.microsoft.com/office/drawing/2014/main" id="{00000000-0008-0000-1D00-000005E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3</xdr:row>
          <xdr:rowOff>0</xdr:rowOff>
        </xdr:from>
        <xdr:to>
          <xdr:col>6</xdr:col>
          <xdr:colOff>19050</xdr:colOff>
          <xdr:row>4</xdr:row>
          <xdr:rowOff>104775</xdr:rowOff>
        </xdr:to>
        <xdr:sp macro="" textlink="">
          <xdr:nvSpPr>
            <xdr:cNvPr id="57350" name="cmdSpecifyArg4" hidden="1">
              <a:extLst>
                <a:ext uri="{63B3BB69-23CF-44E3-9099-C40C66FF867C}">
                  <a14:compatExt spid="_x0000_s57350"/>
                </a:ext>
                <a:ext uri="{FF2B5EF4-FFF2-40B4-BE49-F238E27FC236}">
                  <a16:creationId xmlns:a16="http://schemas.microsoft.com/office/drawing/2014/main" id="{00000000-0008-0000-1D00-000006E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9525</xdr:colOff>
          <xdr:row>3</xdr:row>
          <xdr:rowOff>0</xdr:rowOff>
        </xdr:from>
        <xdr:to>
          <xdr:col>7</xdr:col>
          <xdr:colOff>19050</xdr:colOff>
          <xdr:row>4</xdr:row>
          <xdr:rowOff>104775</xdr:rowOff>
        </xdr:to>
        <xdr:sp macro="" textlink="">
          <xdr:nvSpPr>
            <xdr:cNvPr id="57351" name="cmdSpecifyArg5" hidden="1">
              <a:extLst>
                <a:ext uri="{63B3BB69-23CF-44E3-9099-C40C66FF867C}">
                  <a14:compatExt spid="_x0000_s57351"/>
                </a:ext>
                <a:ext uri="{FF2B5EF4-FFF2-40B4-BE49-F238E27FC236}">
                  <a16:creationId xmlns:a16="http://schemas.microsoft.com/office/drawing/2014/main" id="{00000000-0008-0000-1D00-000007E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</xdr:colOff>
          <xdr:row>3</xdr:row>
          <xdr:rowOff>0</xdr:rowOff>
        </xdr:from>
        <xdr:to>
          <xdr:col>8</xdr:col>
          <xdr:colOff>19050</xdr:colOff>
          <xdr:row>4</xdr:row>
          <xdr:rowOff>104775</xdr:rowOff>
        </xdr:to>
        <xdr:sp macro="" textlink="">
          <xdr:nvSpPr>
            <xdr:cNvPr id="57352" name="cmdSpecifyArg6" hidden="1">
              <a:extLst>
                <a:ext uri="{63B3BB69-23CF-44E3-9099-C40C66FF867C}">
                  <a14:compatExt spid="_x0000_s57352"/>
                </a:ext>
                <a:ext uri="{FF2B5EF4-FFF2-40B4-BE49-F238E27FC236}">
                  <a16:creationId xmlns:a16="http://schemas.microsoft.com/office/drawing/2014/main" id="{00000000-0008-0000-1D00-000008E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9525</xdr:colOff>
          <xdr:row>3</xdr:row>
          <xdr:rowOff>0</xdr:rowOff>
        </xdr:from>
        <xdr:to>
          <xdr:col>9</xdr:col>
          <xdr:colOff>19050</xdr:colOff>
          <xdr:row>4</xdr:row>
          <xdr:rowOff>85725</xdr:rowOff>
        </xdr:to>
        <xdr:sp macro="" textlink="">
          <xdr:nvSpPr>
            <xdr:cNvPr id="57353" name="cmdSpecifyIEOptcode" hidden="1">
              <a:extLst>
                <a:ext uri="{63B3BB69-23CF-44E3-9099-C40C66FF867C}">
                  <a14:compatExt spid="_x0000_s57353"/>
                </a:ext>
                <a:ext uri="{FF2B5EF4-FFF2-40B4-BE49-F238E27FC236}">
                  <a16:creationId xmlns:a16="http://schemas.microsoft.com/office/drawing/2014/main" id="{00000000-0008-0000-1D00-000009E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</xdr:row>
          <xdr:rowOff>57150</xdr:rowOff>
        </xdr:from>
        <xdr:to>
          <xdr:col>0</xdr:col>
          <xdr:colOff>819150</xdr:colOff>
          <xdr:row>6</xdr:row>
          <xdr:rowOff>0</xdr:rowOff>
        </xdr:to>
        <xdr:sp macro="" textlink="">
          <xdr:nvSpPr>
            <xdr:cNvPr id="57354" name="cmdPopulateDataYears" hidden="1">
              <a:extLst>
                <a:ext uri="{63B3BB69-23CF-44E3-9099-C40C66FF867C}">
                  <a14:compatExt spid="_x0000_s57354"/>
                </a:ext>
                <a:ext uri="{FF2B5EF4-FFF2-40B4-BE49-F238E27FC236}">
                  <a16:creationId xmlns:a16="http://schemas.microsoft.com/office/drawing/2014/main" id="{00000000-0008-0000-1D00-00000AE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819150</xdr:colOff>
          <xdr:row>3</xdr:row>
          <xdr:rowOff>38100</xdr:rowOff>
        </xdr:to>
        <xdr:sp macro="" textlink="">
          <xdr:nvSpPr>
            <xdr:cNvPr id="58369" name="cmdCheckTIDDataSheet" hidden="1">
              <a:extLst>
                <a:ext uri="{63B3BB69-23CF-44E3-9099-C40C66FF867C}">
                  <a14:compatExt spid="_x0000_s58369"/>
                </a:ext>
                <a:ext uri="{FF2B5EF4-FFF2-40B4-BE49-F238E27FC236}">
                  <a16:creationId xmlns:a16="http://schemas.microsoft.com/office/drawing/2014/main" id="{00000000-0008-0000-1E00-000001E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</xdr:row>
          <xdr:rowOff>9525</xdr:rowOff>
        </xdr:from>
        <xdr:to>
          <xdr:col>2</xdr:col>
          <xdr:colOff>19050</xdr:colOff>
          <xdr:row>4</xdr:row>
          <xdr:rowOff>95250</xdr:rowOff>
        </xdr:to>
        <xdr:sp macro="" textlink="">
          <xdr:nvSpPr>
            <xdr:cNvPr id="58370" name="cmdSpecifyParameter" hidden="1">
              <a:extLst>
                <a:ext uri="{63B3BB69-23CF-44E3-9099-C40C66FF867C}">
                  <a14:compatExt spid="_x0000_s58370"/>
                </a:ext>
                <a:ext uri="{FF2B5EF4-FFF2-40B4-BE49-F238E27FC236}">
                  <a16:creationId xmlns:a16="http://schemas.microsoft.com/office/drawing/2014/main" id="{00000000-0008-0000-1E00-000002E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</xdr:row>
          <xdr:rowOff>9525</xdr:rowOff>
        </xdr:from>
        <xdr:to>
          <xdr:col>3</xdr:col>
          <xdr:colOff>9525</xdr:colOff>
          <xdr:row>4</xdr:row>
          <xdr:rowOff>95250</xdr:rowOff>
        </xdr:to>
        <xdr:sp macro="" textlink="">
          <xdr:nvSpPr>
            <xdr:cNvPr id="58371" name="cmdSpecifyArg1" hidden="1">
              <a:extLst>
                <a:ext uri="{63B3BB69-23CF-44E3-9099-C40C66FF867C}">
                  <a14:compatExt spid="_x0000_s58371"/>
                </a:ext>
                <a:ext uri="{FF2B5EF4-FFF2-40B4-BE49-F238E27FC236}">
                  <a16:creationId xmlns:a16="http://schemas.microsoft.com/office/drawing/2014/main" id="{00000000-0008-0000-1E00-000003E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</xdr:row>
          <xdr:rowOff>9525</xdr:rowOff>
        </xdr:from>
        <xdr:to>
          <xdr:col>4</xdr:col>
          <xdr:colOff>9525</xdr:colOff>
          <xdr:row>4</xdr:row>
          <xdr:rowOff>95250</xdr:rowOff>
        </xdr:to>
        <xdr:sp macro="" textlink="">
          <xdr:nvSpPr>
            <xdr:cNvPr id="58372" name="cmdSpecifyArg2" hidden="1">
              <a:extLst>
                <a:ext uri="{63B3BB69-23CF-44E3-9099-C40C66FF867C}">
                  <a14:compatExt spid="_x0000_s58372"/>
                </a:ext>
                <a:ext uri="{FF2B5EF4-FFF2-40B4-BE49-F238E27FC236}">
                  <a16:creationId xmlns:a16="http://schemas.microsoft.com/office/drawing/2014/main" id="{00000000-0008-0000-1E00-000004E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</xdr:row>
          <xdr:rowOff>9525</xdr:rowOff>
        </xdr:from>
        <xdr:to>
          <xdr:col>5</xdr:col>
          <xdr:colOff>9525</xdr:colOff>
          <xdr:row>4</xdr:row>
          <xdr:rowOff>95250</xdr:rowOff>
        </xdr:to>
        <xdr:sp macro="" textlink="">
          <xdr:nvSpPr>
            <xdr:cNvPr id="58373" name="cmdSpecifyArg3" hidden="1">
              <a:extLst>
                <a:ext uri="{63B3BB69-23CF-44E3-9099-C40C66FF867C}">
                  <a14:compatExt spid="_x0000_s58373"/>
                </a:ext>
                <a:ext uri="{FF2B5EF4-FFF2-40B4-BE49-F238E27FC236}">
                  <a16:creationId xmlns:a16="http://schemas.microsoft.com/office/drawing/2014/main" id="{00000000-0008-0000-1E00-000005E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</xdr:row>
          <xdr:rowOff>9525</xdr:rowOff>
        </xdr:from>
        <xdr:to>
          <xdr:col>6</xdr:col>
          <xdr:colOff>9525</xdr:colOff>
          <xdr:row>4</xdr:row>
          <xdr:rowOff>95250</xdr:rowOff>
        </xdr:to>
        <xdr:sp macro="" textlink="">
          <xdr:nvSpPr>
            <xdr:cNvPr id="58374" name="cmdSpecifyArg4" hidden="1">
              <a:extLst>
                <a:ext uri="{63B3BB69-23CF-44E3-9099-C40C66FF867C}">
                  <a14:compatExt spid="_x0000_s58374"/>
                </a:ext>
                <a:ext uri="{FF2B5EF4-FFF2-40B4-BE49-F238E27FC236}">
                  <a16:creationId xmlns:a16="http://schemas.microsoft.com/office/drawing/2014/main" id="{00000000-0008-0000-1E00-000006E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</xdr:row>
          <xdr:rowOff>9525</xdr:rowOff>
        </xdr:from>
        <xdr:to>
          <xdr:col>7</xdr:col>
          <xdr:colOff>9525</xdr:colOff>
          <xdr:row>4</xdr:row>
          <xdr:rowOff>95250</xdr:rowOff>
        </xdr:to>
        <xdr:sp macro="" textlink="">
          <xdr:nvSpPr>
            <xdr:cNvPr id="58375" name="cmdSpecifyArg5" hidden="1">
              <a:extLst>
                <a:ext uri="{63B3BB69-23CF-44E3-9099-C40C66FF867C}">
                  <a14:compatExt spid="_x0000_s58375"/>
                </a:ext>
                <a:ext uri="{FF2B5EF4-FFF2-40B4-BE49-F238E27FC236}">
                  <a16:creationId xmlns:a16="http://schemas.microsoft.com/office/drawing/2014/main" id="{00000000-0008-0000-1E00-000007E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</xdr:row>
          <xdr:rowOff>9525</xdr:rowOff>
        </xdr:from>
        <xdr:to>
          <xdr:col>8</xdr:col>
          <xdr:colOff>9525</xdr:colOff>
          <xdr:row>4</xdr:row>
          <xdr:rowOff>95250</xdr:rowOff>
        </xdr:to>
        <xdr:sp macro="" textlink="">
          <xdr:nvSpPr>
            <xdr:cNvPr id="58376" name="cmdSpecifyArg6" hidden="1">
              <a:extLst>
                <a:ext uri="{63B3BB69-23CF-44E3-9099-C40C66FF867C}">
                  <a14:compatExt spid="_x0000_s58376"/>
                </a:ext>
                <a:ext uri="{FF2B5EF4-FFF2-40B4-BE49-F238E27FC236}">
                  <a16:creationId xmlns:a16="http://schemas.microsoft.com/office/drawing/2014/main" id="{00000000-0008-0000-1E00-000008E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38100</xdr:colOff>
          <xdr:row>2</xdr:row>
          <xdr:rowOff>9525</xdr:rowOff>
        </xdr:from>
        <xdr:to>
          <xdr:col>0</xdr:col>
          <xdr:colOff>857250</xdr:colOff>
          <xdr:row>3</xdr:row>
          <xdr:rowOff>57150</xdr:rowOff>
        </xdr:to>
        <xdr:sp macro="" textlink="">
          <xdr:nvSpPr>
            <xdr:cNvPr id="59393" name="cmdCheckTSandTIDDataSheet" hidden="1">
              <a:extLst>
                <a:ext uri="{63B3BB69-23CF-44E3-9099-C40C66FF867C}">
                  <a14:compatExt spid="_x0000_s59393"/>
                </a:ext>
                <a:ext uri="{FF2B5EF4-FFF2-40B4-BE49-F238E27FC236}">
                  <a16:creationId xmlns:a16="http://schemas.microsoft.com/office/drawing/2014/main" id="{00000000-0008-0000-1F00-000001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</xdr:row>
          <xdr:rowOff>0</xdr:rowOff>
        </xdr:from>
        <xdr:to>
          <xdr:col>2</xdr:col>
          <xdr:colOff>19050</xdr:colOff>
          <xdr:row>4</xdr:row>
          <xdr:rowOff>104775</xdr:rowOff>
        </xdr:to>
        <xdr:sp macro="" textlink="">
          <xdr:nvSpPr>
            <xdr:cNvPr id="59394" name="cmdSpecifyParameter" hidden="1">
              <a:extLst>
                <a:ext uri="{63B3BB69-23CF-44E3-9099-C40C66FF867C}">
                  <a14:compatExt spid="_x0000_s59394"/>
                </a:ext>
                <a:ext uri="{FF2B5EF4-FFF2-40B4-BE49-F238E27FC236}">
                  <a16:creationId xmlns:a16="http://schemas.microsoft.com/office/drawing/2014/main" id="{00000000-0008-0000-1F00-000002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</xdr:row>
          <xdr:rowOff>0</xdr:rowOff>
        </xdr:from>
        <xdr:to>
          <xdr:col>3</xdr:col>
          <xdr:colOff>9525</xdr:colOff>
          <xdr:row>4</xdr:row>
          <xdr:rowOff>104775</xdr:rowOff>
        </xdr:to>
        <xdr:sp macro="" textlink="">
          <xdr:nvSpPr>
            <xdr:cNvPr id="59395" name="cmdSpecifyArg1" hidden="1">
              <a:extLst>
                <a:ext uri="{63B3BB69-23CF-44E3-9099-C40C66FF867C}">
                  <a14:compatExt spid="_x0000_s59395"/>
                </a:ext>
                <a:ext uri="{FF2B5EF4-FFF2-40B4-BE49-F238E27FC236}">
                  <a16:creationId xmlns:a16="http://schemas.microsoft.com/office/drawing/2014/main" id="{00000000-0008-0000-1F00-000003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</xdr:row>
          <xdr:rowOff>0</xdr:rowOff>
        </xdr:from>
        <xdr:to>
          <xdr:col>4</xdr:col>
          <xdr:colOff>0</xdr:colOff>
          <xdr:row>4</xdr:row>
          <xdr:rowOff>104775</xdr:rowOff>
        </xdr:to>
        <xdr:sp macro="" textlink="">
          <xdr:nvSpPr>
            <xdr:cNvPr id="59396" name="cmdSpecifyArg2" hidden="1">
              <a:extLst>
                <a:ext uri="{63B3BB69-23CF-44E3-9099-C40C66FF867C}">
                  <a14:compatExt spid="_x0000_s59396"/>
                </a:ext>
                <a:ext uri="{FF2B5EF4-FFF2-40B4-BE49-F238E27FC236}">
                  <a16:creationId xmlns:a16="http://schemas.microsoft.com/office/drawing/2014/main" id="{00000000-0008-0000-1F00-000004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</xdr:row>
          <xdr:rowOff>0</xdr:rowOff>
        </xdr:from>
        <xdr:to>
          <xdr:col>5</xdr:col>
          <xdr:colOff>9525</xdr:colOff>
          <xdr:row>4</xdr:row>
          <xdr:rowOff>104775</xdr:rowOff>
        </xdr:to>
        <xdr:sp macro="" textlink="">
          <xdr:nvSpPr>
            <xdr:cNvPr id="59397" name="cmdSpecifyArg3" hidden="1">
              <a:extLst>
                <a:ext uri="{63B3BB69-23CF-44E3-9099-C40C66FF867C}">
                  <a14:compatExt spid="_x0000_s59397"/>
                </a:ext>
                <a:ext uri="{FF2B5EF4-FFF2-40B4-BE49-F238E27FC236}">
                  <a16:creationId xmlns:a16="http://schemas.microsoft.com/office/drawing/2014/main" id="{00000000-0008-0000-1F00-000005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</xdr:row>
          <xdr:rowOff>0</xdr:rowOff>
        </xdr:from>
        <xdr:to>
          <xdr:col>6</xdr:col>
          <xdr:colOff>9525</xdr:colOff>
          <xdr:row>4</xdr:row>
          <xdr:rowOff>104775</xdr:rowOff>
        </xdr:to>
        <xdr:sp macro="" textlink="">
          <xdr:nvSpPr>
            <xdr:cNvPr id="59398" name="cmdSpecifyArg4" hidden="1">
              <a:extLst>
                <a:ext uri="{63B3BB69-23CF-44E3-9099-C40C66FF867C}">
                  <a14:compatExt spid="_x0000_s59398"/>
                </a:ext>
                <a:ext uri="{FF2B5EF4-FFF2-40B4-BE49-F238E27FC236}">
                  <a16:creationId xmlns:a16="http://schemas.microsoft.com/office/drawing/2014/main" id="{00000000-0008-0000-1F00-000006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</xdr:row>
          <xdr:rowOff>0</xdr:rowOff>
        </xdr:from>
        <xdr:to>
          <xdr:col>7</xdr:col>
          <xdr:colOff>9525</xdr:colOff>
          <xdr:row>4</xdr:row>
          <xdr:rowOff>104775</xdr:rowOff>
        </xdr:to>
        <xdr:sp macro="" textlink="">
          <xdr:nvSpPr>
            <xdr:cNvPr id="59399" name="cmdSpecifyArg5" hidden="1">
              <a:extLst>
                <a:ext uri="{63B3BB69-23CF-44E3-9099-C40C66FF867C}">
                  <a14:compatExt spid="_x0000_s59399"/>
                </a:ext>
                <a:ext uri="{FF2B5EF4-FFF2-40B4-BE49-F238E27FC236}">
                  <a16:creationId xmlns:a16="http://schemas.microsoft.com/office/drawing/2014/main" id="{00000000-0008-0000-1F00-000007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</xdr:row>
          <xdr:rowOff>0</xdr:rowOff>
        </xdr:from>
        <xdr:to>
          <xdr:col>8</xdr:col>
          <xdr:colOff>9525</xdr:colOff>
          <xdr:row>4</xdr:row>
          <xdr:rowOff>104775</xdr:rowOff>
        </xdr:to>
        <xdr:sp macro="" textlink="">
          <xdr:nvSpPr>
            <xdr:cNvPr id="59400" name="cmdSpecifyArg6" hidden="1">
              <a:extLst>
                <a:ext uri="{63B3BB69-23CF-44E3-9099-C40C66FF867C}">
                  <a14:compatExt spid="_x0000_s59400"/>
                </a:ext>
                <a:ext uri="{FF2B5EF4-FFF2-40B4-BE49-F238E27FC236}">
                  <a16:creationId xmlns:a16="http://schemas.microsoft.com/office/drawing/2014/main" id="{00000000-0008-0000-1F00-000008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19050</xdr:colOff>
          <xdr:row>3</xdr:row>
          <xdr:rowOff>0</xdr:rowOff>
        </xdr:from>
        <xdr:to>
          <xdr:col>8</xdr:col>
          <xdr:colOff>476250</xdr:colOff>
          <xdr:row>4</xdr:row>
          <xdr:rowOff>104775</xdr:rowOff>
        </xdr:to>
        <xdr:sp macro="" textlink="">
          <xdr:nvSpPr>
            <xdr:cNvPr id="59401" name="cmdSpecifyIEOptcode" hidden="1">
              <a:extLst>
                <a:ext uri="{63B3BB69-23CF-44E3-9099-C40C66FF867C}">
                  <a14:compatExt spid="_x0000_s59401"/>
                </a:ext>
                <a:ext uri="{FF2B5EF4-FFF2-40B4-BE49-F238E27FC236}">
                  <a16:creationId xmlns:a16="http://schemas.microsoft.com/office/drawing/2014/main" id="{00000000-0008-0000-1F00-000009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28575</xdr:colOff>
          <xdr:row>4</xdr:row>
          <xdr:rowOff>19050</xdr:rowOff>
        </xdr:from>
        <xdr:to>
          <xdr:col>0</xdr:col>
          <xdr:colOff>847725</xdr:colOff>
          <xdr:row>6</xdr:row>
          <xdr:rowOff>104775</xdr:rowOff>
        </xdr:to>
        <xdr:sp macro="" textlink="">
          <xdr:nvSpPr>
            <xdr:cNvPr id="59402" name="cmdPopulateDataYears" hidden="1">
              <a:extLst>
                <a:ext uri="{63B3BB69-23CF-44E3-9099-C40C66FF867C}">
                  <a14:compatExt spid="_x0000_s59402"/>
                </a:ext>
                <a:ext uri="{FF2B5EF4-FFF2-40B4-BE49-F238E27FC236}">
                  <a16:creationId xmlns:a16="http://schemas.microsoft.com/office/drawing/2014/main" id="{00000000-0008-0000-1F00-00000A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</xdr:row>
          <xdr:rowOff>0</xdr:rowOff>
        </xdr:from>
        <xdr:to>
          <xdr:col>3</xdr:col>
          <xdr:colOff>28575</xdr:colOff>
          <xdr:row>4</xdr:row>
          <xdr:rowOff>104775</xdr:rowOff>
        </xdr:to>
        <xdr:sp macro="" textlink="">
          <xdr:nvSpPr>
            <xdr:cNvPr id="60418" name="cmdSpecifyParameter" hidden="1">
              <a:extLst>
                <a:ext uri="{63B3BB69-23CF-44E3-9099-C40C66FF867C}">
                  <a14:compatExt spid="_x0000_s60418"/>
                </a:ext>
                <a:ext uri="{FF2B5EF4-FFF2-40B4-BE49-F238E27FC236}">
                  <a16:creationId xmlns:a16="http://schemas.microsoft.com/office/drawing/2014/main" id="{00000000-0008-0000-2000-000002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19050</xdr:colOff>
          <xdr:row>3</xdr:row>
          <xdr:rowOff>0</xdr:rowOff>
        </xdr:from>
        <xdr:to>
          <xdr:col>4</xdr:col>
          <xdr:colOff>9525</xdr:colOff>
          <xdr:row>4</xdr:row>
          <xdr:rowOff>104775</xdr:rowOff>
        </xdr:to>
        <xdr:sp macro="" textlink="">
          <xdr:nvSpPr>
            <xdr:cNvPr id="60419" name="cmdSpecifyArg1" hidden="1">
              <a:extLst>
                <a:ext uri="{63B3BB69-23CF-44E3-9099-C40C66FF867C}">
                  <a14:compatExt spid="_x0000_s60419"/>
                </a:ext>
                <a:ext uri="{FF2B5EF4-FFF2-40B4-BE49-F238E27FC236}">
                  <a16:creationId xmlns:a16="http://schemas.microsoft.com/office/drawing/2014/main" id="{00000000-0008-0000-2000-000003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9525</xdr:colOff>
          <xdr:row>3</xdr:row>
          <xdr:rowOff>0</xdr:rowOff>
        </xdr:from>
        <xdr:to>
          <xdr:col>5</xdr:col>
          <xdr:colOff>9525</xdr:colOff>
          <xdr:row>4</xdr:row>
          <xdr:rowOff>104775</xdr:rowOff>
        </xdr:to>
        <xdr:sp macro="" textlink="">
          <xdr:nvSpPr>
            <xdr:cNvPr id="60420" name="cmdSpecifyArg2" hidden="1">
              <a:extLst>
                <a:ext uri="{63B3BB69-23CF-44E3-9099-C40C66FF867C}">
                  <a14:compatExt spid="_x0000_s60420"/>
                </a:ext>
                <a:ext uri="{FF2B5EF4-FFF2-40B4-BE49-F238E27FC236}">
                  <a16:creationId xmlns:a16="http://schemas.microsoft.com/office/drawing/2014/main" id="{00000000-0008-0000-2000-000004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3</xdr:row>
          <xdr:rowOff>0</xdr:rowOff>
        </xdr:from>
        <xdr:to>
          <xdr:col>6</xdr:col>
          <xdr:colOff>19050</xdr:colOff>
          <xdr:row>4</xdr:row>
          <xdr:rowOff>104775</xdr:rowOff>
        </xdr:to>
        <xdr:sp macro="" textlink="">
          <xdr:nvSpPr>
            <xdr:cNvPr id="60421" name="cmdSpecifyArg3" hidden="1">
              <a:extLst>
                <a:ext uri="{63B3BB69-23CF-44E3-9099-C40C66FF867C}">
                  <a14:compatExt spid="_x0000_s60421"/>
                </a:ext>
                <a:ext uri="{FF2B5EF4-FFF2-40B4-BE49-F238E27FC236}">
                  <a16:creationId xmlns:a16="http://schemas.microsoft.com/office/drawing/2014/main" id="{00000000-0008-0000-2000-000005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9525</xdr:colOff>
          <xdr:row>3</xdr:row>
          <xdr:rowOff>0</xdr:rowOff>
        </xdr:from>
        <xdr:to>
          <xdr:col>7</xdr:col>
          <xdr:colOff>19050</xdr:colOff>
          <xdr:row>4</xdr:row>
          <xdr:rowOff>104775</xdr:rowOff>
        </xdr:to>
        <xdr:sp macro="" textlink="">
          <xdr:nvSpPr>
            <xdr:cNvPr id="60422" name="cmdSpecifyArg4" hidden="1">
              <a:extLst>
                <a:ext uri="{63B3BB69-23CF-44E3-9099-C40C66FF867C}">
                  <a14:compatExt spid="_x0000_s60422"/>
                </a:ext>
                <a:ext uri="{FF2B5EF4-FFF2-40B4-BE49-F238E27FC236}">
                  <a16:creationId xmlns:a16="http://schemas.microsoft.com/office/drawing/2014/main" id="{00000000-0008-0000-2000-000006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</xdr:colOff>
          <xdr:row>3</xdr:row>
          <xdr:rowOff>0</xdr:rowOff>
        </xdr:from>
        <xdr:to>
          <xdr:col>8</xdr:col>
          <xdr:colOff>19050</xdr:colOff>
          <xdr:row>4</xdr:row>
          <xdr:rowOff>104775</xdr:rowOff>
        </xdr:to>
        <xdr:sp macro="" textlink="">
          <xdr:nvSpPr>
            <xdr:cNvPr id="60423" name="cmdSpecifyArg5" hidden="1">
              <a:extLst>
                <a:ext uri="{63B3BB69-23CF-44E3-9099-C40C66FF867C}">
                  <a14:compatExt spid="_x0000_s60423"/>
                </a:ext>
                <a:ext uri="{FF2B5EF4-FFF2-40B4-BE49-F238E27FC236}">
                  <a16:creationId xmlns:a16="http://schemas.microsoft.com/office/drawing/2014/main" id="{00000000-0008-0000-2000-000007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19050</xdr:colOff>
          <xdr:row>3</xdr:row>
          <xdr:rowOff>0</xdr:rowOff>
        </xdr:from>
        <xdr:to>
          <xdr:col>9</xdr:col>
          <xdr:colOff>28575</xdr:colOff>
          <xdr:row>4</xdr:row>
          <xdr:rowOff>104775</xdr:rowOff>
        </xdr:to>
        <xdr:sp macro="" textlink="">
          <xdr:nvSpPr>
            <xdr:cNvPr id="60424" name="cmdSpecifyArg6" hidden="1">
              <a:extLst>
                <a:ext uri="{63B3BB69-23CF-44E3-9099-C40C66FF867C}">
                  <a14:compatExt spid="_x0000_s60424"/>
                </a:ext>
                <a:ext uri="{FF2B5EF4-FFF2-40B4-BE49-F238E27FC236}">
                  <a16:creationId xmlns:a16="http://schemas.microsoft.com/office/drawing/2014/main" id="{00000000-0008-0000-2000-000008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19050</xdr:colOff>
          <xdr:row>3</xdr:row>
          <xdr:rowOff>0</xdr:rowOff>
        </xdr:from>
        <xdr:to>
          <xdr:col>10</xdr:col>
          <xdr:colOff>0</xdr:colOff>
          <xdr:row>4</xdr:row>
          <xdr:rowOff>85725</xdr:rowOff>
        </xdr:to>
        <xdr:sp macro="" textlink="">
          <xdr:nvSpPr>
            <xdr:cNvPr id="60425" name="cmdSpecifyIEOptcode" hidden="1">
              <a:extLst>
                <a:ext uri="{63B3BB69-23CF-44E3-9099-C40C66FF867C}">
                  <a14:compatExt spid="_x0000_s60425"/>
                </a:ext>
                <a:ext uri="{FF2B5EF4-FFF2-40B4-BE49-F238E27FC236}">
                  <a16:creationId xmlns:a16="http://schemas.microsoft.com/office/drawing/2014/main" id="{00000000-0008-0000-2000-000009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19050</xdr:colOff>
          <xdr:row>2</xdr:row>
          <xdr:rowOff>0</xdr:rowOff>
        </xdr:from>
        <xdr:to>
          <xdr:col>0</xdr:col>
          <xdr:colOff>838200</xdr:colOff>
          <xdr:row>3</xdr:row>
          <xdr:rowOff>0</xdr:rowOff>
        </xdr:to>
        <xdr:sp macro="" textlink="">
          <xdr:nvSpPr>
            <xdr:cNvPr id="60426" name="cmdCheckTSTradeSheet" hidden="1">
              <a:extLst>
                <a:ext uri="{63B3BB69-23CF-44E3-9099-C40C66FF867C}">
                  <a14:compatExt spid="_x0000_s60426"/>
                </a:ext>
                <a:ext uri="{FF2B5EF4-FFF2-40B4-BE49-F238E27FC236}">
                  <a16:creationId xmlns:a16="http://schemas.microsoft.com/office/drawing/2014/main" id="{00000000-0008-0000-2000-00000A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19050</xdr:colOff>
          <xdr:row>3</xdr:row>
          <xdr:rowOff>19050</xdr:rowOff>
        </xdr:from>
        <xdr:to>
          <xdr:col>0</xdr:col>
          <xdr:colOff>838200</xdr:colOff>
          <xdr:row>5</xdr:row>
          <xdr:rowOff>104775</xdr:rowOff>
        </xdr:to>
        <xdr:sp macro="" textlink="">
          <xdr:nvSpPr>
            <xdr:cNvPr id="60427" name="cmdPopulateDataYears" hidden="1">
              <a:extLst>
                <a:ext uri="{63B3BB69-23CF-44E3-9099-C40C66FF867C}">
                  <a14:compatExt spid="_x0000_s60427"/>
                </a:ext>
                <a:ext uri="{FF2B5EF4-FFF2-40B4-BE49-F238E27FC236}">
                  <a16:creationId xmlns:a16="http://schemas.microsoft.com/office/drawing/2014/main" id="{00000000-0008-0000-2000-00000B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2</xdr:row>
          <xdr:rowOff>0</xdr:rowOff>
        </xdr:from>
        <xdr:to>
          <xdr:col>0</xdr:col>
          <xdr:colOff>828675</xdr:colOff>
          <xdr:row>3</xdr:row>
          <xdr:rowOff>38100</xdr:rowOff>
        </xdr:to>
        <xdr:sp macro="" textlink="">
          <xdr:nvSpPr>
            <xdr:cNvPr id="61442" name="cmdCheckTIDTradeSheet" hidden="1">
              <a:extLst>
                <a:ext uri="{63B3BB69-23CF-44E3-9099-C40C66FF867C}">
                  <a14:compatExt spid="_x0000_s61442"/>
                </a:ext>
                <a:ext uri="{FF2B5EF4-FFF2-40B4-BE49-F238E27FC236}">
                  <a16:creationId xmlns:a16="http://schemas.microsoft.com/office/drawing/2014/main" id="{00000000-0008-0000-2100-000002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</xdr:row>
          <xdr:rowOff>9525</xdr:rowOff>
        </xdr:from>
        <xdr:to>
          <xdr:col>3</xdr:col>
          <xdr:colOff>28575</xdr:colOff>
          <xdr:row>4</xdr:row>
          <xdr:rowOff>114300</xdr:rowOff>
        </xdr:to>
        <xdr:sp macro="" textlink="">
          <xdr:nvSpPr>
            <xdr:cNvPr id="61443" name="cmdSpecifyParameter" hidden="1">
              <a:extLst>
                <a:ext uri="{63B3BB69-23CF-44E3-9099-C40C66FF867C}">
                  <a14:compatExt spid="_x0000_s61443"/>
                </a:ext>
                <a:ext uri="{FF2B5EF4-FFF2-40B4-BE49-F238E27FC236}">
                  <a16:creationId xmlns:a16="http://schemas.microsoft.com/office/drawing/2014/main" id="{00000000-0008-0000-2100-000003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9525</xdr:colOff>
          <xdr:row>3</xdr:row>
          <xdr:rowOff>9525</xdr:rowOff>
        </xdr:from>
        <xdr:to>
          <xdr:col>4</xdr:col>
          <xdr:colOff>0</xdr:colOff>
          <xdr:row>4</xdr:row>
          <xdr:rowOff>114300</xdr:rowOff>
        </xdr:to>
        <xdr:sp macro="" textlink="">
          <xdr:nvSpPr>
            <xdr:cNvPr id="61444" name="cmdSpecifyArg1" hidden="1">
              <a:extLst>
                <a:ext uri="{63B3BB69-23CF-44E3-9099-C40C66FF867C}">
                  <a14:compatExt spid="_x0000_s61444"/>
                </a:ext>
                <a:ext uri="{FF2B5EF4-FFF2-40B4-BE49-F238E27FC236}">
                  <a16:creationId xmlns:a16="http://schemas.microsoft.com/office/drawing/2014/main" id="{00000000-0008-0000-2100-000004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9525</xdr:colOff>
          <xdr:row>3</xdr:row>
          <xdr:rowOff>9525</xdr:rowOff>
        </xdr:from>
        <xdr:to>
          <xdr:col>5</xdr:col>
          <xdr:colOff>9525</xdr:colOff>
          <xdr:row>4</xdr:row>
          <xdr:rowOff>114300</xdr:rowOff>
        </xdr:to>
        <xdr:sp macro="" textlink="">
          <xdr:nvSpPr>
            <xdr:cNvPr id="61445" name="cmdSpecifyArg2" hidden="1">
              <a:extLst>
                <a:ext uri="{63B3BB69-23CF-44E3-9099-C40C66FF867C}">
                  <a14:compatExt spid="_x0000_s61445"/>
                </a:ext>
                <a:ext uri="{FF2B5EF4-FFF2-40B4-BE49-F238E27FC236}">
                  <a16:creationId xmlns:a16="http://schemas.microsoft.com/office/drawing/2014/main" id="{00000000-0008-0000-2100-000005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3</xdr:row>
          <xdr:rowOff>9525</xdr:rowOff>
        </xdr:from>
        <xdr:to>
          <xdr:col>6</xdr:col>
          <xdr:colOff>19050</xdr:colOff>
          <xdr:row>4</xdr:row>
          <xdr:rowOff>114300</xdr:rowOff>
        </xdr:to>
        <xdr:sp macro="" textlink="">
          <xdr:nvSpPr>
            <xdr:cNvPr id="61446" name="cmdSpecifyArg3" hidden="1">
              <a:extLst>
                <a:ext uri="{63B3BB69-23CF-44E3-9099-C40C66FF867C}">
                  <a14:compatExt spid="_x0000_s61446"/>
                </a:ext>
                <a:ext uri="{FF2B5EF4-FFF2-40B4-BE49-F238E27FC236}">
                  <a16:creationId xmlns:a16="http://schemas.microsoft.com/office/drawing/2014/main" id="{00000000-0008-0000-2100-000006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9525</xdr:colOff>
          <xdr:row>3</xdr:row>
          <xdr:rowOff>9525</xdr:rowOff>
        </xdr:from>
        <xdr:to>
          <xdr:col>7</xdr:col>
          <xdr:colOff>19050</xdr:colOff>
          <xdr:row>4</xdr:row>
          <xdr:rowOff>114300</xdr:rowOff>
        </xdr:to>
        <xdr:sp macro="" textlink="">
          <xdr:nvSpPr>
            <xdr:cNvPr id="61447" name="cmdSpecifyArg4" hidden="1">
              <a:extLst>
                <a:ext uri="{63B3BB69-23CF-44E3-9099-C40C66FF867C}">
                  <a14:compatExt spid="_x0000_s61447"/>
                </a:ext>
                <a:ext uri="{FF2B5EF4-FFF2-40B4-BE49-F238E27FC236}">
                  <a16:creationId xmlns:a16="http://schemas.microsoft.com/office/drawing/2014/main" id="{00000000-0008-0000-2100-000007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</xdr:colOff>
          <xdr:row>3</xdr:row>
          <xdr:rowOff>9525</xdr:rowOff>
        </xdr:from>
        <xdr:to>
          <xdr:col>8</xdr:col>
          <xdr:colOff>19050</xdr:colOff>
          <xdr:row>4</xdr:row>
          <xdr:rowOff>114300</xdr:rowOff>
        </xdr:to>
        <xdr:sp macro="" textlink="">
          <xdr:nvSpPr>
            <xdr:cNvPr id="61448" name="cmdSpecifyArg5" hidden="1">
              <a:extLst>
                <a:ext uri="{63B3BB69-23CF-44E3-9099-C40C66FF867C}">
                  <a14:compatExt spid="_x0000_s61448"/>
                </a:ext>
                <a:ext uri="{FF2B5EF4-FFF2-40B4-BE49-F238E27FC236}">
                  <a16:creationId xmlns:a16="http://schemas.microsoft.com/office/drawing/2014/main" id="{00000000-0008-0000-2100-000008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9525</xdr:colOff>
          <xdr:row>3</xdr:row>
          <xdr:rowOff>9525</xdr:rowOff>
        </xdr:from>
        <xdr:to>
          <xdr:col>9</xdr:col>
          <xdr:colOff>19050</xdr:colOff>
          <xdr:row>4</xdr:row>
          <xdr:rowOff>114300</xdr:rowOff>
        </xdr:to>
        <xdr:sp macro="" textlink="">
          <xdr:nvSpPr>
            <xdr:cNvPr id="61449" name="cmdSpecifyArg6" hidden="1">
              <a:extLst>
                <a:ext uri="{63B3BB69-23CF-44E3-9099-C40C66FF867C}">
                  <a14:compatExt spid="_x0000_s61449"/>
                </a:ext>
                <a:ext uri="{FF2B5EF4-FFF2-40B4-BE49-F238E27FC236}">
                  <a16:creationId xmlns:a16="http://schemas.microsoft.com/office/drawing/2014/main" id="{00000000-0008-0000-2100-000009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2</xdr:row>
          <xdr:rowOff>19050</xdr:rowOff>
        </xdr:from>
        <xdr:to>
          <xdr:col>0</xdr:col>
          <xdr:colOff>828675</xdr:colOff>
          <xdr:row>3</xdr:row>
          <xdr:rowOff>0</xdr:rowOff>
        </xdr:to>
        <xdr:sp macro="" textlink="">
          <xdr:nvSpPr>
            <xdr:cNvPr id="62466" name="cmdCheckTSandTIDTradeSheet" hidden="1">
              <a:extLst>
                <a:ext uri="{63B3BB69-23CF-44E3-9099-C40C66FF867C}">
                  <a14:compatExt spid="_x0000_s62466"/>
                </a:ext>
                <a:ext uri="{FF2B5EF4-FFF2-40B4-BE49-F238E27FC236}">
                  <a16:creationId xmlns:a16="http://schemas.microsoft.com/office/drawing/2014/main" id="{00000000-0008-0000-2200-000002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</xdr:colOff>
          <xdr:row>3</xdr:row>
          <xdr:rowOff>9525</xdr:rowOff>
        </xdr:from>
        <xdr:to>
          <xdr:col>3</xdr:col>
          <xdr:colOff>9525</xdr:colOff>
          <xdr:row>4</xdr:row>
          <xdr:rowOff>85725</xdr:rowOff>
        </xdr:to>
        <xdr:sp macro="" textlink="">
          <xdr:nvSpPr>
            <xdr:cNvPr id="62467" name="cmdSpecifyParameter" hidden="1">
              <a:extLst>
                <a:ext uri="{63B3BB69-23CF-44E3-9099-C40C66FF867C}">
                  <a14:compatExt spid="_x0000_s62467"/>
                </a:ext>
                <a:ext uri="{FF2B5EF4-FFF2-40B4-BE49-F238E27FC236}">
                  <a16:creationId xmlns:a16="http://schemas.microsoft.com/office/drawing/2014/main" id="{00000000-0008-0000-2200-000003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9525</xdr:colOff>
          <xdr:row>3</xdr:row>
          <xdr:rowOff>9525</xdr:rowOff>
        </xdr:from>
        <xdr:to>
          <xdr:col>4</xdr:col>
          <xdr:colOff>19050</xdr:colOff>
          <xdr:row>4</xdr:row>
          <xdr:rowOff>85725</xdr:rowOff>
        </xdr:to>
        <xdr:sp macro="" textlink="">
          <xdr:nvSpPr>
            <xdr:cNvPr id="62468" name="cmdSpecifyArg1" hidden="1">
              <a:extLst>
                <a:ext uri="{63B3BB69-23CF-44E3-9099-C40C66FF867C}">
                  <a14:compatExt spid="_x0000_s62468"/>
                </a:ext>
                <a:ext uri="{FF2B5EF4-FFF2-40B4-BE49-F238E27FC236}">
                  <a16:creationId xmlns:a16="http://schemas.microsoft.com/office/drawing/2014/main" id="{00000000-0008-0000-2200-000004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9525</xdr:colOff>
          <xdr:row>3</xdr:row>
          <xdr:rowOff>9525</xdr:rowOff>
        </xdr:from>
        <xdr:to>
          <xdr:col>5</xdr:col>
          <xdr:colOff>19050</xdr:colOff>
          <xdr:row>4</xdr:row>
          <xdr:rowOff>85725</xdr:rowOff>
        </xdr:to>
        <xdr:sp macro="" textlink="">
          <xdr:nvSpPr>
            <xdr:cNvPr id="62469" name="cmdSpecifyArg2" hidden="1">
              <a:extLst>
                <a:ext uri="{63B3BB69-23CF-44E3-9099-C40C66FF867C}">
                  <a14:compatExt spid="_x0000_s62469"/>
                </a:ext>
                <a:ext uri="{FF2B5EF4-FFF2-40B4-BE49-F238E27FC236}">
                  <a16:creationId xmlns:a16="http://schemas.microsoft.com/office/drawing/2014/main" id="{00000000-0008-0000-2200-000005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3</xdr:row>
          <xdr:rowOff>9525</xdr:rowOff>
        </xdr:from>
        <xdr:to>
          <xdr:col>6</xdr:col>
          <xdr:colOff>19050</xdr:colOff>
          <xdr:row>4</xdr:row>
          <xdr:rowOff>85725</xdr:rowOff>
        </xdr:to>
        <xdr:sp macro="" textlink="">
          <xdr:nvSpPr>
            <xdr:cNvPr id="62470" name="cmdSpecifyArg3" hidden="1">
              <a:extLst>
                <a:ext uri="{63B3BB69-23CF-44E3-9099-C40C66FF867C}">
                  <a14:compatExt spid="_x0000_s62470"/>
                </a:ext>
                <a:ext uri="{FF2B5EF4-FFF2-40B4-BE49-F238E27FC236}">
                  <a16:creationId xmlns:a16="http://schemas.microsoft.com/office/drawing/2014/main" id="{00000000-0008-0000-2200-000006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9525</xdr:colOff>
          <xdr:row>3</xdr:row>
          <xdr:rowOff>9525</xdr:rowOff>
        </xdr:from>
        <xdr:to>
          <xdr:col>7</xdr:col>
          <xdr:colOff>19050</xdr:colOff>
          <xdr:row>4</xdr:row>
          <xdr:rowOff>85725</xdr:rowOff>
        </xdr:to>
        <xdr:sp macro="" textlink="">
          <xdr:nvSpPr>
            <xdr:cNvPr id="62471" name="cmdSpecifyArg4" hidden="1">
              <a:extLst>
                <a:ext uri="{63B3BB69-23CF-44E3-9099-C40C66FF867C}">
                  <a14:compatExt spid="_x0000_s62471"/>
                </a:ext>
                <a:ext uri="{FF2B5EF4-FFF2-40B4-BE49-F238E27FC236}">
                  <a16:creationId xmlns:a16="http://schemas.microsoft.com/office/drawing/2014/main" id="{00000000-0008-0000-2200-000007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</xdr:colOff>
          <xdr:row>3</xdr:row>
          <xdr:rowOff>9525</xdr:rowOff>
        </xdr:from>
        <xdr:to>
          <xdr:col>8</xdr:col>
          <xdr:colOff>19050</xdr:colOff>
          <xdr:row>4</xdr:row>
          <xdr:rowOff>85725</xdr:rowOff>
        </xdr:to>
        <xdr:sp macro="" textlink="">
          <xdr:nvSpPr>
            <xdr:cNvPr id="62472" name="cmdSpecifyArg5" hidden="1">
              <a:extLst>
                <a:ext uri="{63B3BB69-23CF-44E3-9099-C40C66FF867C}">
                  <a14:compatExt spid="_x0000_s62472"/>
                </a:ext>
                <a:ext uri="{FF2B5EF4-FFF2-40B4-BE49-F238E27FC236}">
                  <a16:creationId xmlns:a16="http://schemas.microsoft.com/office/drawing/2014/main" id="{00000000-0008-0000-2200-000008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9525</xdr:colOff>
          <xdr:row>3</xdr:row>
          <xdr:rowOff>9525</xdr:rowOff>
        </xdr:from>
        <xdr:to>
          <xdr:col>9</xdr:col>
          <xdr:colOff>19050</xdr:colOff>
          <xdr:row>4</xdr:row>
          <xdr:rowOff>85725</xdr:rowOff>
        </xdr:to>
        <xdr:sp macro="" textlink="">
          <xdr:nvSpPr>
            <xdr:cNvPr id="62473" name="cmdSpecifyArg6" hidden="1">
              <a:extLst>
                <a:ext uri="{63B3BB69-23CF-44E3-9099-C40C66FF867C}">
                  <a14:compatExt spid="_x0000_s62473"/>
                </a:ext>
                <a:ext uri="{FF2B5EF4-FFF2-40B4-BE49-F238E27FC236}">
                  <a16:creationId xmlns:a16="http://schemas.microsoft.com/office/drawing/2014/main" id="{00000000-0008-0000-2200-000009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28575</xdr:colOff>
          <xdr:row>3</xdr:row>
          <xdr:rowOff>9525</xdr:rowOff>
        </xdr:from>
        <xdr:to>
          <xdr:col>10</xdr:col>
          <xdr:colOff>9525</xdr:colOff>
          <xdr:row>4</xdr:row>
          <xdr:rowOff>85725</xdr:rowOff>
        </xdr:to>
        <xdr:sp macro="" textlink="">
          <xdr:nvSpPr>
            <xdr:cNvPr id="62474" name="cmdSpecifyIEOptcode" hidden="1">
              <a:extLst>
                <a:ext uri="{63B3BB69-23CF-44E3-9099-C40C66FF867C}">
                  <a14:compatExt spid="_x0000_s62474"/>
                </a:ext>
                <a:ext uri="{FF2B5EF4-FFF2-40B4-BE49-F238E27FC236}">
                  <a16:creationId xmlns:a16="http://schemas.microsoft.com/office/drawing/2014/main" id="{00000000-0008-0000-2200-00000A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4</xdr:row>
          <xdr:rowOff>19050</xdr:rowOff>
        </xdr:from>
        <xdr:to>
          <xdr:col>0</xdr:col>
          <xdr:colOff>666750</xdr:colOff>
          <xdr:row>6</xdr:row>
          <xdr:rowOff>38100</xdr:rowOff>
        </xdr:to>
        <xdr:sp macro="" textlink="">
          <xdr:nvSpPr>
            <xdr:cNvPr id="62475" name="cmdPopulateDataYears" hidden="1">
              <a:extLst>
                <a:ext uri="{63B3BB69-23CF-44E3-9099-C40C66FF867C}">
                  <a14:compatExt spid="_x0000_s62475"/>
                </a:ext>
                <a:ext uri="{FF2B5EF4-FFF2-40B4-BE49-F238E27FC236}">
                  <a16:creationId xmlns:a16="http://schemas.microsoft.com/office/drawing/2014/main" id="{00000000-0008-0000-2200-00000B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Models/SATIMGE/SATIM/DataSpreadsheets/TCH_IND/TCH_IND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Joseph%20Masenda\Thinkpad%20machine\Documents\ESRG\ESRG%20Tasks\IMAGINE\TCH_IND_ALM_jm.xlsx" TargetMode="External"/><Relationship Id="rId1" Type="http://schemas.openxmlformats.org/officeDocument/2006/relationships/externalLinkPath" Target="/Users/Joseph%20Masenda/Thinkpad%20machine/Documents/ESRG/ESRG%20Tasks/IMAGINE/TCH_IND_ALM_j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ex"/>
      <sheetName val="ChangeLog"/>
      <sheetName val="NameConv"/>
      <sheetName val="Industry desription"/>
      <sheetName val="SIC codes"/>
      <sheetName val="REGIONS"/>
      <sheetName val="Detailed GDP STATSSA"/>
      <sheetName val="GDP STATSSA"/>
      <sheetName val="Output compiled"/>
      <sheetName val="IND GDP statssa 2"/>
      <sheetName val="Ind output Mark"/>
      <sheetName val="Ind mining output STATSSA"/>
      <sheetName val="Ind Man output STATSSA"/>
      <sheetName val="supply and use tables"/>
      <sheetName val="DOE 2006 native units"/>
      <sheetName val="2006-2009"/>
      <sheetName val="Industry VA"/>
      <sheetName val="Sources"/>
      <sheetName val="1992-2006 industry"/>
      <sheetName val="DoE2013 Industry EB"/>
      <sheetName val="digest "/>
      <sheetName val="DMR1"/>
      <sheetName val="mining general info"/>
      <sheetName val="I&amp;S - prod"/>
      <sheetName val="I&amp;S - prod 2"/>
      <sheetName val="I&amp;S - prod 3"/>
      <sheetName val="End uses"/>
      <sheetName val="EIA end use"/>
      <sheetName val="Aluminium"/>
      <sheetName val="Eskom sales data"/>
      <sheetName val="Eskom Annual YB"/>
      <sheetName val="eskom yb sector sales"/>
      <sheetName val="NERSA Elec"/>
      <sheetName val="REPORT TABLES"/>
      <sheetName val="Tech Efficiencies"/>
      <sheetName val="Coal prices"/>
      <sheetName val="Electricity prices"/>
      <sheetName val="ELEC CALCS ADRIAN IGNORE"/>
      <sheetName val="FA-Items"/>
      <sheetName val="FA-TSData"/>
      <sheetName val="FA-TIDData"/>
      <sheetName val="FerroAlloys"/>
      <sheetName val="Aluminium - Items"/>
      <sheetName val="Aluminium - TIDData"/>
      <sheetName val="Aluminium - TSData"/>
      <sheetName val="Aluminium Data"/>
      <sheetName val="NMM-Items"/>
      <sheetName val="NMM-TSData"/>
      <sheetName val="NMM-TIDData"/>
      <sheetName val="NMM data"/>
      <sheetName val="Coking coal"/>
      <sheetName val="COGEN"/>
      <sheetName val="Payback from EIA"/>
      <sheetName val="SasolGasSales"/>
      <sheetName val="2012 SATIM EB"/>
      <sheetName val="2017 SATIM EB"/>
      <sheetName val="IND old - 2006BY"/>
      <sheetName val="IND"/>
      <sheetName val="IND2017"/>
      <sheetName val="PAMS central control panel"/>
      <sheetName val="ITEMS_Tech"/>
      <sheetName val="ITEMS_Comm"/>
      <sheetName val="TS DTech"/>
      <sheetName val="TS DMARK"/>
      <sheetName val="TID DTech"/>
      <sheetName val="TS BYDem"/>
      <sheetName val="TS COMFRN"/>
      <sheetName val="TS COMFR"/>
      <sheetName val="TS COMFRN_10"/>
      <sheetName val="CommData"/>
      <sheetName val="TS COMFR_10"/>
      <sheetName val="TS ETech"/>
      <sheetName val="TID ETech"/>
      <sheetName val="TS GTech"/>
      <sheetName val="TID GTech"/>
      <sheetName val="TS FTech"/>
      <sheetName val="TID FTech"/>
      <sheetName val="TS Emiss"/>
      <sheetName val="TID Emiss"/>
      <sheetName val="AFA"/>
      <sheetName val="Sc1 Standards"/>
      <sheetName val="Sc2 Audits"/>
      <sheetName val="Sc3 En Man"/>
      <sheetName val="Sc4 Accreditation"/>
      <sheetName val="Sc5 Education"/>
      <sheetName val="Sc6 NEEA"/>
      <sheetName val="Sc7 Finance"/>
      <sheetName val="TCH_IND"/>
      <sheetName val="About"/>
      <sheetName val="IS-Items"/>
      <sheetName val="IS-TSData"/>
      <sheetName val="IS-TIDData"/>
      <sheetName val="Iron &amp; Steel"/>
    </sheetNames>
    <definedNames>
      <definedName name="pamsindex" refersTo="='PAMS central control panel'!$C$2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>
        <row r="31">
          <cell r="P31"/>
          <cell r="R31">
            <v>4.5246489747494749</v>
          </cell>
          <cell r="S31">
            <v>32.653642004977343</v>
          </cell>
          <cell r="T31"/>
        </row>
        <row r="32">
          <cell r="P32"/>
          <cell r="R32"/>
          <cell r="S32"/>
          <cell r="T32"/>
        </row>
        <row r="33">
          <cell r="P33"/>
          <cell r="R33"/>
          <cell r="S33"/>
          <cell r="T33"/>
        </row>
        <row r="34">
          <cell r="P34"/>
          <cell r="R34"/>
          <cell r="S34"/>
          <cell r="T34"/>
        </row>
        <row r="35">
          <cell r="P35"/>
          <cell r="R35"/>
          <cell r="S35"/>
          <cell r="T35"/>
        </row>
        <row r="36">
          <cell r="P36"/>
          <cell r="R36"/>
          <cell r="S36">
            <v>6.6440578329725435</v>
          </cell>
          <cell r="T36"/>
        </row>
        <row r="37">
          <cell r="P37"/>
          <cell r="R37"/>
          <cell r="S37"/>
          <cell r="T37"/>
        </row>
        <row r="38">
          <cell r="P38"/>
          <cell r="R38"/>
          <cell r="S38"/>
          <cell r="T38"/>
        </row>
        <row r="39">
          <cell r="P39"/>
          <cell r="R39"/>
          <cell r="S39"/>
          <cell r="T39"/>
        </row>
        <row r="40">
          <cell r="P40"/>
          <cell r="R40"/>
          <cell r="S40"/>
          <cell r="T40"/>
        </row>
      </sheetData>
      <sheetData sheetId="56"/>
      <sheetData sheetId="57"/>
      <sheetData sheetId="58"/>
      <sheetData sheetId="59">
        <row r="2">
          <cell r="C2" t="b">
            <v>0</v>
          </cell>
        </row>
        <row r="47">
          <cell r="P47">
            <v>0.04</v>
          </cell>
        </row>
      </sheetData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roduction and Capacities"/>
      <sheetName val="Emissions"/>
      <sheetName val="Energy intensity"/>
      <sheetName val="DOE project"/>
      <sheetName val="AL roadmap "/>
      <sheetName val="ANSv2-692-Home"/>
      <sheetName val="Index"/>
      <sheetName val="RES"/>
      <sheetName val="EB_Exist"/>
      <sheetName val="Aluminium Data"/>
      <sheetName val="ANSv2-692-REGIONS"/>
      <sheetName val="ANSv2-692-Commodities"/>
      <sheetName val="Commodities_BASE"/>
      <sheetName val="ANSv2-692-Processes"/>
      <sheetName val="ANSv2-692-Constraints"/>
      <sheetName val="ANSv2-692-CommData"/>
      <sheetName val="CommData_BASE"/>
      <sheetName val="Processes_BASE"/>
      <sheetName val="ANSv2-692-ProcData"/>
      <sheetName val="ProcData_ALM"/>
      <sheetName val="ProcData_ALM - PAMS"/>
      <sheetName val="ANSv2-692-ConstrData"/>
      <sheetName val="ANSv2-692-ITEMS"/>
      <sheetName val="ANSv2-692-TS DATA"/>
      <sheetName val="ANSv2-692-TID DATA"/>
      <sheetName val="ANSv2-692-TS&amp;TID DATA"/>
      <sheetName val="ANSv2-692-TS TRADE"/>
      <sheetName val="ANSv2-692-TID TRADE"/>
      <sheetName val="ANSv2-692-TS&amp;TID TRADE"/>
    </sheetNames>
    <sheetDataSet>
      <sheetData sheetId="0"/>
      <sheetData sheetId="1"/>
      <sheetData sheetId="2"/>
      <sheetData sheetId="3"/>
      <sheetData sheetId="4"/>
      <sheetData sheetId="5"/>
      <sheetData sheetId="6">
        <row r="6">
          <cell r="E6">
            <v>1</v>
          </cell>
        </row>
        <row r="7">
          <cell r="D7" t="str">
            <v>Commodities_BASE</v>
          </cell>
          <cell r="E7">
            <v>1</v>
          </cell>
        </row>
        <row r="8">
          <cell r="D8" t="str">
            <v>CommData_BASE</v>
          </cell>
          <cell r="E8">
            <v>1</v>
          </cell>
        </row>
        <row r="9">
          <cell r="D9" t="str">
            <v>Processes_BASE</v>
          </cell>
          <cell r="E9">
            <v>1</v>
          </cell>
        </row>
        <row r="10">
          <cell r="D10" t="str">
            <v>ProcData_ALM - PAMS</v>
          </cell>
          <cell r="E10">
            <v>0</v>
          </cell>
        </row>
        <row r="11">
          <cell r="D11" t="str">
            <v>ProcData_ALM</v>
          </cell>
          <cell r="E11">
            <v>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Bruno Merven" id="{B1B3113A-9AEB-4223-A956-A0CFC873B37D}" userId="Bruno Merven" providerId="None"/>
  <person displayName="Tlotlo Motlhabi" id="{FFAA1128-46E9-4630-9019-FB18BECEF987}" userId="S::MTLTLO006@myuct.ac.za::0f21ca85-7b32-445b-a2bb-dca80c6d68c6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C5" dT="2020-11-16T01:04:37.93" personId="{FFAA1128-46E9-4630-9019-FB18BECEF987}" id="{E88FE079-B478-4407-94CD-DA593F2B7F90}">
    <text>By Gavin M. Mudd
Sustainability Reporting and the
Platinum Group Metals:A Global
Mining Industry Leader?</text>
  </threadedComment>
  <threadedComment ref="E16" dT="2020-11-16T01:25:18.42" personId="{FFAA1128-46E9-4630-9019-FB18BECEF987}" id="{EE5B7DE6-5DDF-43C2-AE46-F1DAD2057621}">
    <text>http://www.saimm.co.za/Journal/v111n02p127.pdf</text>
  </threadedComment>
  <threadedComment ref="E17" dT="2020-11-16T01:25:27.50" personId="{FFAA1128-46E9-4630-9019-FB18BECEF987}" id="{1BADCB60-4A53-4677-8804-80A0425E6F8A}">
    <text>http://www.saimm.co.za/Journal/v111n02p127.pdf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2" dT="2020-11-16T01:04:11.04" personId="{FFAA1128-46E9-4630-9019-FB18BECEF987}" id="{AA05C491-62CE-4DC7-B36B-B11B9F980D40}">
    <text>By Gavin M. Mudd
Sustainability Reporting and the
Platinum Group Metals:A Global
Mining Industry Leader?</text>
  </threadedComment>
  <threadedComment ref="J3" dT="2020-11-16T02:02:06.78" personId="{FFAA1128-46E9-4630-9019-FB18BECEF987}" id="{6B98113D-6081-4E48-AE75-F78FE6672444}">
    <text>http://www.saimm.co.za/Journal/v111n02p127.pdf</text>
  </threadedComment>
  <threadedComment ref="O3" dT="2020-11-16T06:41:32.50" personId="{FFAA1128-46E9-4630-9019-FB18BECEF987}" id="{AC92CB56-82DB-4B5D-B941-DF705CEAD5C7}">
    <text>assumed based on hypothesis</text>
  </threadedComment>
  <threadedComment ref="O3" dT="2020-11-19T12:02:14.98" personId="{FFAA1128-46E9-4630-9019-FB18BECEF987}" id="{0BCD02F3-DFE9-4736-94D4-486DF8B6BB63}" parentId="{AC92CB56-82DB-4B5D-B941-DF705CEAD5C7}">
    <text>actual 2018 production volume</text>
  </threadedComment>
  <threadedComment ref="N5" dT="2020-11-16T06:42:56.77" personId="{FFAA1128-46E9-4630-9019-FB18BECEF987}" id="{18658949-528A-4F4B-9C56-C58A62EC879B}">
    <text>PGE content per processsed material used along with tPGMs basis, to obtain material broken or milled etc as per energy intensity of operations.</text>
  </threadedComment>
  <threadedComment ref="AD5" dT="2020-11-16T03:05:23.45" personId="{FFAA1128-46E9-4630-9019-FB18BECEF987}" id="{6145DA79-D051-4047-9F27-84C2E951044F}">
    <text>ore to waste ratio (5:10)</text>
  </threadedComment>
  <threadedComment ref="AD5" dT="2020-11-16T03:06:25.94" personId="{FFAA1128-46E9-4630-9019-FB18BECEF987}" id="{96B5D129-E0A2-40D2-942D-9EC7C65095C0}" parentId="{6145DA79-D051-4047-9F27-84C2E951044F}">
    <text>PGE Production in Southern Africa, Part II:
Environmental Aspects</text>
  </threadedComment>
  <threadedComment ref="A10" dT="2020-11-16T01:04:37.93" personId="{FFAA1128-46E9-4630-9019-FB18BECEF987}" id="{0A59BDF7-4D46-46BA-90DA-BB7CD1EFD7CF}">
    <text>By Gavin M. Mudd
Sustainability Reporting and the
Platinum Group Metals:A Global
Mining Industry Leader?</text>
  </threadedComment>
  <threadedComment ref="AE12" dT="2020-12-07T08:25:14.64" personId="{FFAA1128-46E9-4630-9019-FB18BECEF987}" id="{9764F060-7DB0-493B-A7E3-3A98617B94B8}">
    <text>only add data when doing overall emissions comparison, plus use 2019 grid.</text>
  </threadedComment>
  <threadedComment ref="I13" dT="2020-12-07T08:16:41.49" personId="{FFAA1128-46E9-4630-9019-FB18BECEF987}" id="{E523209E-A9A9-4704-835D-C67239D35F48}">
    <text>assume liquid fuels only when modeling because difficult to model this way.</text>
  </threadedComment>
  <threadedComment ref="C21" dT="2020-11-16T01:25:18.42" personId="{FFAA1128-46E9-4630-9019-FB18BECEF987}" id="{813F39A1-7752-4FE7-AB6E-7D2209CAB369}">
    <text>http://www.saimm.co.za/Journal/v111n02p127.pdf</text>
  </threadedComment>
  <threadedComment ref="C22" dT="2020-11-16T01:25:27.50" personId="{FFAA1128-46E9-4630-9019-FB18BECEF987}" id="{A1B953A0-D992-4761-B95D-70CFA376128C}">
    <text>http://www.saimm.co.za/Journal/v111n02p127.pdf</text>
  </threadedComment>
  <threadedComment ref="A25" dT="2020-11-16T01:57:08.67" personId="{FFAA1128-46E9-4630-9019-FB18BECEF987}" id="{7D5A5BA3-FB39-4533-875B-585051EE6749}">
    <text>By Gavin M. Mudd
Sustainability Reporting and the
Platinum Group Metals:A Global
Mining Industry Leader?</text>
  </threadedComment>
  <threadedComment ref="A32" dT="2020-11-16T03:04:55.69" personId="{FFAA1128-46E9-4630-9019-FB18BECEF987}" id="{E2D5D6DA-DA59-4861-B548-3D0F447C0832}">
    <text>PGE Production in Southern Africa, Part II:
Environmental Aspects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I4" dT="2021-08-03T12:35:55.17" personId="{B1B3113A-9AEB-4223-A956-A0CFC873B37D}" id="{AA4B25D4-7DBE-41D2-9B54-DAD2ADA2BB92}">
    <text>going with Gross. Need to add beneficiation as a separate activity/technology in the model.</text>
  </threadedComment>
</ThreadedComment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6" Type="http://schemas.openxmlformats.org/officeDocument/2006/relationships/control" Target="../activeX/activeX2.xml"/><Relationship Id="rId5" Type="http://schemas.openxmlformats.org/officeDocument/2006/relationships/image" Target="../media/image1.emf"/><Relationship Id="rId4" Type="http://schemas.openxmlformats.org/officeDocument/2006/relationships/control" Target="../activeX/activeX1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5.xml"/><Relationship Id="rId3" Type="http://schemas.openxmlformats.org/officeDocument/2006/relationships/vmlDrawing" Target="../drawings/vmlDrawing2.vml"/><Relationship Id="rId7" Type="http://schemas.openxmlformats.org/officeDocument/2006/relationships/image" Target="../media/image4.emf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Relationship Id="rId6" Type="http://schemas.openxmlformats.org/officeDocument/2006/relationships/control" Target="../activeX/activeX4.xml"/><Relationship Id="rId5" Type="http://schemas.openxmlformats.org/officeDocument/2006/relationships/image" Target="../media/image3.emf"/><Relationship Id="rId4" Type="http://schemas.openxmlformats.org/officeDocument/2006/relationships/control" Target="../activeX/activeX3.xml"/><Relationship Id="rId9" Type="http://schemas.openxmlformats.org/officeDocument/2006/relationships/image" Target="../media/image5.emf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8.xml"/><Relationship Id="rId3" Type="http://schemas.openxmlformats.org/officeDocument/2006/relationships/vmlDrawing" Target="../drawings/vmlDrawing3.vml"/><Relationship Id="rId7" Type="http://schemas.openxmlformats.org/officeDocument/2006/relationships/image" Target="../media/image7.emf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Relationship Id="rId6" Type="http://schemas.openxmlformats.org/officeDocument/2006/relationships/control" Target="../activeX/activeX7.xml"/><Relationship Id="rId5" Type="http://schemas.openxmlformats.org/officeDocument/2006/relationships/image" Target="../media/image6.emf"/><Relationship Id="rId4" Type="http://schemas.openxmlformats.org/officeDocument/2006/relationships/control" Target="../activeX/activeX6.xml"/><Relationship Id="rId9" Type="http://schemas.openxmlformats.org/officeDocument/2006/relationships/image" Target="../media/image8.emf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11.xml"/><Relationship Id="rId3" Type="http://schemas.openxmlformats.org/officeDocument/2006/relationships/vmlDrawing" Target="../drawings/vmlDrawing4.vml"/><Relationship Id="rId7" Type="http://schemas.openxmlformats.org/officeDocument/2006/relationships/image" Target="../media/image10.emf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Relationship Id="rId6" Type="http://schemas.openxmlformats.org/officeDocument/2006/relationships/control" Target="../activeX/activeX10.xml"/><Relationship Id="rId5" Type="http://schemas.openxmlformats.org/officeDocument/2006/relationships/image" Target="../media/image9.emf"/><Relationship Id="rId4" Type="http://schemas.openxmlformats.org/officeDocument/2006/relationships/control" Target="../activeX/activeX9.xml"/><Relationship Id="rId9" Type="http://schemas.openxmlformats.org/officeDocument/2006/relationships/image" Target="../media/image11.emf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14.xml"/><Relationship Id="rId3" Type="http://schemas.openxmlformats.org/officeDocument/2006/relationships/vmlDrawing" Target="../drawings/vmlDrawing5.vml"/><Relationship Id="rId7" Type="http://schemas.openxmlformats.org/officeDocument/2006/relationships/image" Target="../media/image13.emf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Relationship Id="rId6" Type="http://schemas.openxmlformats.org/officeDocument/2006/relationships/control" Target="../activeX/activeX13.xml"/><Relationship Id="rId5" Type="http://schemas.openxmlformats.org/officeDocument/2006/relationships/image" Target="../media/image12.emf"/><Relationship Id="rId4" Type="http://schemas.openxmlformats.org/officeDocument/2006/relationships/control" Target="../activeX/activeX12.xml"/><Relationship Id="rId9" Type="http://schemas.openxmlformats.org/officeDocument/2006/relationships/image" Target="../media/image14.emf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17.xml"/><Relationship Id="rId13" Type="http://schemas.openxmlformats.org/officeDocument/2006/relationships/image" Target="../media/image19.emf"/><Relationship Id="rId3" Type="http://schemas.openxmlformats.org/officeDocument/2006/relationships/vmlDrawing" Target="../drawings/vmlDrawing6.vml"/><Relationship Id="rId7" Type="http://schemas.openxmlformats.org/officeDocument/2006/relationships/image" Target="../media/image16.emf"/><Relationship Id="rId12" Type="http://schemas.openxmlformats.org/officeDocument/2006/relationships/control" Target="../activeX/activeX19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Relationship Id="rId6" Type="http://schemas.openxmlformats.org/officeDocument/2006/relationships/control" Target="../activeX/activeX16.xml"/><Relationship Id="rId11" Type="http://schemas.openxmlformats.org/officeDocument/2006/relationships/image" Target="../media/image18.emf"/><Relationship Id="rId5" Type="http://schemas.openxmlformats.org/officeDocument/2006/relationships/image" Target="../media/image15.emf"/><Relationship Id="rId10" Type="http://schemas.openxmlformats.org/officeDocument/2006/relationships/control" Target="../activeX/activeX18.xml"/><Relationship Id="rId4" Type="http://schemas.openxmlformats.org/officeDocument/2006/relationships/control" Target="../activeX/activeX15.xml"/><Relationship Id="rId9" Type="http://schemas.openxmlformats.org/officeDocument/2006/relationships/image" Target="../media/image17.emf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22.xml"/><Relationship Id="rId3" Type="http://schemas.openxmlformats.org/officeDocument/2006/relationships/vmlDrawing" Target="../drawings/vmlDrawing7.vml"/><Relationship Id="rId7" Type="http://schemas.openxmlformats.org/officeDocument/2006/relationships/image" Target="../media/image21.emf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Relationship Id="rId6" Type="http://schemas.openxmlformats.org/officeDocument/2006/relationships/control" Target="../activeX/activeX21.xml"/><Relationship Id="rId5" Type="http://schemas.openxmlformats.org/officeDocument/2006/relationships/image" Target="../media/image20.emf"/><Relationship Id="rId4" Type="http://schemas.openxmlformats.org/officeDocument/2006/relationships/control" Target="../activeX/activeX20.xml"/><Relationship Id="rId9" Type="http://schemas.openxmlformats.org/officeDocument/2006/relationships/image" Target="../media/image22.emf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25.xml"/><Relationship Id="rId13" Type="http://schemas.openxmlformats.org/officeDocument/2006/relationships/image" Target="../media/image27.emf"/><Relationship Id="rId3" Type="http://schemas.openxmlformats.org/officeDocument/2006/relationships/vmlDrawing" Target="../drawings/vmlDrawing8.vml"/><Relationship Id="rId7" Type="http://schemas.openxmlformats.org/officeDocument/2006/relationships/image" Target="../media/image24.emf"/><Relationship Id="rId12" Type="http://schemas.openxmlformats.org/officeDocument/2006/relationships/control" Target="../activeX/activeX27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Relationship Id="rId6" Type="http://schemas.openxmlformats.org/officeDocument/2006/relationships/control" Target="../activeX/activeX24.xml"/><Relationship Id="rId11" Type="http://schemas.openxmlformats.org/officeDocument/2006/relationships/image" Target="../media/image26.emf"/><Relationship Id="rId5" Type="http://schemas.openxmlformats.org/officeDocument/2006/relationships/image" Target="../media/image23.emf"/><Relationship Id="rId10" Type="http://schemas.openxmlformats.org/officeDocument/2006/relationships/control" Target="../activeX/activeX26.xml"/><Relationship Id="rId4" Type="http://schemas.openxmlformats.org/officeDocument/2006/relationships/control" Target="../activeX/activeX23.xml"/><Relationship Id="rId9" Type="http://schemas.openxmlformats.org/officeDocument/2006/relationships/image" Target="../media/image25.emf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30.xml"/><Relationship Id="rId13" Type="http://schemas.openxmlformats.org/officeDocument/2006/relationships/image" Target="../media/image32.emf"/><Relationship Id="rId18" Type="http://schemas.openxmlformats.org/officeDocument/2006/relationships/comments" Target="../comments1.xml"/><Relationship Id="rId3" Type="http://schemas.openxmlformats.org/officeDocument/2006/relationships/vmlDrawing" Target="../drawings/vmlDrawing9.vml"/><Relationship Id="rId7" Type="http://schemas.openxmlformats.org/officeDocument/2006/relationships/image" Target="../media/image29.emf"/><Relationship Id="rId12" Type="http://schemas.openxmlformats.org/officeDocument/2006/relationships/control" Target="../activeX/activeX32.xml"/><Relationship Id="rId17" Type="http://schemas.openxmlformats.org/officeDocument/2006/relationships/image" Target="../media/image34.emf"/><Relationship Id="rId2" Type="http://schemas.openxmlformats.org/officeDocument/2006/relationships/drawing" Target="../drawings/drawing9.xml"/><Relationship Id="rId16" Type="http://schemas.openxmlformats.org/officeDocument/2006/relationships/control" Target="../activeX/activeX34.xml"/><Relationship Id="rId1" Type="http://schemas.openxmlformats.org/officeDocument/2006/relationships/printerSettings" Target="../printerSettings/printerSettings11.bin"/><Relationship Id="rId6" Type="http://schemas.openxmlformats.org/officeDocument/2006/relationships/control" Target="../activeX/activeX29.xml"/><Relationship Id="rId11" Type="http://schemas.openxmlformats.org/officeDocument/2006/relationships/image" Target="../media/image31.emf"/><Relationship Id="rId5" Type="http://schemas.openxmlformats.org/officeDocument/2006/relationships/image" Target="../media/image28.emf"/><Relationship Id="rId15" Type="http://schemas.openxmlformats.org/officeDocument/2006/relationships/image" Target="../media/image33.emf"/><Relationship Id="rId10" Type="http://schemas.openxmlformats.org/officeDocument/2006/relationships/control" Target="../activeX/activeX31.xml"/><Relationship Id="rId4" Type="http://schemas.openxmlformats.org/officeDocument/2006/relationships/control" Target="../activeX/activeX28.xml"/><Relationship Id="rId9" Type="http://schemas.openxmlformats.org/officeDocument/2006/relationships/image" Target="../media/image30.emf"/><Relationship Id="rId14" Type="http://schemas.openxmlformats.org/officeDocument/2006/relationships/control" Target="../activeX/activeX33.xml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37.xml"/><Relationship Id="rId13" Type="http://schemas.openxmlformats.org/officeDocument/2006/relationships/image" Target="../media/image39.emf"/><Relationship Id="rId18" Type="http://schemas.openxmlformats.org/officeDocument/2006/relationships/comments" Target="../comments2.xml"/><Relationship Id="rId3" Type="http://schemas.openxmlformats.org/officeDocument/2006/relationships/vmlDrawing" Target="../drawings/vmlDrawing10.vml"/><Relationship Id="rId7" Type="http://schemas.openxmlformats.org/officeDocument/2006/relationships/image" Target="../media/image36.emf"/><Relationship Id="rId12" Type="http://schemas.openxmlformats.org/officeDocument/2006/relationships/control" Target="../activeX/activeX39.xml"/><Relationship Id="rId17" Type="http://schemas.openxmlformats.org/officeDocument/2006/relationships/image" Target="../media/image41.emf"/><Relationship Id="rId2" Type="http://schemas.openxmlformats.org/officeDocument/2006/relationships/drawing" Target="../drawings/drawing10.xml"/><Relationship Id="rId16" Type="http://schemas.openxmlformats.org/officeDocument/2006/relationships/control" Target="../activeX/activeX41.xml"/><Relationship Id="rId1" Type="http://schemas.openxmlformats.org/officeDocument/2006/relationships/printerSettings" Target="../printerSettings/printerSettings12.bin"/><Relationship Id="rId6" Type="http://schemas.openxmlformats.org/officeDocument/2006/relationships/control" Target="../activeX/activeX36.xml"/><Relationship Id="rId11" Type="http://schemas.openxmlformats.org/officeDocument/2006/relationships/image" Target="../media/image38.emf"/><Relationship Id="rId5" Type="http://schemas.openxmlformats.org/officeDocument/2006/relationships/image" Target="../media/image35.emf"/><Relationship Id="rId15" Type="http://schemas.openxmlformats.org/officeDocument/2006/relationships/image" Target="../media/image40.emf"/><Relationship Id="rId10" Type="http://schemas.openxmlformats.org/officeDocument/2006/relationships/control" Target="../activeX/activeX38.xml"/><Relationship Id="rId4" Type="http://schemas.openxmlformats.org/officeDocument/2006/relationships/control" Target="../activeX/activeX35.xml"/><Relationship Id="rId9" Type="http://schemas.openxmlformats.org/officeDocument/2006/relationships/image" Target="../media/image37.emf"/><Relationship Id="rId14" Type="http://schemas.openxmlformats.org/officeDocument/2006/relationships/control" Target="../activeX/activeX40.xm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44.xml"/><Relationship Id="rId13" Type="http://schemas.openxmlformats.org/officeDocument/2006/relationships/image" Target="../media/image46.emf"/><Relationship Id="rId18" Type="http://schemas.openxmlformats.org/officeDocument/2006/relationships/comments" Target="../comments3.xml"/><Relationship Id="rId3" Type="http://schemas.openxmlformats.org/officeDocument/2006/relationships/vmlDrawing" Target="../drawings/vmlDrawing11.vml"/><Relationship Id="rId7" Type="http://schemas.openxmlformats.org/officeDocument/2006/relationships/image" Target="../media/image43.emf"/><Relationship Id="rId12" Type="http://schemas.openxmlformats.org/officeDocument/2006/relationships/control" Target="../activeX/activeX46.xml"/><Relationship Id="rId17" Type="http://schemas.openxmlformats.org/officeDocument/2006/relationships/image" Target="../media/image48.emf"/><Relationship Id="rId2" Type="http://schemas.openxmlformats.org/officeDocument/2006/relationships/drawing" Target="../drawings/drawing11.xml"/><Relationship Id="rId16" Type="http://schemas.openxmlformats.org/officeDocument/2006/relationships/control" Target="../activeX/activeX48.xml"/><Relationship Id="rId1" Type="http://schemas.openxmlformats.org/officeDocument/2006/relationships/printerSettings" Target="../printerSettings/printerSettings13.bin"/><Relationship Id="rId6" Type="http://schemas.openxmlformats.org/officeDocument/2006/relationships/control" Target="../activeX/activeX43.xml"/><Relationship Id="rId11" Type="http://schemas.openxmlformats.org/officeDocument/2006/relationships/image" Target="../media/image45.emf"/><Relationship Id="rId5" Type="http://schemas.openxmlformats.org/officeDocument/2006/relationships/image" Target="../media/image42.emf"/><Relationship Id="rId15" Type="http://schemas.openxmlformats.org/officeDocument/2006/relationships/image" Target="../media/image47.emf"/><Relationship Id="rId10" Type="http://schemas.openxmlformats.org/officeDocument/2006/relationships/control" Target="../activeX/activeX45.xml"/><Relationship Id="rId4" Type="http://schemas.openxmlformats.org/officeDocument/2006/relationships/control" Target="../activeX/activeX42.xml"/><Relationship Id="rId9" Type="http://schemas.openxmlformats.org/officeDocument/2006/relationships/image" Target="../media/image44.emf"/><Relationship Id="rId14" Type="http://schemas.openxmlformats.org/officeDocument/2006/relationships/control" Target="../activeX/activeX47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12.vml"/><Relationship Id="rId1" Type="http://schemas.openxmlformats.org/officeDocument/2006/relationships/drawing" Target="../drawings/drawing13.xml"/><Relationship Id="rId4" Type="http://schemas.microsoft.com/office/2017/10/relationships/threadedComment" Target="../threadedComments/threadedComment1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7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hyperlink" Target="http://s1.q4cdn.com/169714374/files/doc_presentations/2020/01/Platinum-Group-Corporate-Presentation-January-7-2020-FINAL.pdf" TargetMode="Externa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8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9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0.bin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6.xml"/></Relationships>
</file>

<file path=xl/worksheets/_rels/sheet28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51.xml"/><Relationship Id="rId13" Type="http://schemas.openxmlformats.org/officeDocument/2006/relationships/image" Target="../media/image67.emf"/><Relationship Id="rId18" Type="http://schemas.openxmlformats.org/officeDocument/2006/relationships/control" Target="../activeX/activeX56.xml"/><Relationship Id="rId3" Type="http://schemas.openxmlformats.org/officeDocument/2006/relationships/vmlDrawing" Target="../drawings/vmlDrawing15.vml"/><Relationship Id="rId7" Type="http://schemas.openxmlformats.org/officeDocument/2006/relationships/image" Target="../media/image64.emf"/><Relationship Id="rId12" Type="http://schemas.openxmlformats.org/officeDocument/2006/relationships/control" Target="../activeX/activeX53.xml"/><Relationship Id="rId17" Type="http://schemas.openxmlformats.org/officeDocument/2006/relationships/image" Target="../media/image69.emf"/><Relationship Id="rId2" Type="http://schemas.openxmlformats.org/officeDocument/2006/relationships/drawing" Target="../drawings/drawing20.xml"/><Relationship Id="rId16" Type="http://schemas.openxmlformats.org/officeDocument/2006/relationships/control" Target="../activeX/activeX55.xml"/><Relationship Id="rId20" Type="http://schemas.openxmlformats.org/officeDocument/2006/relationships/comments" Target="../comments7.xml"/><Relationship Id="rId1" Type="http://schemas.openxmlformats.org/officeDocument/2006/relationships/printerSettings" Target="../printerSettings/printerSettings21.bin"/><Relationship Id="rId6" Type="http://schemas.openxmlformats.org/officeDocument/2006/relationships/control" Target="../activeX/activeX50.xml"/><Relationship Id="rId11" Type="http://schemas.openxmlformats.org/officeDocument/2006/relationships/image" Target="../media/image66.emf"/><Relationship Id="rId5" Type="http://schemas.openxmlformats.org/officeDocument/2006/relationships/image" Target="../media/image63.emf"/><Relationship Id="rId15" Type="http://schemas.openxmlformats.org/officeDocument/2006/relationships/image" Target="../media/image68.emf"/><Relationship Id="rId10" Type="http://schemas.openxmlformats.org/officeDocument/2006/relationships/control" Target="../activeX/activeX52.xml"/><Relationship Id="rId19" Type="http://schemas.openxmlformats.org/officeDocument/2006/relationships/image" Target="../media/image70.emf"/><Relationship Id="rId4" Type="http://schemas.openxmlformats.org/officeDocument/2006/relationships/control" Target="../activeX/activeX49.xml"/><Relationship Id="rId9" Type="http://schemas.openxmlformats.org/officeDocument/2006/relationships/image" Target="../media/image65.emf"/><Relationship Id="rId14" Type="http://schemas.openxmlformats.org/officeDocument/2006/relationships/control" Target="../activeX/activeX54.xml"/></Relationships>
</file>

<file path=xl/worksheets/_rels/sheet29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59.xml"/><Relationship Id="rId3" Type="http://schemas.openxmlformats.org/officeDocument/2006/relationships/vmlDrawing" Target="../drawings/vmlDrawing16.vml"/><Relationship Id="rId7" Type="http://schemas.openxmlformats.org/officeDocument/2006/relationships/image" Target="../media/image72.emf"/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2.bin"/><Relationship Id="rId6" Type="http://schemas.openxmlformats.org/officeDocument/2006/relationships/control" Target="../activeX/activeX58.xml"/><Relationship Id="rId11" Type="http://schemas.openxmlformats.org/officeDocument/2006/relationships/image" Target="../media/image74.emf"/><Relationship Id="rId5" Type="http://schemas.openxmlformats.org/officeDocument/2006/relationships/image" Target="../media/image71.emf"/><Relationship Id="rId10" Type="http://schemas.openxmlformats.org/officeDocument/2006/relationships/control" Target="../activeX/activeX60.xml"/><Relationship Id="rId4" Type="http://schemas.openxmlformats.org/officeDocument/2006/relationships/control" Target="../activeX/activeX57.xml"/><Relationship Id="rId9" Type="http://schemas.openxmlformats.org/officeDocument/2006/relationships/image" Target="../media/image73.emf"/></Relationships>
</file>

<file path=xl/worksheets/_rels/sheet30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63.xml"/><Relationship Id="rId13" Type="http://schemas.openxmlformats.org/officeDocument/2006/relationships/image" Target="../media/image79.emf"/><Relationship Id="rId18" Type="http://schemas.openxmlformats.org/officeDocument/2006/relationships/control" Target="../activeX/activeX68.xml"/><Relationship Id="rId3" Type="http://schemas.openxmlformats.org/officeDocument/2006/relationships/vmlDrawing" Target="../drawings/vmlDrawing17.vml"/><Relationship Id="rId21" Type="http://schemas.openxmlformats.org/officeDocument/2006/relationships/image" Target="../media/image83.emf"/><Relationship Id="rId7" Type="http://schemas.openxmlformats.org/officeDocument/2006/relationships/image" Target="../media/image76.emf"/><Relationship Id="rId12" Type="http://schemas.openxmlformats.org/officeDocument/2006/relationships/control" Target="../activeX/activeX65.xml"/><Relationship Id="rId17" Type="http://schemas.openxmlformats.org/officeDocument/2006/relationships/image" Target="../media/image81.emf"/><Relationship Id="rId2" Type="http://schemas.openxmlformats.org/officeDocument/2006/relationships/drawing" Target="../drawings/drawing22.xml"/><Relationship Id="rId16" Type="http://schemas.openxmlformats.org/officeDocument/2006/relationships/control" Target="../activeX/activeX67.xml"/><Relationship Id="rId20" Type="http://schemas.openxmlformats.org/officeDocument/2006/relationships/control" Target="../activeX/activeX69.xml"/><Relationship Id="rId1" Type="http://schemas.openxmlformats.org/officeDocument/2006/relationships/printerSettings" Target="../printerSettings/printerSettings23.bin"/><Relationship Id="rId6" Type="http://schemas.openxmlformats.org/officeDocument/2006/relationships/control" Target="../activeX/activeX62.xml"/><Relationship Id="rId11" Type="http://schemas.openxmlformats.org/officeDocument/2006/relationships/image" Target="../media/image78.emf"/><Relationship Id="rId5" Type="http://schemas.openxmlformats.org/officeDocument/2006/relationships/image" Target="../media/image75.emf"/><Relationship Id="rId15" Type="http://schemas.openxmlformats.org/officeDocument/2006/relationships/image" Target="../media/image80.emf"/><Relationship Id="rId23" Type="http://schemas.openxmlformats.org/officeDocument/2006/relationships/image" Target="../media/image84.emf"/><Relationship Id="rId10" Type="http://schemas.openxmlformats.org/officeDocument/2006/relationships/control" Target="../activeX/activeX64.xml"/><Relationship Id="rId19" Type="http://schemas.openxmlformats.org/officeDocument/2006/relationships/image" Target="../media/image82.emf"/><Relationship Id="rId4" Type="http://schemas.openxmlformats.org/officeDocument/2006/relationships/control" Target="../activeX/activeX61.xml"/><Relationship Id="rId9" Type="http://schemas.openxmlformats.org/officeDocument/2006/relationships/image" Target="../media/image77.emf"/><Relationship Id="rId14" Type="http://schemas.openxmlformats.org/officeDocument/2006/relationships/control" Target="../activeX/activeX66.xml"/><Relationship Id="rId22" Type="http://schemas.openxmlformats.org/officeDocument/2006/relationships/control" Target="../activeX/activeX70.xml"/></Relationships>
</file>

<file path=xl/worksheets/_rels/sheet31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73.xml"/><Relationship Id="rId13" Type="http://schemas.openxmlformats.org/officeDocument/2006/relationships/image" Target="../media/image89.emf"/><Relationship Id="rId18" Type="http://schemas.openxmlformats.org/officeDocument/2006/relationships/control" Target="../activeX/activeX78.xml"/><Relationship Id="rId3" Type="http://schemas.openxmlformats.org/officeDocument/2006/relationships/vmlDrawing" Target="../drawings/vmlDrawing18.vml"/><Relationship Id="rId7" Type="http://schemas.openxmlformats.org/officeDocument/2006/relationships/image" Target="../media/image86.emf"/><Relationship Id="rId12" Type="http://schemas.openxmlformats.org/officeDocument/2006/relationships/control" Target="../activeX/activeX75.xml"/><Relationship Id="rId17" Type="http://schemas.openxmlformats.org/officeDocument/2006/relationships/image" Target="../media/image91.emf"/><Relationship Id="rId2" Type="http://schemas.openxmlformats.org/officeDocument/2006/relationships/drawing" Target="../drawings/drawing23.xml"/><Relationship Id="rId16" Type="http://schemas.openxmlformats.org/officeDocument/2006/relationships/control" Target="../activeX/activeX77.xml"/><Relationship Id="rId1" Type="http://schemas.openxmlformats.org/officeDocument/2006/relationships/printerSettings" Target="../printerSettings/printerSettings24.bin"/><Relationship Id="rId6" Type="http://schemas.openxmlformats.org/officeDocument/2006/relationships/control" Target="../activeX/activeX72.xml"/><Relationship Id="rId11" Type="http://schemas.openxmlformats.org/officeDocument/2006/relationships/image" Target="../media/image88.emf"/><Relationship Id="rId5" Type="http://schemas.openxmlformats.org/officeDocument/2006/relationships/image" Target="../media/image85.emf"/><Relationship Id="rId15" Type="http://schemas.openxmlformats.org/officeDocument/2006/relationships/image" Target="../media/image90.emf"/><Relationship Id="rId10" Type="http://schemas.openxmlformats.org/officeDocument/2006/relationships/control" Target="../activeX/activeX74.xml"/><Relationship Id="rId19" Type="http://schemas.openxmlformats.org/officeDocument/2006/relationships/image" Target="../media/image92.emf"/><Relationship Id="rId4" Type="http://schemas.openxmlformats.org/officeDocument/2006/relationships/control" Target="../activeX/activeX71.xml"/><Relationship Id="rId9" Type="http://schemas.openxmlformats.org/officeDocument/2006/relationships/image" Target="../media/image87.emf"/><Relationship Id="rId14" Type="http://schemas.openxmlformats.org/officeDocument/2006/relationships/control" Target="../activeX/activeX76.xml"/></Relationships>
</file>

<file path=xl/worksheets/_rels/sheet3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5.emf"/><Relationship Id="rId13" Type="http://schemas.openxmlformats.org/officeDocument/2006/relationships/control" Target="../activeX/activeX84.xml"/><Relationship Id="rId18" Type="http://schemas.openxmlformats.org/officeDocument/2006/relationships/image" Target="../media/image100.emf"/><Relationship Id="rId3" Type="http://schemas.openxmlformats.org/officeDocument/2006/relationships/control" Target="../activeX/activeX79.xml"/><Relationship Id="rId21" Type="http://schemas.openxmlformats.org/officeDocument/2006/relationships/control" Target="../activeX/activeX88.xml"/><Relationship Id="rId7" Type="http://schemas.openxmlformats.org/officeDocument/2006/relationships/control" Target="../activeX/activeX81.xml"/><Relationship Id="rId12" Type="http://schemas.openxmlformats.org/officeDocument/2006/relationships/image" Target="../media/image97.emf"/><Relationship Id="rId17" Type="http://schemas.openxmlformats.org/officeDocument/2006/relationships/control" Target="../activeX/activeX86.xml"/><Relationship Id="rId2" Type="http://schemas.openxmlformats.org/officeDocument/2006/relationships/vmlDrawing" Target="../drawings/vmlDrawing19.vml"/><Relationship Id="rId16" Type="http://schemas.openxmlformats.org/officeDocument/2006/relationships/image" Target="../media/image99.emf"/><Relationship Id="rId20" Type="http://schemas.openxmlformats.org/officeDocument/2006/relationships/image" Target="../media/image101.emf"/><Relationship Id="rId1" Type="http://schemas.openxmlformats.org/officeDocument/2006/relationships/drawing" Target="../drawings/drawing24.xml"/><Relationship Id="rId6" Type="http://schemas.openxmlformats.org/officeDocument/2006/relationships/image" Target="../media/image94.emf"/><Relationship Id="rId11" Type="http://schemas.openxmlformats.org/officeDocument/2006/relationships/control" Target="../activeX/activeX83.xml"/><Relationship Id="rId5" Type="http://schemas.openxmlformats.org/officeDocument/2006/relationships/control" Target="../activeX/activeX80.xml"/><Relationship Id="rId15" Type="http://schemas.openxmlformats.org/officeDocument/2006/relationships/control" Target="../activeX/activeX85.xml"/><Relationship Id="rId10" Type="http://schemas.openxmlformats.org/officeDocument/2006/relationships/image" Target="../media/image96.emf"/><Relationship Id="rId19" Type="http://schemas.openxmlformats.org/officeDocument/2006/relationships/control" Target="../activeX/activeX87.xml"/><Relationship Id="rId4" Type="http://schemas.openxmlformats.org/officeDocument/2006/relationships/image" Target="../media/image93.emf"/><Relationship Id="rId9" Type="http://schemas.openxmlformats.org/officeDocument/2006/relationships/control" Target="../activeX/activeX82.xml"/><Relationship Id="rId14" Type="http://schemas.openxmlformats.org/officeDocument/2006/relationships/image" Target="../media/image98.emf"/><Relationship Id="rId22" Type="http://schemas.openxmlformats.org/officeDocument/2006/relationships/image" Target="../media/image102.emf"/></Relationships>
</file>

<file path=xl/worksheets/_rels/sheet3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5.emf"/><Relationship Id="rId13" Type="http://schemas.openxmlformats.org/officeDocument/2006/relationships/control" Target="../activeX/activeX94.xml"/><Relationship Id="rId18" Type="http://schemas.openxmlformats.org/officeDocument/2006/relationships/image" Target="../media/image110.emf"/><Relationship Id="rId3" Type="http://schemas.openxmlformats.org/officeDocument/2006/relationships/control" Target="../activeX/activeX89.xml"/><Relationship Id="rId21" Type="http://schemas.openxmlformats.org/officeDocument/2006/relationships/control" Target="../activeX/activeX98.xml"/><Relationship Id="rId7" Type="http://schemas.openxmlformats.org/officeDocument/2006/relationships/control" Target="../activeX/activeX91.xml"/><Relationship Id="rId12" Type="http://schemas.openxmlformats.org/officeDocument/2006/relationships/image" Target="../media/image107.emf"/><Relationship Id="rId17" Type="http://schemas.openxmlformats.org/officeDocument/2006/relationships/control" Target="../activeX/activeX96.xml"/><Relationship Id="rId2" Type="http://schemas.openxmlformats.org/officeDocument/2006/relationships/vmlDrawing" Target="../drawings/vmlDrawing20.vml"/><Relationship Id="rId16" Type="http://schemas.openxmlformats.org/officeDocument/2006/relationships/image" Target="../media/image109.emf"/><Relationship Id="rId20" Type="http://schemas.openxmlformats.org/officeDocument/2006/relationships/image" Target="../media/image111.emf"/><Relationship Id="rId1" Type="http://schemas.openxmlformats.org/officeDocument/2006/relationships/drawing" Target="../drawings/drawing25.xml"/><Relationship Id="rId6" Type="http://schemas.openxmlformats.org/officeDocument/2006/relationships/image" Target="../media/image104.emf"/><Relationship Id="rId11" Type="http://schemas.openxmlformats.org/officeDocument/2006/relationships/control" Target="../activeX/activeX93.xml"/><Relationship Id="rId5" Type="http://schemas.openxmlformats.org/officeDocument/2006/relationships/control" Target="../activeX/activeX90.xml"/><Relationship Id="rId15" Type="http://schemas.openxmlformats.org/officeDocument/2006/relationships/control" Target="../activeX/activeX95.xml"/><Relationship Id="rId10" Type="http://schemas.openxmlformats.org/officeDocument/2006/relationships/image" Target="../media/image106.emf"/><Relationship Id="rId19" Type="http://schemas.openxmlformats.org/officeDocument/2006/relationships/control" Target="../activeX/activeX97.xml"/><Relationship Id="rId4" Type="http://schemas.openxmlformats.org/officeDocument/2006/relationships/image" Target="../media/image103.emf"/><Relationship Id="rId9" Type="http://schemas.openxmlformats.org/officeDocument/2006/relationships/control" Target="../activeX/activeX92.xml"/><Relationship Id="rId14" Type="http://schemas.openxmlformats.org/officeDocument/2006/relationships/image" Target="../media/image108.emf"/><Relationship Id="rId22" Type="http://schemas.openxmlformats.org/officeDocument/2006/relationships/image" Target="../media/image112.emf"/></Relationships>
</file>

<file path=xl/worksheets/_rels/sheet34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101.xml"/><Relationship Id="rId13" Type="http://schemas.openxmlformats.org/officeDocument/2006/relationships/image" Target="../media/image117.emf"/><Relationship Id="rId18" Type="http://schemas.openxmlformats.org/officeDocument/2006/relationships/control" Target="../activeX/activeX106.xml"/><Relationship Id="rId3" Type="http://schemas.openxmlformats.org/officeDocument/2006/relationships/vmlDrawing" Target="../drawings/vmlDrawing21.vml"/><Relationship Id="rId7" Type="http://schemas.openxmlformats.org/officeDocument/2006/relationships/image" Target="../media/image114.emf"/><Relationship Id="rId12" Type="http://schemas.openxmlformats.org/officeDocument/2006/relationships/control" Target="../activeX/activeX103.xml"/><Relationship Id="rId17" Type="http://schemas.openxmlformats.org/officeDocument/2006/relationships/image" Target="../media/image119.emf"/><Relationship Id="rId2" Type="http://schemas.openxmlformats.org/officeDocument/2006/relationships/drawing" Target="../drawings/drawing26.xml"/><Relationship Id="rId16" Type="http://schemas.openxmlformats.org/officeDocument/2006/relationships/control" Target="../activeX/activeX105.xml"/><Relationship Id="rId1" Type="http://schemas.openxmlformats.org/officeDocument/2006/relationships/printerSettings" Target="../printerSettings/printerSettings25.bin"/><Relationship Id="rId6" Type="http://schemas.openxmlformats.org/officeDocument/2006/relationships/control" Target="../activeX/activeX100.xml"/><Relationship Id="rId11" Type="http://schemas.openxmlformats.org/officeDocument/2006/relationships/image" Target="../media/image116.emf"/><Relationship Id="rId5" Type="http://schemas.openxmlformats.org/officeDocument/2006/relationships/image" Target="../media/image113.emf"/><Relationship Id="rId15" Type="http://schemas.openxmlformats.org/officeDocument/2006/relationships/image" Target="../media/image118.emf"/><Relationship Id="rId10" Type="http://schemas.openxmlformats.org/officeDocument/2006/relationships/control" Target="../activeX/activeX102.xml"/><Relationship Id="rId19" Type="http://schemas.openxmlformats.org/officeDocument/2006/relationships/image" Target="../media/image120.emf"/><Relationship Id="rId4" Type="http://schemas.openxmlformats.org/officeDocument/2006/relationships/control" Target="../activeX/activeX99.xml"/><Relationship Id="rId9" Type="http://schemas.openxmlformats.org/officeDocument/2006/relationships/image" Target="../media/image115.emf"/><Relationship Id="rId14" Type="http://schemas.openxmlformats.org/officeDocument/2006/relationships/control" Target="../activeX/activeX104.xml"/></Relationships>
</file>

<file path=xl/worksheets/_rels/sheet35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109.xml"/><Relationship Id="rId13" Type="http://schemas.openxmlformats.org/officeDocument/2006/relationships/image" Target="../media/image125.emf"/><Relationship Id="rId18" Type="http://schemas.openxmlformats.org/officeDocument/2006/relationships/control" Target="../activeX/activeX114.xml"/><Relationship Id="rId3" Type="http://schemas.openxmlformats.org/officeDocument/2006/relationships/vmlDrawing" Target="../drawings/vmlDrawing22.vml"/><Relationship Id="rId21" Type="http://schemas.openxmlformats.org/officeDocument/2006/relationships/image" Target="../media/image129.emf"/><Relationship Id="rId7" Type="http://schemas.openxmlformats.org/officeDocument/2006/relationships/image" Target="../media/image122.emf"/><Relationship Id="rId12" Type="http://schemas.openxmlformats.org/officeDocument/2006/relationships/control" Target="../activeX/activeX111.xml"/><Relationship Id="rId17" Type="http://schemas.openxmlformats.org/officeDocument/2006/relationships/image" Target="../media/image127.emf"/><Relationship Id="rId2" Type="http://schemas.openxmlformats.org/officeDocument/2006/relationships/drawing" Target="../drawings/drawing27.xml"/><Relationship Id="rId16" Type="http://schemas.openxmlformats.org/officeDocument/2006/relationships/control" Target="../activeX/activeX113.xml"/><Relationship Id="rId20" Type="http://schemas.openxmlformats.org/officeDocument/2006/relationships/control" Target="../activeX/activeX115.xml"/><Relationship Id="rId1" Type="http://schemas.openxmlformats.org/officeDocument/2006/relationships/printerSettings" Target="../printerSettings/printerSettings26.bin"/><Relationship Id="rId6" Type="http://schemas.openxmlformats.org/officeDocument/2006/relationships/control" Target="../activeX/activeX108.xml"/><Relationship Id="rId11" Type="http://schemas.openxmlformats.org/officeDocument/2006/relationships/image" Target="../media/image124.emf"/><Relationship Id="rId5" Type="http://schemas.openxmlformats.org/officeDocument/2006/relationships/image" Target="../media/image121.emf"/><Relationship Id="rId15" Type="http://schemas.openxmlformats.org/officeDocument/2006/relationships/image" Target="../media/image126.emf"/><Relationship Id="rId23" Type="http://schemas.openxmlformats.org/officeDocument/2006/relationships/image" Target="../media/image130.emf"/><Relationship Id="rId10" Type="http://schemas.openxmlformats.org/officeDocument/2006/relationships/control" Target="../activeX/activeX110.xml"/><Relationship Id="rId19" Type="http://schemas.openxmlformats.org/officeDocument/2006/relationships/image" Target="../media/image128.emf"/><Relationship Id="rId4" Type="http://schemas.openxmlformats.org/officeDocument/2006/relationships/control" Target="../activeX/activeX107.xml"/><Relationship Id="rId9" Type="http://schemas.openxmlformats.org/officeDocument/2006/relationships/image" Target="../media/image123.emf"/><Relationship Id="rId14" Type="http://schemas.openxmlformats.org/officeDocument/2006/relationships/control" Target="../activeX/activeX112.xml"/><Relationship Id="rId22" Type="http://schemas.openxmlformats.org/officeDocument/2006/relationships/control" Target="../activeX/activeX1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221B7-BC77-4E5A-B737-513AAF1E0EE5}">
  <sheetPr codeName="Sheet1"/>
  <dimension ref="C1:E2"/>
  <sheetViews>
    <sheetView workbookViewId="0">
      <selection activeCell="C3" sqref="C3"/>
    </sheetView>
  </sheetViews>
  <sheetFormatPr defaultRowHeight="12.75" x14ac:dyDescent="0.2"/>
  <cols>
    <col min="3" max="3" width="76.42578125" customWidth="1"/>
    <col min="5" max="5" width="9.28515625" bestFit="1" customWidth="1"/>
  </cols>
  <sheetData>
    <row r="1" spans="3:5" x14ac:dyDescent="0.2">
      <c r="C1" s="1" t="s">
        <v>15</v>
      </c>
      <c r="D1" s="1" t="s">
        <v>525</v>
      </c>
      <c r="E1" s="1" t="s">
        <v>343</v>
      </c>
    </row>
    <row r="2" spans="3:5" x14ac:dyDescent="0.2">
      <c r="C2" s="271" t="s">
        <v>551</v>
      </c>
      <c r="D2" s="67" t="s">
        <v>550</v>
      </c>
      <c r="E2" s="280" t="s">
        <v>549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2132C-15D4-4A3A-8153-ABAF1B7BF562}">
  <sheetPr codeName="Sheet19"/>
  <dimension ref="C1:E2"/>
  <sheetViews>
    <sheetView workbookViewId="0">
      <selection activeCell="D3" sqref="D3"/>
    </sheetView>
  </sheetViews>
  <sheetFormatPr defaultRowHeight="12.75" x14ac:dyDescent="0.2"/>
  <cols>
    <col min="3" max="3" width="59.85546875" customWidth="1"/>
    <col min="5" max="5" width="9.28515625" bestFit="1" customWidth="1"/>
  </cols>
  <sheetData>
    <row r="1" spans="3:5" x14ac:dyDescent="0.2">
      <c r="C1" s="1" t="s">
        <v>15</v>
      </c>
      <c r="D1" s="1" t="s">
        <v>523</v>
      </c>
      <c r="E1" s="1" t="s">
        <v>343</v>
      </c>
    </row>
    <row r="2" spans="3:5" ht="96" customHeight="1" x14ac:dyDescent="0.2">
      <c r="C2" s="271" t="s">
        <v>536</v>
      </c>
      <c r="D2" s="67" t="s">
        <v>524</v>
      </c>
      <c r="E2" s="270">
        <v>44442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C52CBF-4FE0-46D1-B70B-95F07BE7C2F3}">
  <sheetPr codeName="Sheet20">
    <tabColor theme="9"/>
  </sheetPr>
  <dimension ref="B3:Q27"/>
  <sheetViews>
    <sheetView workbookViewId="0">
      <selection activeCell="K29" sqref="K29"/>
    </sheetView>
  </sheetViews>
  <sheetFormatPr defaultRowHeight="12.75" x14ac:dyDescent="0.2"/>
  <cols>
    <col min="2" max="3" width="18.140625" customWidth="1"/>
    <col min="4" max="4" width="21" customWidth="1"/>
    <col min="5" max="5" width="7" customWidth="1"/>
  </cols>
  <sheetData>
    <row r="3" spans="2:17" ht="18" thickBot="1" x14ac:dyDescent="0.35">
      <c r="B3" s="68" t="s">
        <v>146</v>
      </c>
      <c r="C3" s="68"/>
      <c r="D3" s="68"/>
      <c r="E3" s="67" t="s">
        <v>149</v>
      </c>
    </row>
    <row r="4" spans="2:17" ht="13.5" thickTop="1" x14ac:dyDescent="0.2"/>
    <row r="5" spans="2:17" x14ac:dyDescent="0.2">
      <c r="B5" s="67" t="s">
        <v>147</v>
      </c>
      <c r="C5" s="67" t="s">
        <v>15</v>
      </c>
      <c r="D5" s="67" t="s">
        <v>150</v>
      </c>
    </row>
    <row r="6" spans="2:17" ht="15" x14ac:dyDescent="0.25">
      <c r="B6" s="67" t="s">
        <v>148</v>
      </c>
      <c r="C6" s="67" t="s">
        <v>151</v>
      </c>
      <c r="E6" s="94">
        <v>1</v>
      </c>
    </row>
    <row r="7" spans="2:17" x14ac:dyDescent="0.2">
      <c r="D7" t="str">
        <f ca="1">Commodities_BASE!A2</f>
        <v>Commodities_BASE</v>
      </c>
      <c r="E7" s="95">
        <f>$E$6</f>
        <v>1</v>
      </c>
    </row>
    <row r="8" spans="2:17" x14ac:dyDescent="0.2">
      <c r="D8" t="str">
        <f ca="1">CommData_BASE!A2</f>
        <v>CommData_BASE</v>
      </c>
      <c r="E8" s="95">
        <f>$E$6</f>
        <v>1</v>
      </c>
      <c r="L8" s="67" t="s">
        <v>574</v>
      </c>
    </row>
    <row r="9" spans="2:17" x14ac:dyDescent="0.2">
      <c r="D9" t="str">
        <f ca="1">Processes_BASE!A2</f>
        <v>Processes_BASE</v>
      </c>
      <c r="E9" s="95">
        <f>$E$6</f>
        <v>1</v>
      </c>
    </row>
    <row r="10" spans="2:17" x14ac:dyDescent="0.2">
      <c r="D10" t="str">
        <f ca="1">ProcData_PGM!A2</f>
        <v>ProcData_PGM</v>
      </c>
      <c r="E10" s="95">
        <f>$E$6</f>
        <v>1</v>
      </c>
      <c r="L10" s="67" t="s">
        <v>575</v>
      </c>
      <c r="M10" t="b" cm="1">
        <f t="array" ref="M10">[1]!pamsindex</f>
        <v>0</v>
      </c>
    </row>
    <row r="11" spans="2:17" x14ac:dyDescent="0.2">
      <c r="D11" t="str">
        <f ca="1">ProcData_PGMexports!A2</f>
        <v>ProcData_PGMexports</v>
      </c>
      <c r="E11" s="95">
        <v>1</v>
      </c>
      <c r="L11" s="67" t="s">
        <v>576</v>
      </c>
      <c r="M11" t="s">
        <v>577</v>
      </c>
    </row>
    <row r="12" spans="2:17" x14ac:dyDescent="0.2">
      <c r="E12" s="95"/>
      <c r="F12" s="67"/>
    </row>
    <row r="13" spans="2:17" x14ac:dyDescent="0.2">
      <c r="E13" s="95"/>
      <c r="N13" s="67" t="s">
        <v>579</v>
      </c>
      <c r="Q13" s="67" t="s">
        <v>580</v>
      </c>
    </row>
    <row r="14" spans="2:17" x14ac:dyDescent="0.2">
      <c r="E14" s="95"/>
      <c r="L14" s="67" t="s">
        <v>577</v>
      </c>
      <c r="N14" s="295">
        <v>0.05</v>
      </c>
      <c r="O14" s="298" t="s">
        <v>582</v>
      </c>
      <c r="Q14" s="295">
        <f>'[1]PAMS central control panel'!$P$47</f>
        <v>0.04</v>
      </c>
    </row>
    <row r="15" spans="2:17" x14ac:dyDescent="0.2">
      <c r="E15" s="95"/>
      <c r="L15" s="67" t="s">
        <v>578</v>
      </c>
      <c r="N15" s="297">
        <f>N14/2</f>
        <v>2.5000000000000001E-2</v>
      </c>
      <c r="Q15">
        <f>Q14/2</f>
        <v>0.02</v>
      </c>
    </row>
    <row r="16" spans="2:17" x14ac:dyDescent="0.2">
      <c r="E16" s="95"/>
      <c r="L16" s="67" t="s">
        <v>581</v>
      </c>
      <c r="N16">
        <f>INDEX(N14:N15,MATCH($M$11,$L$14:$L$15,0))</f>
        <v>0.05</v>
      </c>
      <c r="Q16">
        <f>INDEX(Q14:Q15,MATCH($M$11,$L$14:$L$15,0))</f>
        <v>0.04</v>
      </c>
    </row>
    <row r="17" spans="5:5" x14ac:dyDescent="0.2">
      <c r="E17" s="95"/>
    </row>
    <row r="18" spans="5:5" x14ac:dyDescent="0.2">
      <c r="E18" s="95"/>
    </row>
    <row r="19" spans="5:5" x14ac:dyDescent="0.2">
      <c r="E19" s="95"/>
    </row>
    <row r="20" spans="5:5" x14ac:dyDescent="0.2">
      <c r="E20" s="95"/>
    </row>
    <row r="21" spans="5:5" x14ac:dyDescent="0.2">
      <c r="E21" s="95"/>
    </row>
    <row r="22" spans="5:5" x14ac:dyDescent="0.2">
      <c r="E22" s="95"/>
    </row>
    <row r="23" spans="5:5" x14ac:dyDescent="0.2">
      <c r="E23" s="95"/>
    </row>
    <row r="24" spans="5:5" x14ac:dyDescent="0.2">
      <c r="E24" s="95"/>
    </row>
    <row r="25" spans="5:5" x14ac:dyDescent="0.2">
      <c r="E25" s="95"/>
    </row>
    <row r="26" spans="5:5" x14ac:dyDescent="0.2">
      <c r="E26" s="95"/>
    </row>
    <row r="27" spans="5:5" x14ac:dyDescent="0.2">
      <c r="E27" s="95"/>
    </row>
  </sheetData>
  <dataValidations count="1">
    <dataValidation type="list" allowBlank="1" showInputMessage="1" showErrorMessage="1" sqref="M11" xr:uid="{8FB983AD-6D33-4A11-AF69-737BC8A94B74}">
      <formula1>$L$14:$L$15</formula1>
    </dataValidation>
  </dataValidation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4C40EA-CC31-425A-8E90-6D7657180B84}">
  <sheetPr codeName="Sheet29">
    <tabColor theme="9"/>
  </sheetPr>
  <dimension ref="C1:AF105"/>
  <sheetViews>
    <sheetView workbookViewId="0">
      <selection activeCell="T18" sqref="T18"/>
    </sheetView>
  </sheetViews>
  <sheetFormatPr defaultColWidth="9.140625" defaultRowHeight="15" x14ac:dyDescent="0.25"/>
  <cols>
    <col min="1" max="1" width="9.140625" style="41"/>
    <col min="2" max="2" width="9.140625" style="41" customWidth="1"/>
    <col min="3" max="3" width="20.7109375" style="41" customWidth="1"/>
    <col min="4" max="10" width="3.5703125" style="41" customWidth="1"/>
    <col min="11" max="11" width="4" style="41" customWidth="1"/>
    <col min="12" max="12" width="4.5703125" style="41" customWidth="1"/>
    <col min="13" max="13" width="29.85546875" style="41" customWidth="1"/>
    <col min="14" max="14" width="4" style="41" customWidth="1"/>
    <col min="15" max="16" width="3.5703125" style="41" customWidth="1"/>
    <col min="17" max="17" width="3.7109375" style="41" customWidth="1"/>
    <col min="18" max="18" width="3.85546875" style="41" customWidth="1"/>
    <col min="19" max="19" width="4" style="41" customWidth="1"/>
    <col min="20" max="20" width="25.5703125" style="41" customWidth="1"/>
    <col min="21" max="27" width="3.5703125" style="41" customWidth="1"/>
    <col min="28" max="29" width="9.140625" style="41"/>
    <col min="30" max="30" width="13.7109375" style="41" bestFit="1" customWidth="1"/>
    <col min="31" max="16384" width="9.140625" style="41"/>
  </cols>
  <sheetData>
    <row r="1" spans="3:32" x14ac:dyDescent="0.25">
      <c r="N1" s="41" t="s">
        <v>124</v>
      </c>
      <c r="U1" s="107" t="s">
        <v>156</v>
      </c>
    </row>
    <row r="2" spans="3:32" ht="84" customHeight="1" x14ac:dyDescent="0.25">
      <c r="C2" s="44"/>
      <c r="D2" s="115" t="s">
        <v>165</v>
      </c>
      <c r="E2" s="115" t="s">
        <v>166</v>
      </c>
      <c r="F2" s="239" t="s">
        <v>180</v>
      </c>
      <c r="G2" s="307" t="s">
        <v>607</v>
      </c>
      <c r="H2" s="108"/>
      <c r="I2" s="108"/>
      <c r="J2" s="64"/>
      <c r="K2" s="65"/>
      <c r="L2" s="66"/>
      <c r="M2" s="44"/>
      <c r="O2" s="234" t="s">
        <v>429</v>
      </c>
      <c r="P2" s="115" t="s">
        <v>168</v>
      </c>
      <c r="U2" s="108"/>
      <c r="V2" s="108"/>
      <c r="W2" s="234" t="s">
        <v>542</v>
      </c>
      <c r="X2" s="234"/>
      <c r="Y2" s="277"/>
      <c r="Z2" s="98"/>
      <c r="AA2" s="100"/>
    </row>
    <row r="3" spans="3:32" ht="141" customHeight="1" x14ac:dyDescent="0.25">
      <c r="C3" s="44" t="s">
        <v>123</v>
      </c>
      <c r="D3" s="118" t="s">
        <v>171</v>
      </c>
      <c r="E3" s="118" t="s">
        <v>177</v>
      </c>
      <c r="F3" s="251" t="s">
        <v>453</v>
      </c>
      <c r="G3" s="251" t="s">
        <v>176</v>
      </c>
      <c r="H3" s="108"/>
      <c r="I3" s="108"/>
      <c r="J3" s="64"/>
      <c r="K3" s="65"/>
      <c r="L3" s="66"/>
      <c r="M3" s="44" t="s">
        <v>122</v>
      </c>
      <c r="O3" s="234" t="s">
        <v>169</v>
      </c>
      <c r="P3" s="115" t="s">
        <v>170</v>
      </c>
      <c r="U3" s="108"/>
      <c r="V3" s="108"/>
      <c r="W3" s="277" t="s">
        <v>561</v>
      </c>
      <c r="X3" s="277"/>
      <c r="Y3" s="277"/>
      <c r="Z3" s="100"/>
      <c r="AA3" s="105"/>
    </row>
    <row r="4" spans="3:32" x14ac:dyDescent="0.25">
      <c r="D4" s="43"/>
      <c r="E4" s="43"/>
      <c r="F4" s="43"/>
      <c r="G4" s="43"/>
      <c r="H4" s="43"/>
      <c r="I4" s="43"/>
      <c r="J4" s="43"/>
      <c r="K4" s="46"/>
      <c r="L4" s="44"/>
      <c r="O4" s="43"/>
      <c r="P4" s="43"/>
      <c r="U4" s="43"/>
      <c r="V4" s="43"/>
      <c r="W4" s="43"/>
      <c r="X4" s="43"/>
      <c r="Y4" s="43"/>
      <c r="Z4" s="43"/>
      <c r="AA4" s="43"/>
      <c r="AD4" s="121"/>
    </row>
    <row r="5" spans="3:32" x14ac:dyDescent="0.25">
      <c r="D5" s="43"/>
      <c r="E5" s="47"/>
      <c r="F5" s="50"/>
      <c r="G5" s="47"/>
      <c r="H5" s="47"/>
      <c r="I5" s="47"/>
      <c r="J5" s="50"/>
      <c r="K5" s="54"/>
      <c r="L5" s="50"/>
      <c r="M5" s="55" t="s">
        <v>454</v>
      </c>
      <c r="N5" s="54"/>
      <c r="O5" s="50"/>
      <c r="P5" s="56"/>
      <c r="U5" s="43"/>
      <c r="V5" s="43"/>
      <c r="W5" s="43"/>
      <c r="X5" s="43"/>
      <c r="Y5" s="43"/>
      <c r="Z5" s="43"/>
      <c r="AA5" s="43"/>
      <c r="AD5" s="121"/>
      <c r="AE5" s="63"/>
    </row>
    <row r="6" spans="3:32" x14ac:dyDescent="0.25">
      <c r="C6" s="44"/>
      <c r="D6" s="43"/>
      <c r="E6" s="43"/>
      <c r="F6" s="51"/>
      <c r="G6" s="51"/>
      <c r="H6" s="57"/>
      <c r="I6" s="51"/>
      <c r="J6" s="57"/>
      <c r="K6" s="101"/>
      <c r="L6" s="57"/>
      <c r="M6" s="62"/>
      <c r="N6" s="53"/>
      <c r="O6" s="52"/>
      <c r="P6" s="47"/>
      <c r="Q6" s="117"/>
      <c r="R6" s="117"/>
      <c r="S6" s="292"/>
      <c r="T6" s="290"/>
      <c r="U6" s="47"/>
      <c r="V6" s="50"/>
      <c r="W6" s="50"/>
      <c r="X6" s="43"/>
      <c r="Y6" s="43"/>
      <c r="Z6" s="43"/>
      <c r="AA6" s="43"/>
      <c r="AD6" s="107"/>
      <c r="AE6" s="59"/>
      <c r="AF6" s="285"/>
    </row>
    <row r="7" spans="3:32" x14ac:dyDescent="0.25">
      <c r="C7" s="44"/>
      <c r="D7" s="43"/>
      <c r="E7" s="43"/>
      <c r="F7" s="43"/>
      <c r="G7" s="51"/>
      <c r="H7" s="57"/>
      <c r="I7" s="51"/>
      <c r="J7" s="57"/>
      <c r="K7" s="101"/>
      <c r="L7" s="57"/>
      <c r="M7" s="111" t="s">
        <v>162</v>
      </c>
      <c r="N7" s="116"/>
      <c r="O7" s="117"/>
      <c r="P7" s="47"/>
      <c r="T7" s="55" t="s">
        <v>608</v>
      </c>
      <c r="U7" s="43"/>
      <c r="V7" s="43"/>
      <c r="W7" s="43"/>
      <c r="X7" s="43"/>
      <c r="Y7" s="43"/>
      <c r="Z7" s="43"/>
      <c r="AA7" s="43"/>
      <c r="AD7" s="107"/>
      <c r="AE7" s="61"/>
    </row>
    <row r="8" spans="3:32" x14ac:dyDescent="0.25">
      <c r="C8" s="44"/>
      <c r="D8" s="43"/>
      <c r="E8" s="43"/>
      <c r="F8" s="43"/>
      <c r="G8" s="43"/>
      <c r="H8" s="51"/>
      <c r="I8" s="57"/>
      <c r="J8" s="51"/>
      <c r="K8" s="101"/>
      <c r="L8" s="57"/>
      <c r="M8" s="49"/>
      <c r="N8" s="44"/>
      <c r="O8" s="44"/>
      <c r="P8" s="45"/>
      <c r="T8" s="49"/>
      <c r="U8" s="43"/>
      <c r="V8" s="43"/>
      <c r="W8" s="43"/>
      <c r="X8" s="45"/>
      <c r="Y8" s="43"/>
      <c r="Z8" s="43"/>
      <c r="AA8" s="43"/>
      <c r="AD8" s="284"/>
      <c r="AE8" s="58"/>
    </row>
    <row r="9" spans="3:32" x14ac:dyDescent="0.25">
      <c r="C9" s="44"/>
      <c r="D9" s="43"/>
      <c r="E9" s="43"/>
      <c r="F9" s="43"/>
      <c r="G9" s="43"/>
      <c r="H9" s="43"/>
      <c r="I9" s="43"/>
      <c r="J9" s="43"/>
      <c r="K9" s="46"/>
      <c r="L9" s="44"/>
      <c r="M9" s="114" t="s">
        <v>163</v>
      </c>
      <c r="N9" s="44"/>
      <c r="O9" s="43"/>
      <c r="P9" s="45"/>
      <c r="T9" s="291" t="s">
        <v>560</v>
      </c>
      <c r="U9" s="43"/>
      <c r="V9" s="43"/>
      <c r="W9" s="43"/>
      <c r="X9" s="43"/>
      <c r="Y9" s="43"/>
      <c r="Z9" s="43"/>
      <c r="AA9" s="43"/>
      <c r="AB9" s="48"/>
      <c r="AC9" s="276"/>
      <c r="AD9" s="286"/>
      <c r="AE9" s="60"/>
    </row>
    <row r="10" spans="3:32" x14ac:dyDescent="0.25">
      <c r="C10" s="44"/>
      <c r="D10" s="43"/>
      <c r="E10" s="43"/>
      <c r="F10" s="43"/>
      <c r="G10" s="43"/>
      <c r="H10" s="43"/>
      <c r="I10" s="43"/>
      <c r="J10" s="43"/>
      <c r="K10" s="46"/>
      <c r="L10" s="44"/>
      <c r="N10" s="44"/>
      <c r="O10" s="43"/>
      <c r="P10" s="45"/>
      <c r="U10" s="43"/>
      <c r="V10" s="43"/>
      <c r="W10" s="43"/>
      <c r="X10" s="43"/>
      <c r="Y10" s="43"/>
      <c r="Z10" s="43"/>
      <c r="AA10" s="43"/>
    </row>
    <row r="11" spans="3:32" x14ac:dyDescent="0.25">
      <c r="C11" s="44"/>
      <c r="D11" s="43"/>
      <c r="E11" s="43"/>
      <c r="F11" s="43"/>
      <c r="G11" s="43"/>
      <c r="H11" s="43"/>
      <c r="I11" s="43"/>
      <c r="J11" s="43"/>
      <c r="K11" s="46"/>
      <c r="L11" s="44"/>
      <c r="N11" s="44"/>
      <c r="O11" s="43"/>
      <c r="P11" s="45"/>
      <c r="U11" s="43"/>
      <c r="V11" s="43"/>
      <c r="W11" s="43"/>
      <c r="X11" s="43"/>
      <c r="Y11" s="43"/>
      <c r="Z11" s="43"/>
      <c r="AA11" s="43"/>
    </row>
    <row r="12" spans="3:32" x14ac:dyDescent="0.25">
      <c r="C12" s="44"/>
      <c r="D12" s="43"/>
      <c r="E12" s="47"/>
      <c r="F12" s="50"/>
      <c r="G12" s="47"/>
      <c r="H12" s="47"/>
      <c r="I12" s="47"/>
      <c r="J12" s="50"/>
      <c r="K12" s="54"/>
      <c r="L12" s="50"/>
      <c r="M12" s="55" t="s">
        <v>521</v>
      </c>
      <c r="N12" s="54"/>
      <c r="O12" s="50"/>
      <c r="P12" s="45"/>
      <c r="U12" s="43"/>
      <c r="V12" s="43"/>
      <c r="W12" s="43"/>
      <c r="X12" s="43"/>
      <c r="Y12" s="43"/>
      <c r="Z12" s="43"/>
      <c r="AA12" s="43"/>
    </row>
    <row r="13" spans="3:32" x14ac:dyDescent="0.25">
      <c r="C13" s="44"/>
      <c r="D13" s="43"/>
      <c r="E13" s="43"/>
      <c r="F13" s="51"/>
      <c r="G13" s="51"/>
      <c r="H13" s="57"/>
      <c r="I13" s="51"/>
      <c r="J13" s="57"/>
      <c r="K13" s="101"/>
      <c r="L13" s="57"/>
      <c r="M13" s="62"/>
      <c r="N13" s="53"/>
      <c r="O13" s="52"/>
      <c r="P13" s="47"/>
      <c r="Q13" s="117"/>
      <c r="R13" s="117"/>
      <c r="S13" s="292"/>
      <c r="T13" s="287" t="s">
        <v>557</v>
      </c>
      <c r="U13" s="43"/>
      <c r="V13" s="43"/>
      <c r="W13" s="43"/>
      <c r="X13" s="43"/>
      <c r="Y13" s="43"/>
      <c r="Z13" s="43"/>
      <c r="AA13" s="43"/>
      <c r="AD13" s="42"/>
    </row>
    <row r="14" spans="3:32" x14ac:dyDescent="0.25">
      <c r="C14" s="44"/>
      <c r="D14" s="43"/>
      <c r="E14" s="43"/>
      <c r="F14" s="43"/>
      <c r="G14" s="51"/>
      <c r="H14" s="57"/>
      <c r="I14" s="51"/>
      <c r="J14" s="57"/>
      <c r="K14" s="101"/>
      <c r="L14" s="57"/>
      <c r="M14" s="49"/>
      <c r="N14" s="116"/>
      <c r="O14" s="117"/>
      <c r="P14" s="47"/>
      <c r="T14" s="49"/>
      <c r="U14" s="43"/>
      <c r="V14" s="43"/>
      <c r="W14" s="43"/>
      <c r="X14" s="43"/>
      <c r="Y14" s="43"/>
      <c r="Z14" s="43"/>
      <c r="AA14" s="43"/>
    </row>
    <row r="15" spans="3:32" x14ac:dyDescent="0.25">
      <c r="C15" s="44"/>
      <c r="D15" s="43"/>
      <c r="E15" s="43"/>
      <c r="F15" s="43"/>
      <c r="G15" s="43"/>
      <c r="H15" s="43"/>
      <c r="I15" s="43"/>
      <c r="J15" s="43"/>
      <c r="K15" s="46"/>
      <c r="L15" s="44"/>
      <c r="M15" s="114" t="s">
        <v>164</v>
      </c>
      <c r="N15" s="44"/>
      <c r="O15" s="44"/>
      <c r="P15" s="45"/>
      <c r="T15" s="288" t="s">
        <v>556</v>
      </c>
      <c r="U15" s="43"/>
      <c r="V15" s="43"/>
      <c r="W15" s="43"/>
      <c r="X15" s="43"/>
      <c r="Y15" s="43"/>
      <c r="Z15" s="43"/>
      <c r="AA15" s="43"/>
      <c r="AC15" s="276"/>
    </row>
    <row r="16" spans="3:32" x14ac:dyDescent="0.25">
      <c r="C16" s="44"/>
      <c r="D16" s="43"/>
      <c r="E16" s="43"/>
      <c r="F16" s="43"/>
      <c r="G16" s="43"/>
      <c r="H16" s="43"/>
      <c r="I16" s="43"/>
      <c r="J16" s="43"/>
      <c r="K16" s="46"/>
      <c r="L16" s="44"/>
      <c r="N16" s="44"/>
      <c r="O16" s="43"/>
      <c r="P16" s="45"/>
      <c r="T16" s="289"/>
      <c r="U16" s="43"/>
      <c r="V16" s="43"/>
      <c r="W16" s="43"/>
      <c r="X16" s="43"/>
      <c r="Y16" s="43"/>
      <c r="Z16" s="43"/>
      <c r="AA16" s="43"/>
    </row>
    <row r="17" spans="3:30" x14ac:dyDescent="0.25">
      <c r="C17" s="44"/>
      <c r="D17" s="43"/>
      <c r="E17" s="43"/>
      <c r="F17" s="43"/>
      <c r="G17" s="43"/>
      <c r="H17" s="43"/>
      <c r="I17" s="43"/>
      <c r="J17" s="43"/>
      <c r="K17" s="46"/>
      <c r="L17" s="44"/>
      <c r="N17" s="44"/>
      <c r="O17" s="43"/>
      <c r="P17" s="45"/>
      <c r="U17" s="43"/>
      <c r="V17" s="43"/>
      <c r="W17" s="43"/>
      <c r="X17" s="43"/>
      <c r="Y17" s="43"/>
      <c r="Z17" s="43"/>
      <c r="AA17" s="43"/>
      <c r="AD17" s="42"/>
    </row>
    <row r="18" spans="3:30" x14ac:dyDescent="0.25">
      <c r="C18" s="44"/>
      <c r="D18" s="43"/>
      <c r="E18" s="43"/>
      <c r="F18" s="43"/>
      <c r="G18" s="43"/>
      <c r="H18" s="43"/>
      <c r="I18" s="43"/>
      <c r="J18" s="43"/>
      <c r="K18" s="46"/>
      <c r="L18" s="44"/>
      <c r="N18" s="44"/>
      <c r="O18" s="43"/>
      <c r="P18" s="45"/>
      <c r="Q18" s="116"/>
      <c r="R18" s="117"/>
      <c r="S18" s="292"/>
      <c r="T18" s="287" t="s">
        <v>558</v>
      </c>
      <c r="U18" s="43"/>
      <c r="V18" s="43"/>
      <c r="W18" s="43"/>
      <c r="X18" s="43"/>
      <c r="Y18" s="43"/>
      <c r="Z18" s="43"/>
      <c r="AA18" s="43"/>
      <c r="AD18" s="59"/>
    </row>
    <row r="19" spans="3:30" x14ac:dyDescent="0.25">
      <c r="C19" s="44"/>
      <c r="D19" s="43"/>
      <c r="E19" s="43"/>
      <c r="F19" s="43"/>
      <c r="G19" s="43"/>
      <c r="H19" s="43"/>
      <c r="I19" s="43"/>
      <c r="J19" s="43"/>
      <c r="K19" s="46"/>
      <c r="L19" s="44"/>
      <c r="N19" s="44"/>
      <c r="O19" s="43"/>
      <c r="P19" s="45"/>
      <c r="T19" s="49"/>
      <c r="U19" s="43"/>
      <c r="V19" s="43"/>
      <c r="W19" s="43"/>
      <c r="X19" s="43"/>
      <c r="Y19" s="43"/>
      <c r="Z19" s="43"/>
      <c r="AA19" s="43"/>
      <c r="AD19" s="59"/>
    </row>
    <row r="20" spans="3:30" x14ac:dyDescent="0.25">
      <c r="C20" s="44"/>
      <c r="D20" s="43"/>
      <c r="E20" s="43"/>
      <c r="F20" s="43"/>
      <c r="G20" s="43"/>
      <c r="H20" s="43"/>
      <c r="I20" s="43"/>
      <c r="J20" s="43"/>
      <c r="K20" s="46"/>
      <c r="L20" s="44"/>
      <c r="N20" s="44"/>
      <c r="O20" s="43"/>
      <c r="P20" s="45"/>
      <c r="T20" s="288" t="s">
        <v>559</v>
      </c>
      <c r="U20" s="43"/>
      <c r="V20" s="43"/>
      <c r="W20" s="43"/>
      <c r="X20" s="43"/>
      <c r="Y20" s="43"/>
      <c r="Z20" s="43"/>
      <c r="AA20" s="43"/>
      <c r="AD20" s="59"/>
    </row>
    <row r="21" spans="3:30" x14ac:dyDescent="0.25">
      <c r="C21" s="44"/>
      <c r="D21" s="43"/>
      <c r="E21" s="43"/>
      <c r="F21" s="43"/>
      <c r="G21" s="43"/>
      <c r="H21" s="43"/>
      <c r="I21" s="43"/>
      <c r="J21" s="43"/>
      <c r="K21" s="46"/>
      <c r="L21" s="44"/>
      <c r="N21" s="44"/>
      <c r="O21" s="43"/>
      <c r="P21" s="45"/>
      <c r="T21" s="289"/>
      <c r="U21" s="43"/>
      <c r="V21" s="43"/>
      <c r="W21" s="43"/>
      <c r="X21" s="43"/>
      <c r="Y21" s="43"/>
      <c r="Z21" s="43"/>
      <c r="AA21" s="43"/>
      <c r="AD21" s="58"/>
    </row>
    <row r="22" spans="3:30" x14ac:dyDescent="0.25">
      <c r="C22" s="44"/>
      <c r="D22" s="43"/>
      <c r="E22" s="43"/>
      <c r="F22" s="43"/>
      <c r="G22" s="43"/>
      <c r="H22" s="43"/>
      <c r="I22" s="43"/>
      <c r="J22" s="43"/>
      <c r="K22" s="46"/>
      <c r="L22" s="44"/>
      <c r="N22" s="44"/>
      <c r="O22" s="43"/>
      <c r="P22" s="45"/>
      <c r="U22" s="43"/>
      <c r="V22" s="43"/>
      <c r="W22" s="43"/>
      <c r="X22" s="43"/>
      <c r="Y22" s="43"/>
      <c r="Z22" s="43"/>
      <c r="AA22" s="43"/>
    </row>
    <row r="23" spans="3:30" x14ac:dyDescent="0.25">
      <c r="C23" s="44"/>
      <c r="D23" s="43"/>
      <c r="E23" s="43"/>
      <c r="F23" s="43"/>
      <c r="G23" s="43"/>
      <c r="H23" s="43"/>
      <c r="I23" s="43"/>
      <c r="J23" s="43"/>
      <c r="K23" s="46"/>
      <c r="L23" s="44"/>
      <c r="N23" s="44"/>
      <c r="O23" s="43"/>
      <c r="P23" s="45"/>
      <c r="U23" s="43"/>
      <c r="V23" s="43"/>
      <c r="W23" s="43"/>
      <c r="X23" s="43"/>
      <c r="Y23" s="43"/>
      <c r="Z23" s="43"/>
      <c r="AA23" s="43"/>
    </row>
    <row r="24" spans="3:30" x14ac:dyDescent="0.25">
      <c r="C24" s="44"/>
      <c r="D24" s="43"/>
      <c r="E24" s="43"/>
      <c r="F24" s="43"/>
      <c r="G24" s="43"/>
      <c r="H24" s="43"/>
      <c r="I24" s="43"/>
      <c r="J24" s="43"/>
      <c r="K24" s="46"/>
      <c r="L24" s="44"/>
      <c r="N24" s="44"/>
      <c r="O24" s="43"/>
      <c r="P24" s="45"/>
      <c r="U24" s="43"/>
      <c r="V24" s="43"/>
      <c r="W24" s="43"/>
      <c r="X24" s="43"/>
      <c r="Y24" s="43"/>
      <c r="Z24" s="43"/>
      <c r="AA24" s="43"/>
      <c r="AD24" s="58"/>
    </row>
    <row r="25" spans="3:30" x14ac:dyDescent="0.25">
      <c r="C25" s="44"/>
      <c r="D25" s="43"/>
      <c r="E25" s="43"/>
      <c r="F25" s="43"/>
      <c r="G25" s="43"/>
      <c r="H25" s="43"/>
      <c r="I25" s="43"/>
      <c r="J25" s="43"/>
      <c r="K25" s="46"/>
      <c r="L25" s="44"/>
      <c r="N25" s="44"/>
      <c r="O25" s="43"/>
      <c r="P25" s="45"/>
      <c r="U25" s="43"/>
      <c r="V25" s="43"/>
      <c r="W25" s="43"/>
      <c r="X25" s="43"/>
      <c r="Y25" s="43"/>
      <c r="Z25" s="43"/>
      <c r="AA25" s="43"/>
    </row>
    <row r="26" spans="3:30" x14ac:dyDescent="0.25">
      <c r="C26" s="44"/>
      <c r="D26" s="43"/>
      <c r="E26" s="43"/>
      <c r="F26" s="43"/>
      <c r="G26" s="43"/>
      <c r="H26" s="43"/>
      <c r="I26" s="43"/>
      <c r="J26" s="43"/>
      <c r="K26" s="46"/>
      <c r="L26" s="44"/>
      <c r="N26" s="44"/>
      <c r="O26" s="43"/>
      <c r="P26" s="45"/>
      <c r="U26" s="43"/>
      <c r="V26" s="43"/>
      <c r="W26" s="43"/>
      <c r="X26" s="43"/>
      <c r="Y26" s="43"/>
      <c r="Z26" s="43"/>
      <c r="AA26" s="43"/>
    </row>
    <row r="27" spans="3:30" x14ac:dyDescent="0.25">
      <c r="C27" s="44"/>
      <c r="D27" s="43"/>
      <c r="E27" s="43"/>
      <c r="F27" s="43"/>
      <c r="G27" s="43"/>
      <c r="H27" s="43"/>
      <c r="I27" s="43"/>
      <c r="J27" s="43"/>
      <c r="K27" s="46"/>
      <c r="L27" s="44"/>
      <c r="N27" s="44"/>
      <c r="O27" s="43"/>
      <c r="P27" s="45"/>
      <c r="U27" s="43"/>
      <c r="V27" s="43"/>
      <c r="W27" s="43"/>
      <c r="X27" s="43"/>
      <c r="Y27" s="43"/>
      <c r="Z27" s="43"/>
      <c r="AA27" s="43"/>
    </row>
    <row r="28" spans="3:30" x14ac:dyDescent="0.25">
      <c r="C28" s="44"/>
      <c r="D28" s="43"/>
      <c r="E28" s="43"/>
      <c r="F28" s="43"/>
      <c r="G28" s="43"/>
      <c r="H28" s="43"/>
      <c r="I28" s="43"/>
      <c r="J28" s="43"/>
      <c r="K28" s="46"/>
      <c r="L28" s="44"/>
      <c r="N28" s="44"/>
      <c r="O28" s="43"/>
      <c r="P28" s="45"/>
      <c r="U28" s="43"/>
      <c r="V28" s="43"/>
      <c r="W28" s="43"/>
      <c r="X28" s="43"/>
      <c r="Y28" s="43"/>
      <c r="Z28" s="43"/>
      <c r="AA28" s="43"/>
    </row>
    <row r="29" spans="3:30" x14ac:dyDescent="0.25">
      <c r="C29" s="44"/>
      <c r="D29" s="43"/>
      <c r="E29" s="43"/>
      <c r="F29" s="43"/>
      <c r="G29" s="43"/>
      <c r="H29" s="43"/>
      <c r="I29" s="43"/>
      <c r="J29" s="43"/>
      <c r="K29" s="46"/>
      <c r="L29" s="44"/>
      <c r="N29" s="44"/>
      <c r="O29" s="43"/>
      <c r="P29" s="45"/>
      <c r="U29" s="43"/>
      <c r="V29" s="43"/>
      <c r="W29" s="43"/>
      <c r="X29" s="43"/>
      <c r="Y29" s="43"/>
      <c r="Z29" s="43"/>
      <c r="AA29" s="43"/>
    </row>
    <row r="30" spans="3:30" x14ac:dyDescent="0.25">
      <c r="C30" s="44"/>
      <c r="D30" s="43"/>
      <c r="E30" s="43"/>
      <c r="F30" s="43"/>
      <c r="G30" s="43"/>
      <c r="H30" s="43"/>
      <c r="I30" s="43"/>
      <c r="J30" s="43"/>
      <c r="K30" s="46"/>
      <c r="L30" s="44"/>
      <c r="N30" s="44"/>
      <c r="O30" s="43"/>
      <c r="P30" s="45"/>
      <c r="U30" s="43"/>
      <c r="V30" s="43"/>
      <c r="W30" s="43"/>
      <c r="X30" s="43"/>
      <c r="Y30" s="43"/>
      <c r="Z30" s="43"/>
      <c r="AA30" s="43"/>
    </row>
    <row r="31" spans="3:30" x14ac:dyDescent="0.25">
      <c r="C31" s="44"/>
      <c r="D31" s="43"/>
      <c r="E31" s="43"/>
      <c r="F31" s="43"/>
      <c r="G31" s="43"/>
      <c r="H31" s="43"/>
      <c r="I31" s="43"/>
      <c r="J31" s="43"/>
      <c r="K31" s="46"/>
      <c r="L31" s="44"/>
      <c r="N31" s="44"/>
      <c r="O31" s="43"/>
      <c r="P31" s="45"/>
      <c r="U31" s="43"/>
      <c r="V31" s="43"/>
      <c r="W31" s="43"/>
      <c r="X31" s="43"/>
      <c r="Y31" s="43"/>
      <c r="Z31" s="43"/>
      <c r="AA31" s="43"/>
    </row>
    <row r="32" spans="3:30" x14ac:dyDescent="0.25">
      <c r="C32" s="44"/>
      <c r="D32" s="43"/>
      <c r="E32" s="43"/>
      <c r="F32" s="43"/>
      <c r="G32" s="43"/>
      <c r="H32" s="43"/>
      <c r="I32" s="43"/>
      <c r="J32" s="43"/>
      <c r="K32" s="46"/>
      <c r="L32" s="44"/>
      <c r="N32" s="44"/>
      <c r="O32" s="43"/>
      <c r="P32" s="45"/>
      <c r="U32" s="43"/>
      <c r="V32" s="43"/>
      <c r="W32" s="43"/>
      <c r="X32" s="43"/>
      <c r="Y32" s="43"/>
      <c r="Z32" s="43"/>
      <c r="AA32" s="43"/>
    </row>
    <row r="33" spans="3:27" x14ac:dyDescent="0.25">
      <c r="C33" s="44"/>
      <c r="D33" s="43"/>
      <c r="E33" s="43"/>
      <c r="F33" s="43"/>
      <c r="G33" s="43"/>
      <c r="H33" s="43"/>
      <c r="I33" s="43"/>
      <c r="J33" s="43"/>
      <c r="K33" s="46"/>
      <c r="L33" s="44"/>
      <c r="N33" s="44"/>
      <c r="O33" s="43"/>
      <c r="P33" s="45"/>
      <c r="U33" s="43"/>
      <c r="V33" s="43"/>
      <c r="W33" s="43"/>
      <c r="X33" s="43"/>
      <c r="Y33" s="43"/>
      <c r="Z33" s="43"/>
      <c r="AA33" s="43"/>
    </row>
    <row r="34" spans="3:27" x14ac:dyDescent="0.25">
      <c r="C34" s="44"/>
      <c r="D34" s="43"/>
      <c r="E34" s="43"/>
      <c r="F34" s="43"/>
      <c r="G34" s="43"/>
      <c r="H34" s="43"/>
      <c r="I34" s="43"/>
      <c r="J34" s="43"/>
      <c r="K34" s="46"/>
      <c r="L34" s="44"/>
      <c r="N34" s="44"/>
      <c r="O34" s="43"/>
      <c r="P34" s="45"/>
      <c r="U34" s="43"/>
      <c r="V34" s="43"/>
      <c r="W34" s="43"/>
      <c r="X34" s="43"/>
      <c r="Y34" s="43"/>
      <c r="Z34" s="43"/>
      <c r="AA34" s="43"/>
    </row>
    <row r="35" spans="3:27" x14ac:dyDescent="0.25">
      <c r="C35" s="44"/>
      <c r="D35" s="43"/>
      <c r="E35" s="43"/>
      <c r="F35" s="43"/>
      <c r="G35" s="43"/>
      <c r="H35" s="43"/>
      <c r="I35" s="43"/>
      <c r="J35" s="43"/>
      <c r="K35" s="46"/>
      <c r="L35" s="44"/>
      <c r="N35" s="44"/>
      <c r="O35" s="43"/>
      <c r="P35" s="45"/>
      <c r="U35" s="43"/>
      <c r="V35" s="43"/>
      <c r="W35" s="43"/>
      <c r="X35" s="43"/>
      <c r="Y35" s="43"/>
      <c r="Z35" s="43"/>
      <c r="AA35" s="43"/>
    </row>
    <row r="36" spans="3:27" x14ac:dyDescent="0.25">
      <c r="C36" s="44"/>
      <c r="D36" s="43"/>
      <c r="E36" s="43"/>
      <c r="F36" s="43"/>
      <c r="G36" s="43"/>
      <c r="H36" s="43"/>
      <c r="I36" s="43"/>
      <c r="J36" s="43"/>
      <c r="K36" s="46"/>
      <c r="L36" s="44"/>
      <c r="N36" s="44"/>
      <c r="O36" s="43"/>
      <c r="P36" s="45"/>
      <c r="U36" s="43"/>
      <c r="V36" s="43"/>
      <c r="W36" s="43"/>
      <c r="X36" s="43"/>
      <c r="Y36" s="43"/>
      <c r="Z36" s="43"/>
      <c r="AA36" s="43"/>
    </row>
    <row r="37" spans="3:27" x14ac:dyDescent="0.25">
      <c r="C37" s="44"/>
      <c r="D37" s="43"/>
      <c r="E37" s="43"/>
      <c r="F37" s="43"/>
      <c r="G37" s="43"/>
      <c r="H37" s="43"/>
      <c r="I37" s="43"/>
      <c r="J37" s="43"/>
      <c r="K37" s="46"/>
      <c r="L37" s="44"/>
      <c r="N37" s="44"/>
      <c r="O37" s="43"/>
      <c r="P37" s="45"/>
      <c r="U37" s="43"/>
      <c r="V37" s="43"/>
      <c r="W37" s="43"/>
      <c r="X37" s="43"/>
      <c r="Y37" s="43"/>
      <c r="Z37" s="43"/>
      <c r="AA37" s="43"/>
    </row>
    <row r="38" spans="3:27" x14ac:dyDescent="0.25">
      <c r="D38" s="43"/>
      <c r="E38" s="43"/>
      <c r="F38" s="43"/>
      <c r="G38" s="43"/>
      <c r="H38" s="43"/>
      <c r="I38" s="43"/>
      <c r="J38" s="43"/>
      <c r="K38" s="46"/>
      <c r="L38" s="44"/>
      <c r="N38" s="44"/>
      <c r="O38" s="43"/>
      <c r="P38" s="45"/>
      <c r="U38" s="43"/>
      <c r="V38" s="43"/>
      <c r="W38" s="43"/>
      <c r="X38" s="43"/>
      <c r="Y38" s="43"/>
      <c r="Z38" s="43"/>
      <c r="AA38" s="43"/>
    </row>
    <row r="39" spans="3:27" x14ac:dyDescent="0.25">
      <c r="D39" s="43"/>
      <c r="E39" s="43"/>
      <c r="F39" s="43"/>
      <c r="G39" s="43"/>
      <c r="H39" s="43"/>
      <c r="I39" s="43"/>
      <c r="J39" s="43"/>
      <c r="K39" s="46"/>
      <c r="L39" s="44"/>
      <c r="N39" s="44"/>
      <c r="O39" s="43"/>
      <c r="P39" s="45"/>
      <c r="U39" s="43"/>
      <c r="V39" s="43"/>
      <c r="W39" s="43"/>
      <c r="X39" s="43"/>
      <c r="Y39" s="43"/>
      <c r="Z39" s="43"/>
      <c r="AA39" s="43"/>
    </row>
    <row r="40" spans="3:27" x14ac:dyDescent="0.25">
      <c r="D40" s="43"/>
      <c r="E40" s="43"/>
      <c r="F40" s="43"/>
      <c r="G40" s="43"/>
      <c r="H40" s="43"/>
      <c r="I40" s="43"/>
      <c r="J40" s="43"/>
      <c r="K40" s="46"/>
      <c r="L40" s="44"/>
      <c r="N40" s="44"/>
      <c r="O40" s="43"/>
      <c r="P40" s="45"/>
      <c r="U40" s="43"/>
      <c r="V40" s="43"/>
      <c r="W40" s="43"/>
      <c r="X40" s="43"/>
      <c r="Y40" s="43"/>
      <c r="Z40" s="43"/>
      <c r="AA40" s="43"/>
    </row>
    <row r="41" spans="3:27" x14ac:dyDescent="0.25">
      <c r="D41" s="43"/>
      <c r="E41" s="43"/>
      <c r="F41" s="43"/>
      <c r="G41" s="43"/>
      <c r="H41" s="43"/>
      <c r="I41" s="43"/>
      <c r="J41" s="43"/>
      <c r="K41" s="46"/>
      <c r="L41" s="44"/>
      <c r="N41" s="44"/>
      <c r="O41" s="43"/>
      <c r="P41" s="45"/>
      <c r="U41" s="43"/>
      <c r="V41" s="43"/>
      <c r="W41" s="43"/>
      <c r="X41" s="43"/>
      <c r="Y41" s="43"/>
      <c r="Z41" s="43"/>
      <c r="AA41" s="43"/>
    </row>
    <row r="42" spans="3:27" x14ac:dyDescent="0.25">
      <c r="D42" s="43"/>
      <c r="E42" s="43"/>
      <c r="F42" s="43"/>
      <c r="G42" s="43"/>
      <c r="H42" s="43"/>
      <c r="I42" s="43"/>
      <c r="J42" s="43"/>
      <c r="K42" s="46"/>
      <c r="L42" s="44"/>
      <c r="N42" s="44"/>
      <c r="O42" s="43"/>
      <c r="P42" s="45"/>
      <c r="U42" s="43"/>
      <c r="V42" s="43"/>
      <c r="W42" s="43"/>
      <c r="X42" s="43"/>
      <c r="Y42" s="43"/>
      <c r="Z42" s="43"/>
      <c r="AA42" s="43"/>
    </row>
    <row r="43" spans="3:27" x14ac:dyDescent="0.25">
      <c r="D43" s="43"/>
      <c r="E43" s="43"/>
      <c r="F43" s="43"/>
      <c r="G43" s="43"/>
      <c r="H43" s="43"/>
      <c r="I43" s="43"/>
      <c r="J43" s="43"/>
      <c r="K43" s="46"/>
      <c r="L43" s="44"/>
      <c r="N43" s="44"/>
      <c r="O43" s="43"/>
      <c r="P43" s="45"/>
      <c r="U43" s="43"/>
      <c r="V43" s="43"/>
      <c r="W43" s="43"/>
      <c r="X43" s="43"/>
      <c r="Y43" s="43"/>
      <c r="Z43" s="43"/>
      <c r="AA43" s="43"/>
    </row>
    <row r="44" spans="3:27" x14ac:dyDescent="0.25">
      <c r="D44" s="43"/>
      <c r="E44" s="43"/>
      <c r="F44" s="43"/>
      <c r="G44" s="43"/>
      <c r="H44" s="43"/>
      <c r="I44" s="43"/>
      <c r="J44" s="43"/>
      <c r="K44" s="46"/>
      <c r="L44" s="44"/>
      <c r="N44" s="44"/>
      <c r="O44" s="43"/>
      <c r="P44" s="45"/>
      <c r="U44" s="43"/>
      <c r="V44" s="43"/>
      <c r="W44" s="43"/>
      <c r="X44" s="43"/>
      <c r="Y44" s="43"/>
      <c r="Z44" s="43"/>
      <c r="AA44" s="43"/>
    </row>
    <row r="45" spans="3:27" x14ac:dyDescent="0.25">
      <c r="D45" s="43"/>
      <c r="E45" s="43"/>
      <c r="F45" s="43"/>
      <c r="G45" s="43"/>
      <c r="H45" s="43"/>
      <c r="I45" s="43"/>
      <c r="J45" s="43"/>
      <c r="K45" s="46"/>
      <c r="L45" s="44"/>
      <c r="N45" s="44"/>
      <c r="O45" s="43"/>
      <c r="P45" s="45"/>
      <c r="U45" s="43"/>
      <c r="V45" s="43"/>
      <c r="W45" s="43"/>
      <c r="X45" s="43"/>
      <c r="Y45" s="43"/>
      <c r="Z45" s="43"/>
      <c r="AA45" s="43"/>
    </row>
    <row r="46" spans="3:27" x14ac:dyDescent="0.25">
      <c r="D46" s="43"/>
      <c r="E46" s="43"/>
      <c r="F46" s="43"/>
      <c r="G46" s="43"/>
      <c r="H46" s="43"/>
      <c r="I46" s="43"/>
      <c r="J46" s="43"/>
      <c r="K46" s="46"/>
      <c r="L46" s="44"/>
      <c r="N46" s="44"/>
      <c r="O46" s="43"/>
      <c r="P46" s="45"/>
      <c r="U46" s="43"/>
      <c r="V46" s="43"/>
      <c r="W46" s="43"/>
      <c r="X46" s="43"/>
      <c r="Y46" s="43"/>
      <c r="Z46" s="43"/>
      <c r="AA46" s="43"/>
    </row>
    <row r="47" spans="3:27" x14ac:dyDescent="0.25">
      <c r="D47" s="43"/>
      <c r="E47" s="43"/>
      <c r="F47" s="43"/>
      <c r="G47" s="43"/>
      <c r="H47" s="43"/>
      <c r="I47" s="43"/>
      <c r="J47" s="43"/>
      <c r="K47" s="46"/>
      <c r="L47" s="44"/>
      <c r="N47" s="44"/>
      <c r="O47" s="43"/>
      <c r="P47" s="45"/>
      <c r="U47" s="43"/>
      <c r="V47" s="43"/>
      <c r="W47" s="43"/>
      <c r="X47" s="43"/>
      <c r="Y47" s="43"/>
      <c r="Z47" s="43"/>
      <c r="AA47" s="43"/>
    </row>
    <row r="48" spans="3:27" x14ac:dyDescent="0.25">
      <c r="D48" s="43"/>
      <c r="E48" s="43"/>
      <c r="F48" s="43"/>
      <c r="G48" s="43"/>
      <c r="H48" s="43"/>
      <c r="I48" s="43"/>
      <c r="J48" s="43"/>
      <c r="K48" s="46"/>
      <c r="L48" s="44"/>
      <c r="N48" s="44"/>
      <c r="O48" s="43"/>
      <c r="P48" s="45"/>
      <c r="U48" s="43"/>
      <c r="V48" s="43"/>
      <c r="W48" s="43"/>
      <c r="X48" s="43"/>
      <c r="Y48" s="43"/>
      <c r="Z48" s="43"/>
      <c r="AA48" s="43"/>
    </row>
    <row r="49" spans="4:27" x14ac:dyDescent="0.25">
      <c r="D49" s="43"/>
      <c r="E49" s="43"/>
      <c r="F49" s="43"/>
      <c r="G49" s="43"/>
      <c r="H49" s="43"/>
      <c r="I49" s="43"/>
      <c r="J49" s="43"/>
      <c r="K49" s="46"/>
      <c r="L49" s="44"/>
      <c r="N49" s="44"/>
      <c r="O49" s="43"/>
      <c r="P49" s="45"/>
      <c r="U49" s="43"/>
      <c r="V49" s="43"/>
      <c r="W49" s="43"/>
      <c r="X49" s="43"/>
      <c r="Y49" s="43"/>
      <c r="Z49" s="43"/>
      <c r="AA49" s="43"/>
    </row>
    <row r="50" spans="4:27" x14ac:dyDescent="0.25">
      <c r="D50" s="43"/>
      <c r="E50" s="43"/>
      <c r="F50" s="43"/>
      <c r="G50" s="43"/>
      <c r="H50" s="43"/>
      <c r="I50" s="43"/>
      <c r="J50" s="43"/>
      <c r="K50" s="46"/>
      <c r="L50" s="44"/>
      <c r="N50" s="44"/>
      <c r="O50" s="43"/>
      <c r="P50" s="45"/>
      <c r="U50" s="43"/>
      <c r="V50" s="43"/>
      <c r="W50" s="43"/>
      <c r="X50" s="43"/>
      <c r="Y50" s="43"/>
      <c r="Z50" s="43"/>
      <c r="AA50" s="43"/>
    </row>
    <row r="51" spans="4:27" x14ac:dyDescent="0.25">
      <c r="D51" s="43"/>
      <c r="E51" s="43"/>
      <c r="F51" s="43"/>
      <c r="G51" s="43"/>
      <c r="H51" s="43"/>
      <c r="I51" s="43"/>
      <c r="J51" s="43"/>
      <c r="K51" s="46"/>
      <c r="L51" s="44"/>
      <c r="N51" s="44"/>
      <c r="O51" s="43"/>
      <c r="P51" s="45"/>
      <c r="U51" s="43"/>
      <c r="V51" s="43"/>
      <c r="W51" s="43"/>
      <c r="X51" s="43"/>
      <c r="Y51" s="43"/>
      <c r="Z51" s="43"/>
      <c r="AA51" s="43"/>
    </row>
    <row r="52" spans="4:27" x14ac:dyDescent="0.25">
      <c r="D52" s="43"/>
      <c r="E52" s="43"/>
      <c r="F52" s="43"/>
      <c r="G52" s="43"/>
      <c r="H52" s="43"/>
      <c r="I52" s="43"/>
      <c r="J52" s="43"/>
      <c r="K52" s="46"/>
      <c r="L52" s="44"/>
      <c r="N52" s="44"/>
      <c r="O52" s="43"/>
      <c r="P52" s="45"/>
      <c r="U52" s="43"/>
      <c r="V52" s="43"/>
      <c r="W52" s="43"/>
      <c r="X52" s="43"/>
      <c r="Y52" s="43"/>
      <c r="Z52" s="43"/>
      <c r="AA52" s="43"/>
    </row>
    <row r="53" spans="4:27" x14ac:dyDescent="0.25">
      <c r="D53" s="43"/>
      <c r="E53" s="43"/>
      <c r="F53" s="43"/>
      <c r="G53" s="43"/>
      <c r="H53" s="43"/>
      <c r="I53" s="43"/>
      <c r="J53" s="43"/>
      <c r="K53" s="46"/>
      <c r="L53" s="44"/>
      <c r="N53" s="44"/>
      <c r="O53" s="43"/>
      <c r="P53" s="45"/>
      <c r="U53" s="43"/>
      <c r="V53" s="43"/>
      <c r="W53" s="43"/>
      <c r="X53" s="43"/>
      <c r="Y53" s="43"/>
      <c r="Z53" s="43"/>
      <c r="AA53" s="43"/>
    </row>
    <row r="54" spans="4:27" x14ac:dyDescent="0.25">
      <c r="D54" s="43"/>
      <c r="E54" s="43"/>
      <c r="F54" s="43"/>
      <c r="G54" s="43"/>
      <c r="H54" s="43"/>
      <c r="I54" s="43"/>
      <c r="J54" s="43"/>
      <c r="K54" s="46"/>
      <c r="L54" s="44"/>
      <c r="N54" s="44"/>
      <c r="O54" s="43"/>
      <c r="P54" s="45"/>
      <c r="U54" s="43"/>
      <c r="V54" s="43"/>
      <c r="W54" s="43"/>
      <c r="X54" s="43"/>
      <c r="Y54" s="43"/>
      <c r="Z54" s="43"/>
      <c r="AA54" s="43"/>
    </row>
    <row r="55" spans="4:27" x14ac:dyDescent="0.25">
      <c r="D55" s="43"/>
      <c r="E55" s="43"/>
      <c r="F55" s="43"/>
      <c r="G55" s="43"/>
      <c r="H55" s="43"/>
      <c r="I55" s="43"/>
      <c r="J55" s="43"/>
      <c r="K55" s="46"/>
      <c r="L55" s="44"/>
      <c r="N55" s="44"/>
      <c r="O55" s="43"/>
      <c r="P55" s="45"/>
      <c r="U55" s="43"/>
      <c r="V55" s="43"/>
      <c r="W55" s="43"/>
      <c r="X55" s="43"/>
      <c r="Y55" s="43"/>
      <c r="Z55" s="43"/>
      <c r="AA55" s="43"/>
    </row>
    <row r="56" spans="4:27" x14ac:dyDescent="0.25">
      <c r="D56" s="43"/>
      <c r="E56" s="43"/>
      <c r="F56" s="43"/>
      <c r="G56" s="43"/>
      <c r="H56" s="43"/>
      <c r="I56" s="43"/>
      <c r="J56" s="43"/>
      <c r="K56" s="46"/>
      <c r="L56" s="44"/>
      <c r="N56" s="44"/>
      <c r="O56" s="43"/>
      <c r="P56" s="45"/>
      <c r="U56" s="43"/>
      <c r="V56" s="43"/>
      <c r="W56" s="43"/>
      <c r="X56" s="43"/>
      <c r="Y56" s="43"/>
      <c r="Z56" s="43"/>
      <c r="AA56" s="43"/>
    </row>
    <row r="57" spans="4:27" x14ac:dyDescent="0.25">
      <c r="D57" s="43"/>
      <c r="E57" s="43"/>
      <c r="F57" s="43"/>
      <c r="G57" s="43"/>
      <c r="H57" s="43"/>
      <c r="I57" s="43"/>
      <c r="J57" s="43"/>
      <c r="K57" s="46"/>
      <c r="L57" s="44"/>
      <c r="N57" s="44"/>
      <c r="O57" s="43"/>
      <c r="P57" s="45"/>
      <c r="U57" s="43"/>
      <c r="V57" s="43"/>
      <c r="W57" s="43"/>
      <c r="X57" s="43"/>
      <c r="Y57" s="43"/>
      <c r="Z57" s="43"/>
      <c r="AA57" s="43"/>
    </row>
    <row r="58" spans="4:27" x14ac:dyDescent="0.25">
      <c r="D58" s="43"/>
      <c r="E58" s="43"/>
      <c r="F58" s="43"/>
      <c r="G58" s="43"/>
      <c r="H58" s="43"/>
      <c r="I58" s="43"/>
      <c r="J58" s="43"/>
      <c r="K58" s="46"/>
      <c r="L58" s="44"/>
      <c r="N58" s="44"/>
      <c r="O58" s="43"/>
      <c r="P58" s="45"/>
      <c r="U58" s="43"/>
      <c r="V58" s="43"/>
      <c r="W58" s="43"/>
      <c r="X58" s="43"/>
      <c r="Y58" s="43"/>
      <c r="Z58" s="43"/>
      <c r="AA58" s="43"/>
    </row>
    <row r="59" spans="4:27" x14ac:dyDescent="0.25">
      <c r="D59" s="43"/>
      <c r="E59" s="43"/>
      <c r="F59" s="43"/>
      <c r="G59" s="43"/>
      <c r="H59" s="43"/>
      <c r="I59" s="43"/>
      <c r="J59" s="43"/>
      <c r="K59" s="46"/>
      <c r="L59" s="44"/>
      <c r="N59" s="44"/>
      <c r="O59" s="43"/>
      <c r="P59" s="45"/>
      <c r="U59" s="43"/>
      <c r="V59" s="43"/>
      <c r="W59" s="43"/>
      <c r="X59" s="43"/>
      <c r="Y59" s="43"/>
      <c r="Z59" s="43"/>
      <c r="AA59" s="43"/>
    </row>
    <row r="60" spans="4:27" x14ac:dyDescent="0.25">
      <c r="D60" s="43"/>
      <c r="E60" s="43"/>
      <c r="F60" s="43"/>
      <c r="G60" s="43"/>
      <c r="H60" s="43"/>
      <c r="I60" s="43"/>
      <c r="J60" s="43"/>
      <c r="K60" s="46"/>
      <c r="L60" s="44"/>
      <c r="N60" s="44"/>
      <c r="O60" s="43"/>
      <c r="P60" s="45"/>
      <c r="U60" s="43"/>
      <c r="V60" s="43"/>
      <c r="W60" s="43"/>
      <c r="X60" s="43"/>
      <c r="Y60" s="43"/>
      <c r="Z60" s="43"/>
      <c r="AA60" s="43"/>
    </row>
    <row r="61" spans="4:27" x14ac:dyDescent="0.25">
      <c r="D61" s="43"/>
      <c r="E61" s="43"/>
      <c r="F61" s="43"/>
      <c r="G61" s="43"/>
      <c r="H61" s="43"/>
      <c r="I61" s="43"/>
      <c r="J61" s="43"/>
      <c r="K61" s="46"/>
      <c r="L61" s="44"/>
      <c r="N61" s="44"/>
      <c r="O61" s="43"/>
      <c r="P61" s="45"/>
      <c r="U61" s="43"/>
      <c r="V61" s="43"/>
      <c r="W61" s="43"/>
      <c r="X61" s="43"/>
      <c r="Y61" s="43"/>
      <c r="Z61" s="43"/>
      <c r="AA61" s="43"/>
    </row>
    <row r="62" spans="4:27" x14ac:dyDescent="0.25">
      <c r="D62" s="43"/>
      <c r="E62" s="43"/>
      <c r="F62" s="43"/>
      <c r="G62" s="43"/>
      <c r="H62" s="43"/>
      <c r="I62" s="43"/>
      <c r="J62" s="43"/>
      <c r="K62" s="46"/>
      <c r="L62" s="44"/>
      <c r="N62" s="44"/>
      <c r="O62" s="43"/>
      <c r="P62" s="45"/>
      <c r="U62" s="43"/>
      <c r="V62" s="43"/>
      <c r="W62" s="43"/>
      <c r="X62" s="43"/>
      <c r="Y62" s="43"/>
      <c r="Z62" s="43"/>
      <c r="AA62" s="43"/>
    </row>
    <row r="63" spans="4:27" x14ac:dyDescent="0.25">
      <c r="D63" s="43"/>
      <c r="E63" s="43"/>
      <c r="F63" s="43"/>
      <c r="G63" s="43"/>
      <c r="H63" s="43"/>
      <c r="I63" s="43"/>
      <c r="J63" s="43"/>
      <c r="K63" s="46"/>
      <c r="L63" s="44"/>
      <c r="N63" s="44"/>
      <c r="O63" s="43"/>
      <c r="P63" s="45"/>
      <c r="U63" s="43"/>
      <c r="V63" s="43"/>
      <c r="W63" s="43"/>
      <c r="X63" s="43"/>
      <c r="Y63" s="43"/>
      <c r="Z63" s="43"/>
      <c r="AA63" s="43"/>
    </row>
    <row r="64" spans="4:27" x14ac:dyDescent="0.25">
      <c r="D64" s="43"/>
      <c r="E64" s="43"/>
      <c r="F64" s="43"/>
      <c r="G64" s="43"/>
      <c r="H64" s="43"/>
      <c r="I64" s="43"/>
      <c r="J64" s="43"/>
      <c r="K64" s="46"/>
      <c r="L64" s="44"/>
      <c r="N64" s="44"/>
      <c r="O64" s="43"/>
      <c r="P64" s="45"/>
      <c r="U64" s="43"/>
      <c r="V64" s="43"/>
      <c r="W64" s="43"/>
      <c r="X64" s="43"/>
      <c r="Y64" s="43"/>
      <c r="Z64" s="43"/>
      <c r="AA64" s="43"/>
    </row>
    <row r="65" spans="4:27" x14ac:dyDescent="0.25">
      <c r="D65" s="43"/>
      <c r="E65" s="43"/>
      <c r="F65" s="43"/>
      <c r="G65" s="43"/>
      <c r="H65" s="43"/>
      <c r="I65" s="43"/>
      <c r="J65" s="43"/>
      <c r="K65" s="46"/>
      <c r="L65" s="44"/>
      <c r="N65" s="44"/>
      <c r="O65" s="43"/>
      <c r="P65" s="45"/>
      <c r="U65" s="43"/>
      <c r="V65" s="43"/>
      <c r="W65" s="43"/>
      <c r="X65" s="43"/>
      <c r="Y65" s="43"/>
      <c r="Z65" s="43"/>
      <c r="AA65" s="43"/>
    </row>
    <row r="66" spans="4:27" x14ac:dyDescent="0.25">
      <c r="D66" s="43"/>
      <c r="E66" s="43"/>
      <c r="F66" s="43"/>
      <c r="G66" s="43"/>
      <c r="H66" s="43"/>
      <c r="I66" s="43"/>
      <c r="J66" s="43"/>
      <c r="K66" s="46"/>
      <c r="L66" s="44"/>
      <c r="N66" s="44"/>
      <c r="O66" s="43"/>
      <c r="P66" s="45"/>
      <c r="U66" s="43"/>
      <c r="V66" s="43"/>
      <c r="W66" s="43"/>
      <c r="X66" s="43"/>
      <c r="Y66" s="43"/>
      <c r="Z66" s="43"/>
      <c r="AA66" s="43"/>
    </row>
    <row r="67" spans="4:27" x14ac:dyDescent="0.25">
      <c r="D67" s="43"/>
      <c r="E67" s="43"/>
      <c r="F67" s="43"/>
      <c r="G67" s="43"/>
      <c r="H67" s="43"/>
      <c r="I67" s="43"/>
      <c r="J67" s="43"/>
      <c r="K67" s="46"/>
      <c r="L67" s="44"/>
      <c r="N67" s="44"/>
      <c r="O67" s="43"/>
      <c r="P67" s="45"/>
      <c r="U67" s="43"/>
      <c r="V67" s="43"/>
      <c r="W67" s="43"/>
      <c r="X67" s="43"/>
      <c r="Y67" s="43"/>
      <c r="Z67" s="43"/>
      <c r="AA67" s="43"/>
    </row>
    <row r="68" spans="4:27" x14ac:dyDescent="0.25">
      <c r="D68" s="43"/>
      <c r="E68" s="43"/>
      <c r="F68" s="43"/>
      <c r="G68" s="43"/>
      <c r="H68" s="43"/>
      <c r="I68" s="43"/>
      <c r="J68" s="43"/>
      <c r="K68" s="46"/>
      <c r="L68" s="44"/>
      <c r="N68" s="44"/>
      <c r="O68" s="43"/>
      <c r="P68" s="45"/>
      <c r="U68" s="43"/>
      <c r="V68" s="43"/>
      <c r="W68" s="43"/>
      <c r="X68" s="43"/>
      <c r="Y68" s="43"/>
      <c r="Z68" s="43"/>
      <c r="AA68" s="43"/>
    </row>
    <row r="69" spans="4:27" x14ac:dyDescent="0.25">
      <c r="D69" s="43"/>
      <c r="E69" s="43"/>
      <c r="F69" s="43"/>
      <c r="G69" s="43"/>
      <c r="H69" s="43"/>
      <c r="I69" s="43"/>
      <c r="J69" s="43"/>
      <c r="K69" s="46"/>
      <c r="L69" s="44"/>
      <c r="N69" s="44"/>
      <c r="O69" s="43"/>
      <c r="P69" s="45"/>
      <c r="U69" s="43"/>
      <c r="V69" s="43"/>
      <c r="W69" s="43"/>
      <c r="X69" s="43"/>
      <c r="Y69" s="43"/>
      <c r="Z69" s="43"/>
      <c r="AA69" s="43"/>
    </row>
    <row r="70" spans="4:27" x14ac:dyDescent="0.25">
      <c r="D70" s="43"/>
      <c r="E70" s="43"/>
      <c r="F70" s="43"/>
      <c r="G70" s="43"/>
      <c r="H70" s="43"/>
      <c r="I70" s="43"/>
      <c r="J70" s="43"/>
      <c r="K70" s="46"/>
      <c r="L70" s="44"/>
      <c r="N70" s="44"/>
      <c r="O70" s="43"/>
      <c r="P70" s="45"/>
      <c r="U70" s="43"/>
      <c r="V70" s="43"/>
      <c r="W70" s="43"/>
      <c r="X70" s="43"/>
      <c r="Y70" s="43"/>
      <c r="Z70" s="43"/>
      <c r="AA70" s="43"/>
    </row>
    <row r="71" spans="4:27" x14ac:dyDescent="0.25">
      <c r="D71" s="43"/>
      <c r="E71" s="43"/>
      <c r="F71" s="43"/>
      <c r="G71" s="43"/>
      <c r="H71" s="43"/>
      <c r="I71" s="43"/>
      <c r="J71" s="43"/>
      <c r="K71" s="46"/>
      <c r="L71" s="44"/>
      <c r="N71" s="44"/>
      <c r="O71" s="43"/>
      <c r="P71" s="45"/>
      <c r="U71" s="43"/>
      <c r="V71" s="43"/>
      <c r="W71" s="43"/>
      <c r="X71" s="43"/>
      <c r="Y71" s="43"/>
      <c r="Z71" s="43"/>
      <c r="AA71" s="43"/>
    </row>
    <row r="72" spans="4:27" x14ac:dyDescent="0.25">
      <c r="D72" s="43"/>
      <c r="E72" s="43"/>
      <c r="F72" s="43"/>
      <c r="G72" s="43"/>
      <c r="H72" s="43"/>
      <c r="I72" s="43"/>
      <c r="J72" s="43"/>
      <c r="K72" s="46"/>
      <c r="L72" s="44"/>
      <c r="N72" s="44"/>
      <c r="O72" s="43"/>
      <c r="P72" s="45"/>
      <c r="U72" s="43"/>
      <c r="V72" s="43"/>
      <c r="W72" s="43"/>
      <c r="X72" s="43"/>
      <c r="Y72" s="43"/>
      <c r="Z72" s="43"/>
      <c r="AA72" s="43"/>
    </row>
    <row r="73" spans="4:27" x14ac:dyDescent="0.25">
      <c r="D73" s="43"/>
      <c r="E73" s="43"/>
      <c r="F73" s="43"/>
      <c r="G73" s="43"/>
      <c r="H73" s="43"/>
      <c r="I73" s="43"/>
      <c r="J73" s="43"/>
      <c r="K73" s="46"/>
      <c r="L73" s="44"/>
      <c r="N73" s="44"/>
      <c r="O73" s="43"/>
      <c r="P73" s="45"/>
      <c r="U73" s="43"/>
      <c r="V73" s="43"/>
      <c r="W73" s="43"/>
      <c r="X73" s="43"/>
      <c r="Y73" s="43"/>
      <c r="Z73" s="43"/>
      <c r="AA73" s="43"/>
    </row>
    <row r="74" spans="4:27" x14ac:dyDescent="0.25">
      <c r="D74" s="43"/>
      <c r="E74" s="43"/>
      <c r="F74" s="43"/>
      <c r="G74" s="43"/>
      <c r="H74" s="43"/>
      <c r="I74" s="43"/>
      <c r="J74" s="43"/>
      <c r="K74" s="46"/>
      <c r="L74" s="44"/>
      <c r="N74" s="44"/>
      <c r="O74" s="43"/>
      <c r="P74" s="45"/>
      <c r="U74" s="43"/>
      <c r="V74" s="43"/>
      <c r="W74" s="43"/>
      <c r="X74" s="43"/>
      <c r="Y74" s="43"/>
      <c r="Z74" s="43"/>
      <c r="AA74" s="43"/>
    </row>
    <row r="75" spans="4:27" x14ac:dyDescent="0.25">
      <c r="D75" s="43"/>
      <c r="E75" s="43"/>
      <c r="F75" s="43"/>
      <c r="G75" s="43"/>
      <c r="H75" s="43"/>
      <c r="I75" s="43"/>
      <c r="J75" s="43"/>
      <c r="K75" s="46"/>
      <c r="L75" s="44"/>
      <c r="N75" s="44"/>
      <c r="O75" s="43"/>
      <c r="P75" s="45"/>
      <c r="U75" s="43"/>
      <c r="V75" s="43"/>
      <c r="W75" s="43"/>
      <c r="X75" s="43"/>
      <c r="Y75" s="43"/>
      <c r="Z75" s="43"/>
      <c r="AA75" s="43"/>
    </row>
    <row r="76" spans="4:27" x14ac:dyDescent="0.25">
      <c r="D76" s="43"/>
      <c r="E76" s="43"/>
      <c r="F76" s="43"/>
      <c r="G76" s="43"/>
      <c r="H76" s="43"/>
      <c r="I76" s="43"/>
      <c r="J76" s="43"/>
      <c r="K76" s="46"/>
      <c r="L76" s="44"/>
      <c r="N76" s="44"/>
      <c r="O76" s="43"/>
      <c r="P76" s="45"/>
      <c r="U76" s="43"/>
      <c r="V76" s="43"/>
      <c r="W76" s="43"/>
      <c r="X76" s="43"/>
      <c r="Y76" s="43"/>
      <c r="Z76" s="43"/>
      <c r="AA76" s="43"/>
    </row>
    <row r="77" spans="4:27" x14ac:dyDescent="0.25">
      <c r="D77" s="43"/>
      <c r="E77" s="43"/>
      <c r="F77" s="43"/>
      <c r="G77" s="43"/>
      <c r="H77" s="43"/>
      <c r="I77" s="43"/>
      <c r="J77" s="43"/>
      <c r="K77" s="46"/>
      <c r="L77" s="44"/>
      <c r="N77" s="44"/>
      <c r="O77" s="43"/>
      <c r="P77" s="45"/>
      <c r="U77" s="43"/>
      <c r="V77" s="43"/>
      <c r="W77" s="43"/>
      <c r="X77" s="43"/>
      <c r="Y77" s="43"/>
      <c r="Z77" s="43"/>
      <c r="AA77" s="43"/>
    </row>
    <row r="78" spans="4:27" x14ac:dyDescent="0.25">
      <c r="D78" s="43"/>
      <c r="E78" s="43"/>
      <c r="F78" s="43"/>
      <c r="G78" s="43"/>
      <c r="H78" s="43"/>
      <c r="I78" s="43"/>
      <c r="J78" s="43"/>
      <c r="K78" s="46"/>
      <c r="L78" s="44"/>
      <c r="N78" s="44"/>
      <c r="O78" s="43"/>
      <c r="P78" s="45"/>
      <c r="U78" s="43"/>
      <c r="V78" s="43"/>
      <c r="W78" s="43"/>
      <c r="X78" s="43"/>
      <c r="Y78" s="43"/>
      <c r="Z78" s="43"/>
      <c r="AA78" s="43"/>
    </row>
    <row r="79" spans="4:27" x14ac:dyDescent="0.25">
      <c r="D79" s="43"/>
      <c r="E79" s="43"/>
      <c r="F79" s="43"/>
      <c r="G79" s="43"/>
      <c r="H79" s="43"/>
      <c r="I79" s="43"/>
      <c r="J79" s="43"/>
      <c r="K79" s="46"/>
      <c r="L79" s="44"/>
      <c r="N79" s="44"/>
      <c r="O79" s="43"/>
      <c r="P79" s="45"/>
      <c r="U79" s="43"/>
      <c r="V79" s="43"/>
      <c r="W79" s="43"/>
      <c r="X79" s="43"/>
      <c r="Y79" s="43"/>
      <c r="Z79" s="43"/>
      <c r="AA79" s="43"/>
    </row>
    <row r="80" spans="4:27" x14ac:dyDescent="0.25">
      <c r="D80" s="43"/>
      <c r="E80" s="43"/>
      <c r="F80" s="43"/>
      <c r="G80" s="43"/>
      <c r="H80" s="43"/>
      <c r="I80" s="43"/>
      <c r="J80" s="43"/>
      <c r="K80" s="46"/>
      <c r="L80" s="44"/>
      <c r="N80" s="44"/>
      <c r="O80" s="43"/>
      <c r="P80" s="45"/>
      <c r="U80" s="43"/>
      <c r="V80" s="43"/>
      <c r="W80" s="43"/>
      <c r="X80" s="43"/>
      <c r="Y80" s="43"/>
      <c r="Z80" s="43"/>
      <c r="AA80" s="43"/>
    </row>
    <row r="81" spans="4:27" x14ac:dyDescent="0.25">
      <c r="D81" s="43"/>
      <c r="E81" s="43"/>
      <c r="F81" s="43"/>
      <c r="G81" s="43"/>
      <c r="H81" s="43"/>
      <c r="I81" s="43"/>
      <c r="J81" s="43"/>
      <c r="K81" s="46"/>
      <c r="L81" s="44"/>
      <c r="N81" s="44"/>
      <c r="O81" s="43"/>
      <c r="P81" s="45"/>
      <c r="U81" s="43"/>
      <c r="V81" s="43"/>
      <c r="W81" s="43"/>
      <c r="X81" s="43"/>
      <c r="Y81" s="43"/>
      <c r="Z81" s="43"/>
      <c r="AA81" s="43"/>
    </row>
    <row r="82" spans="4:27" x14ac:dyDescent="0.25">
      <c r="D82" s="43"/>
      <c r="E82" s="43"/>
      <c r="F82" s="43"/>
      <c r="G82" s="43"/>
      <c r="H82" s="43"/>
      <c r="I82" s="43"/>
      <c r="J82" s="43"/>
      <c r="K82" s="46"/>
      <c r="L82" s="44"/>
      <c r="N82" s="44"/>
      <c r="O82" s="43"/>
      <c r="P82" s="45"/>
      <c r="U82" s="43"/>
      <c r="V82" s="43"/>
      <c r="W82" s="43"/>
      <c r="X82" s="43"/>
      <c r="Y82" s="43"/>
      <c r="Z82" s="43"/>
      <c r="AA82" s="43"/>
    </row>
    <row r="83" spans="4:27" x14ac:dyDescent="0.25">
      <c r="D83" s="43"/>
      <c r="E83" s="43"/>
      <c r="F83" s="43"/>
      <c r="G83" s="43"/>
      <c r="H83" s="43"/>
      <c r="I83" s="43"/>
      <c r="J83" s="43"/>
      <c r="K83" s="46"/>
      <c r="L83" s="44"/>
      <c r="N83" s="44"/>
      <c r="O83" s="43"/>
      <c r="P83" s="45"/>
      <c r="U83" s="43"/>
      <c r="V83" s="43"/>
      <c r="W83" s="43"/>
      <c r="X83" s="43"/>
      <c r="Y83" s="43"/>
      <c r="Z83" s="43"/>
      <c r="AA83" s="43"/>
    </row>
    <row r="84" spans="4:27" x14ac:dyDescent="0.25">
      <c r="D84" s="43"/>
      <c r="E84" s="43"/>
      <c r="F84" s="43"/>
      <c r="G84" s="43"/>
      <c r="H84" s="43"/>
      <c r="I84" s="43"/>
      <c r="J84" s="43"/>
      <c r="K84" s="46"/>
      <c r="L84" s="44"/>
      <c r="N84" s="44"/>
      <c r="O84" s="43"/>
      <c r="P84" s="45"/>
      <c r="U84" s="43"/>
      <c r="V84" s="43"/>
      <c r="W84" s="43"/>
      <c r="X84" s="43"/>
      <c r="Y84" s="43"/>
      <c r="Z84" s="43"/>
      <c r="AA84" s="43"/>
    </row>
    <row r="85" spans="4:27" x14ac:dyDescent="0.25">
      <c r="D85" s="43"/>
      <c r="E85" s="43"/>
      <c r="F85" s="43"/>
      <c r="G85" s="43"/>
      <c r="H85" s="43"/>
      <c r="I85" s="43"/>
      <c r="J85" s="43"/>
      <c r="K85" s="46"/>
      <c r="L85" s="44"/>
      <c r="N85" s="44"/>
      <c r="O85" s="43"/>
      <c r="P85" s="45"/>
      <c r="U85" s="43"/>
      <c r="V85" s="43"/>
      <c r="W85" s="43"/>
      <c r="X85" s="43"/>
      <c r="Y85" s="43"/>
      <c r="Z85" s="43"/>
      <c r="AA85" s="43"/>
    </row>
    <row r="86" spans="4:27" x14ac:dyDescent="0.25">
      <c r="D86" s="43"/>
      <c r="E86" s="43"/>
      <c r="F86" s="43"/>
      <c r="G86" s="43"/>
      <c r="H86" s="43"/>
      <c r="I86" s="43"/>
      <c r="J86" s="43"/>
      <c r="K86" s="46"/>
      <c r="L86" s="44"/>
      <c r="N86" s="44"/>
      <c r="O86" s="43"/>
      <c r="P86" s="45"/>
      <c r="U86" s="43"/>
      <c r="V86" s="43"/>
      <c r="W86" s="43"/>
      <c r="X86" s="43"/>
      <c r="Y86" s="43"/>
      <c r="Z86" s="43"/>
      <c r="AA86" s="43"/>
    </row>
    <row r="87" spans="4:27" x14ac:dyDescent="0.25">
      <c r="D87" s="43"/>
      <c r="E87" s="43"/>
      <c r="F87" s="43"/>
      <c r="G87" s="43"/>
      <c r="H87" s="43"/>
      <c r="I87" s="43"/>
      <c r="J87" s="43"/>
      <c r="K87" s="46"/>
      <c r="L87" s="44"/>
      <c r="N87" s="44"/>
      <c r="O87" s="43"/>
      <c r="P87" s="45"/>
      <c r="U87" s="43"/>
      <c r="V87" s="43"/>
      <c r="W87" s="43"/>
      <c r="X87" s="43"/>
      <c r="Y87" s="43"/>
      <c r="Z87" s="43"/>
      <c r="AA87" s="43"/>
    </row>
    <row r="88" spans="4:27" x14ac:dyDescent="0.25">
      <c r="D88" s="43"/>
      <c r="E88" s="43"/>
      <c r="F88" s="43"/>
      <c r="G88" s="43"/>
      <c r="H88" s="43"/>
      <c r="I88" s="43"/>
      <c r="J88" s="43"/>
      <c r="K88" s="46"/>
      <c r="L88" s="44"/>
      <c r="N88" s="44"/>
      <c r="O88" s="43"/>
      <c r="P88" s="45"/>
      <c r="U88" s="43"/>
      <c r="V88" s="43"/>
      <c r="W88" s="43"/>
      <c r="X88" s="43"/>
      <c r="Y88" s="43"/>
      <c r="Z88" s="43"/>
      <c r="AA88" s="43"/>
    </row>
    <row r="89" spans="4:27" x14ac:dyDescent="0.25">
      <c r="D89" s="43"/>
      <c r="E89" s="43"/>
      <c r="F89" s="43"/>
      <c r="G89" s="43"/>
      <c r="H89" s="43"/>
      <c r="I89" s="43"/>
      <c r="J89" s="43"/>
      <c r="K89" s="46"/>
      <c r="L89" s="44"/>
      <c r="N89" s="44"/>
      <c r="O89" s="43"/>
      <c r="P89" s="45"/>
      <c r="U89" s="43"/>
      <c r="V89" s="43"/>
      <c r="W89" s="43"/>
      <c r="X89" s="43"/>
      <c r="Y89" s="43"/>
      <c r="Z89" s="43"/>
      <c r="AA89" s="43"/>
    </row>
    <row r="90" spans="4:27" x14ac:dyDescent="0.25">
      <c r="D90" s="43"/>
      <c r="E90" s="43"/>
      <c r="F90" s="43"/>
      <c r="G90" s="43"/>
      <c r="H90" s="43"/>
      <c r="I90" s="43"/>
      <c r="J90" s="43"/>
      <c r="K90" s="46"/>
      <c r="L90" s="44"/>
      <c r="N90" s="44"/>
      <c r="O90" s="43"/>
      <c r="P90" s="45"/>
      <c r="U90" s="43"/>
      <c r="V90" s="43"/>
      <c r="W90" s="43"/>
      <c r="X90" s="43"/>
      <c r="Y90" s="43"/>
      <c r="Z90" s="43"/>
      <c r="AA90" s="43"/>
    </row>
    <row r="91" spans="4:27" x14ac:dyDescent="0.25">
      <c r="D91" s="43"/>
      <c r="E91" s="43"/>
      <c r="F91" s="43"/>
      <c r="G91" s="43"/>
      <c r="H91" s="43"/>
      <c r="I91" s="43"/>
      <c r="J91" s="43"/>
      <c r="K91" s="46"/>
      <c r="L91" s="44"/>
      <c r="N91" s="44"/>
      <c r="O91" s="43"/>
      <c r="P91" s="45"/>
      <c r="U91" s="43"/>
      <c r="V91" s="43"/>
      <c r="W91" s="43"/>
      <c r="X91" s="43"/>
      <c r="Y91" s="43"/>
      <c r="Z91" s="43"/>
      <c r="AA91" s="43"/>
    </row>
    <row r="92" spans="4:27" x14ac:dyDescent="0.25">
      <c r="D92" s="43"/>
      <c r="E92" s="43"/>
      <c r="F92" s="43"/>
      <c r="G92" s="43"/>
      <c r="H92" s="43"/>
      <c r="I92" s="43"/>
      <c r="J92" s="43"/>
      <c r="K92" s="46"/>
      <c r="L92" s="44"/>
      <c r="N92" s="44"/>
      <c r="O92" s="43"/>
      <c r="P92" s="45"/>
      <c r="U92" s="43"/>
      <c r="V92" s="43"/>
      <c r="W92" s="43"/>
      <c r="X92" s="43"/>
      <c r="Y92" s="43"/>
      <c r="Z92" s="43"/>
      <c r="AA92" s="43"/>
    </row>
    <row r="93" spans="4:27" x14ac:dyDescent="0.25">
      <c r="D93" s="43"/>
      <c r="E93" s="43"/>
      <c r="F93" s="43"/>
      <c r="G93" s="43"/>
      <c r="H93" s="43"/>
      <c r="I93" s="43"/>
      <c r="J93" s="43"/>
      <c r="K93" s="46"/>
      <c r="L93" s="44"/>
      <c r="N93" s="44"/>
      <c r="O93" s="43"/>
      <c r="P93" s="45"/>
      <c r="U93" s="43"/>
      <c r="V93" s="43"/>
      <c r="W93" s="43"/>
      <c r="X93" s="43"/>
      <c r="Y93" s="43"/>
      <c r="Z93" s="43"/>
      <c r="AA93" s="43"/>
    </row>
    <row r="94" spans="4:27" x14ac:dyDescent="0.25">
      <c r="D94" s="43"/>
      <c r="E94" s="43"/>
      <c r="F94" s="43"/>
      <c r="G94" s="43"/>
      <c r="H94" s="43"/>
      <c r="I94" s="43"/>
      <c r="J94" s="43"/>
      <c r="K94" s="46"/>
      <c r="L94" s="44"/>
      <c r="N94" s="44"/>
      <c r="O94" s="43"/>
      <c r="P94" s="45"/>
      <c r="U94" s="43"/>
      <c r="V94" s="43"/>
      <c r="W94" s="43"/>
      <c r="X94" s="43"/>
      <c r="Y94" s="43"/>
      <c r="Z94" s="43"/>
      <c r="AA94" s="43"/>
    </row>
    <row r="95" spans="4:27" x14ac:dyDescent="0.25">
      <c r="D95" s="43"/>
      <c r="E95" s="43"/>
      <c r="F95" s="43"/>
      <c r="G95" s="43"/>
      <c r="H95" s="43"/>
      <c r="I95" s="43"/>
      <c r="J95" s="43"/>
      <c r="K95" s="46"/>
      <c r="L95" s="44"/>
      <c r="N95" s="44"/>
      <c r="O95" s="43"/>
      <c r="P95" s="45"/>
      <c r="U95" s="43"/>
      <c r="V95" s="43"/>
      <c r="W95" s="43"/>
      <c r="X95" s="43"/>
      <c r="Y95" s="43"/>
      <c r="Z95" s="43"/>
      <c r="AA95" s="43"/>
    </row>
    <row r="96" spans="4:27" x14ac:dyDescent="0.25">
      <c r="D96" s="43"/>
      <c r="E96" s="43"/>
      <c r="F96" s="43"/>
      <c r="G96" s="43"/>
      <c r="H96" s="43"/>
      <c r="I96" s="43"/>
      <c r="J96" s="43"/>
      <c r="K96" s="46"/>
      <c r="L96" s="44"/>
      <c r="N96" s="44"/>
      <c r="O96" s="43"/>
      <c r="P96" s="45"/>
      <c r="U96" s="43"/>
      <c r="V96" s="43"/>
      <c r="W96" s="43"/>
      <c r="X96" s="43"/>
      <c r="Y96" s="43"/>
      <c r="Z96" s="43"/>
      <c r="AA96" s="43"/>
    </row>
    <row r="97" spans="4:27" x14ac:dyDescent="0.25">
      <c r="D97" s="43"/>
      <c r="E97" s="43"/>
      <c r="F97" s="43"/>
      <c r="G97" s="43"/>
      <c r="H97" s="43"/>
      <c r="I97" s="43"/>
      <c r="J97" s="43"/>
      <c r="K97" s="46"/>
      <c r="L97" s="44"/>
      <c r="N97" s="44"/>
      <c r="O97" s="43"/>
      <c r="P97" s="45"/>
      <c r="U97" s="43"/>
      <c r="V97" s="43"/>
      <c r="W97" s="43"/>
      <c r="X97" s="43"/>
      <c r="Y97" s="43"/>
      <c r="Z97" s="43"/>
      <c r="AA97" s="43"/>
    </row>
    <row r="98" spans="4:27" x14ac:dyDescent="0.25">
      <c r="D98" s="43"/>
      <c r="E98" s="43"/>
      <c r="F98" s="43"/>
      <c r="G98" s="43"/>
      <c r="H98" s="43"/>
      <c r="I98" s="43"/>
      <c r="J98" s="43"/>
      <c r="K98" s="46"/>
      <c r="L98" s="44"/>
      <c r="N98" s="44"/>
      <c r="O98" s="43"/>
      <c r="P98" s="45"/>
      <c r="U98" s="43"/>
      <c r="V98" s="43"/>
      <c r="W98" s="43"/>
      <c r="X98" s="43"/>
      <c r="Y98" s="43"/>
      <c r="Z98" s="43"/>
      <c r="AA98" s="43"/>
    </row>
    <row r="99" spans="4:27" x14ac:dyDescent="0.25">
      <c r="D99" s="43"/>
      <c r="E99" s="43"/>
      <c r="F99" s="43"/>
      <c r="G99" s="43"/>
      <c r="H99" s="43"/>
      <c r="I99" s="43"/>
      <c r="J99" s="43"/>
      <c r="K99" s="46"/>
      <c r="L99" s="44"/>
      <c r="N99" s="44"/>
      <c r="O99" s="43"/>
      <c r="P99" s="45"/>
      <c r="U99" s="43"/>
      <c r="V99" s="43"/>
      <c r="W99" s="43"/>
      <c r="X99" s="43"/>
      <c r="Y99" s="43"/>
      <c r="Z99" s="43"/>
      <c r="AA99" s="43"/>
    </row>
    <row r="100" spans="4:27" x14ac:dyDescent="0.25">
      <c r="D100" s="43"/>
      <c r="E100" s="43"/>
      <c r="F100" s="43"/>
      <c r="G100" s="43"/>
      <c r="H100" s="43"/>
      <c r="I100" s="43"/>
      <c r="J100" s="43"/>
      <c r="K100" s="46"/>
      <c r="L100" s="44"/>
      <c r="N100" s="44"/>
      <c r="O100" s="43"/>
      <c r="P100" s="45"/>
      <c r="U100" s="43"/>
      <c r="V100" s="43"/>
      <c r="W100" s="43"/>
      <c r="X100" s="43"/>
      <c r="Y100" s="43"/>
      <c r="Z100" s="43"/>
      <c r="AA100" s="43"/>
    </row>
    <row r="101" spans="4:27" x14ac:dyDescent="0.25">
      <c r="D101" s="43"/>
      <c r="E101" s="43"/>
      <c r="F101" s="43"/>
      <c r="G101" s="43"/>
      <c r="H101" s="43"/>
      <c r="I101" s="43"/>
      <c r="J101" s="43"/>
      <c r="K101" s="46"/>
      <c r="L101" s="44"/>
      <c r="N101" s="44"/>
      <c r="O101" s="43"/>
      <c r="P101" s="45"/>
      <c r="U101" s="43"/>
      <c r="V101" s="43"/>
      <c r="W101" s="43"/>
      <c r="X101" s="43"/>
      <c r="Y101" s="43"/>
      <c r="Z101" s="43"/>
      <c r="AA101" s="43"/>
    </row>
    <row r="102" spans="4:27" x14ac:dyDescent="0.25">
      <c r="D102" s="43"/>
      <c r="E102" s="43"/>
      <c r="F102" s="43"/>
      <c r="G102" s="43"/>
      <c r="H102" s="43"/>
      <c r="I102" s="43"/>
      <c r="J102" s="43"/>
      <c r="K102" s="46"/>
      <c r="L102" s="44"/>
      <c r="N102" s="44"/>
      <c r="O102" s="43"/>
      <c r="P102" s="45"/>
      <c r="U102" s="43"/>
      <c r="V102" s="43"/>
      <c r="W102" s="43"/>
      <c r="X102" s="43"/>
      <c r="Y102" s="43"/>
      <c r="Z102" s="43"/>
      <c r="AA102" s="43"/>
    </row>
    <row r="103" spans="4:27" x14ac:dyDescent="0.25">
      <c r="D103" s="43"/>
      <c r="E103" s="43"/>
      <c r="F103" s="43"/>
      <c r="G103" s="43"/>
      <c r="H103" s="43"/>
      <c r="I103" s="43"/>
      <c r="J103" s="43"/>
      <c r="K103" s="46"/>
      <c r="L103" s="44"/>
      <c r="N103" s="44"/>
      <c r="O103" s="43"/>
      <c r="P103" s="45"/>
      <c r="U103" s="43"/>
      <c r="V103" s="43"/>
      <c r="W103" s="43"/>
      <c r="X103" s="43"/>
      <c r="Y103" s="43"/>
      <c r="Z103" s="43"/>
      <c r="AA103" s="43"/>
    </row>
    <row r="104" spans="4:27" x14ac:dyDescent="0.25">
      <c r="D104" s="43"/>
      <c r="E104" s="43"/>
      <c r="F104" s="43"/>
      <c r="G104" s="43"/>
      <c r="H104" s="43"/>
      <c r="I104" s="43"/>
      <c r="J104" s="43"/>
      <c r="K104" s="46"/>
      <c r="L104" s="44"/>
      <c r="N104" s="44"/>
      <c r="O104" s="43"/>
      <c r="P104" s="45"/>
      <c r="U104" s="43"/>
      <c r="V104" s="43"/>
      <c r="W104" s="43"/>
      <c r="X104" s="43"/>
      <c r="Y104" s="43"/>
      <c r="Z104" s="43"/>
      <c r="AA104" s="43"/>
    </row>
    <row r="105" spans="4:27" x14ac:dyDescent="0.25">
      <c r="D105" s="43"/>
      <c r="E105" s="43"/>
      <c r="F105" s="43"/>
      <c r="G105" s="43"/>
      <c r="H105" s="43"/>
      <c r="I105" s="43"/>
      <c r="J105" s="43"/>
      <c r="K105" s="46"/>
      <c r="L105" s="44"/>
      <c r="N105" s="44"/>
      <c r="O105" s="43"/>
      <c r="P105" s="45"/>
      <c r="U105" s="43"/>
      <c r="V105" s="43"/>
      <c r="W105" s="43"/>
      <c r="X105" s="43"/>
      <c r="Y105" s="43"/>
      <c r="Z105" s="43"/>
      <c r="AA105" s="43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8">
    <tabColor theme="9"/>
  </sheetPr>
  <dimension ref="A1:AF66"/>
  <sheetViews>
    <sheetView workbookViewId="0">
      <selection activeCell="F4" sqref="F4"/>
    </sheetView>
  </sheetViews>
  <sheetFormatPr defaultColWidth="8.85546875" defaultRowHeight="12.75" x14ac:dyDescent="0.2"/>
  <cols>
    <col min="1" max="1" width="18.7109375" customWidth="1"/>
    <col min="2" max="2" width="34.7109375" customWidth="1"/>
    <col min="3" max="3" width="10.5703125" customWidth="1"/>
    <col min="4" max="4" width="40.140625" customWidth="1"/>
    <col min="5" max="5" width="4.7109375" customWidth="1"/>
    <col min="6" max="6" width="9.140625" customWidth="1"/>
    <col min="7" max="7" width="12" customWidth="1"/>
    <col min="8" max="8" width="23.7109375" style="69" customWidth="1"/>
    <col min="9" max="9" width="23.7109375" customWidth="1"/>
    <col min="10" max="10" width="5.42578125" customWidth="1"/>
    <col min="11" max="15" width="9.140625" customWidth="1"/>
    <col min="17" max="17" width="14.7109375" customWidth="1"/>
    <col min="18" max="18" width="14.5703125" customWidth="1"/>
    <col min="19" max="19" width="14.7109375" customWidth="1"/>
    <col min="21" max="21" width="21.5703125" customWidth="1"/>
    <col min="22" max="22" width="18" customWidth="1"/>
    <col min="23" max="24" width="18.5703125" customWidth="1"/>
    <col min="27" max="27" width="11.140625" customWidth="1"/>
    <col min="28" max="28" width="25.28515625" customWidth="1"/>
    <col min="29" max="29" width="15.42578125" customWidth="1"/>
  </cols>
  <sheetData>
    <row r="1" spans="1:13" ht="17.25" x14ac:dyDescent="0.3">
      <c r="A1" s="76" t="s">
        <v>155</v>
      </c>
      <c r="B1" s="76"/>
    </row>
    <row r="2" spans="1:13" ht="15.75" thickBot="1" x14ac:dyDescent="0.3">
      <c r="A2" s="77"/>
      <c r="B2" s="71"/>
      <c r="C2" s="99" t="s">
        <v>129</v>
      </c>
      <c r="E2" s="71"/>
      <c r="F2" s="71"/>
      <c r="G2" s="72"/>
      <c r="H2" s="99" t="s">
        <v>131</v>
      </c>
      <c r="J2" s="71"/>
      <c r="K2" s="71"/>
      <c r="L2" s="72"/>
    </row>
    <row r="3" spans="1:13" x14ac:dyDescent="0.2">
      <c r="A3" s="78" t="s">
        <v>135</v>
      </c>
      <c r="B3" s="79" t="s">
        <v>126</v>
      </c>
      <c r="C3" s="78" t="s">
        <v>136</v>
      </c>
      <c r="D3" s="79" t="s">
        <v>130</v>
      </c>
      <c r="E3" s="79" t="s">
        <v>132</v>
      </c>
      <c r="F3" s="79" t="s">
        <v>133</v>
      </c>
      <c r="G3" s="80" t="s">
        <v>154</v>
      </c>
      <c r="H3" s="78" t="s">
        <v>136</v>
      </c>
      <c r="I3" s="79" t="s">
        <v>130</v>
      </c>
      <c r="J3" s="79" t="s">
        <v>132</v>
      </c>
      <c r="K3" s="79" t="s">
        <v>133</v>
      </c>
      <c r="L3" s="80" t="s">
        <v>154</v>
      </c>
      <c r="M3" t="s">
        <v>134</v>
      </c>
    </row>
    <row r="4" spans="1:13" x14ac:dyDescent="0.2">
      <c r="A4" s="77" t="str">
        <f>RES!O2</f>
        <v>IPGM</v>
      </c>
      <c r="B4" s="71" t="str">
        <f>RES!O3</f>
        <v>Industry - PGMs - Platinum</v>
      </c>
      <c r="C4" s="77" t="str">
        <f>RES!M9</f>
        <v>IPGMME-E</v>
      </c>
      <c r="D4" s="71" t="str">
        <f>RES!M5</f>
        <v>Industry - PGMs - Mine and refine - existing</v>
      </c>
      <c r="E4" s="67" t="s">
        <v>116</v>
      </c>
      <c r="F4" s="70">
        <f>D28</f>
        <v>260</v>
      </c>
      <c r="G4" s="104"/>
      <c r="H4" s="77"/>
      <c r="I4" s="71"/>
      <c r="J4" s="83"/>
      <c r="K4" s="82"/>
      <c r="L4" s="72"/>
    </row>
    <row r="5" spans="1:13" x14ac:dyDescent="0.2">
      <c r="A5" s="69" t="str">
        <f>RES!P2</f>
        <v>IPGMOP</v>
      </c>
      <c r="B5" t="str">
        <f>RES!P3</f>
        <v>Industry - PGMs - Other PGMs</v>
      </c>
      <c r="C5" s="69"/>
      <c r="E5" s="67"/>
      <c r="F5" s="70"/>
      <c r="G5" s="102"/>
    </row>
    <row r="6" spans="1:13" x14ac:dyDescent="0.2">
      <c r="A6" s="69" t="str">
        <f>RES!W2</f>
        <v>IPGMD</v>
      </c>
      <c r="B6" t="str">
        <f>RES!W3</f>
        <v>Industry - demand for PGMS - Pt</v>
      </c>
      <c r="C6" s="69" t="str">
        <f>RES!T9</f>
        <v>XIPGM</v>
      </c>
      <c r="D6" t="str">
        <f>RES!T7</f>
        <v>Industry - PGMs - to local demand</v>
      </c>
      <c r="F6" s="274">
        <f>D34</f>
        <v>31</v>
      </c>
      <c r="G6" s="102"/>
    </row>
    <row r="7" spans="1:13" x14ac:dyDescent="0.2">
      <c r="A7" s="69"/>
      <c r="C7" s="69"/>
      <c r="G7" s="102"/>
      <c r="H7" s="69" t="str">
        <f>RES!T15</f>
        <v>PEXPGM</v>
      </c>
      <c r="I7" t="str">
        <f>RES!T13</f>
        <v>Export PGMs - Pt</v>
      </c>
      <c r="K7" s="274">
        <f>D35</f>
        <v>125.30659928953824</v>
      </c>
    </row>
    <row r="8" spans="1:13" x14ac:dyDescent="0.2">
      <c r="A8" s="69"/>
      <c r="C8" s="69"/>
      <c r="G8" s="102"/>
      <c r="H8" s="69" t="str">
        <f>RES!T20</f>
        <v>PEXPGMO</v>
      </c>
      <c r="I8" t="str">
        <f>RES!T18</f>
        <v>Export PGMs - Others</v>
      </c>
      <c r="K8" s="274">
        <f>D36</f>
        <v>103.69340071046176</v>
      </c>
    </row>
    <row r="9" spans="1:13" x14ac:dyDescent="0.2">
      <c r="A9" s="69"/>
      <c r="C9" s="69"/>
      <c r="G9" s="102"/>
    </row>
    <row r="10" spans="1:13" ht="15" x14ac:dyDescent="0.25">
      <c r="A10" s="109" t="str">
        <f>RES!D2</f>
        <v>INDCOA</v>
      </c>
      <c r="B10" s="85" t="str">
        <f>RES!D3</f>
        <v>Industry - Coal</v>
      </c>
      <c r="C10" s="84"/>
      <c r="D10" s="85"/>
      <c r="E10" s="86"/>
      <c r="F10" s="103"/>
      <c r="G10" s="87"/>
      <c r="H10" s="84" t="str">
        <f>C4</f>
        <v>IPGMME-E</v>
      </c>
      <c r="I10" s="84" t="str">
        <f>D4</f>
        <v>Industry - PGMs - Mine and refine - existing</v>
      </c>
      <c r="J10" s="86" t="s">
        <v>116</v>
      </c>
      <c r="K10" s="110">
        <f>D20</f>
        <v>3.9478462800501317</v>
      </c>
      <c r="L10" s="87"/>
      <c r="M10" s="67"/>
    </row>
    <row r="11" spans="1:13" ht="15" x14ac:dyDescent="0.25">
      <c r="A11" s="109" t="str">
        <f>RES!E2</f>
        <v>INFELC</v>
      </c>
      <c r="B11" s="85" t="str">
        <f>RES!E3</f>
        <v>Industry - NonFerrous - Electricity</v>
      </c>
      <c r="C11" s="77"/>
      <c r="D11" s="71"/>
      <c r="E11" s="83"/>
      <c r="F11" s="106"/>
      <c r="G11" s="72"/>
      <c r="H11" s="77" t="str">
        <f>RES!M9</f>
        <v>IPGMME-E</v>
      </c>
      <c r="I11" s="71" t="str">
        <f>RES!M5</f>
        <v>Industry - PGMs - Mine and refine - existing</v>
      </c>
      <c r="J11" s="83" t="s">
        <v>116</v>
      </c>
      <c r="K11" s="110">
        <f>D21</f>
        <v>39.297699837949885</v>
      </c>
      <c r="L11" s="90"/>
    </row>
    <row r="12" spans="1:13" ht="15" x14ac:dyDescent="0.25">
      <c r="A12" s="109" t="str">
        <f>RES!F2</f>
        <v>INDODS</v>
      </c>
      <c r="B12" s="85" t="str">
        <f>RES!F3</f>
        <v>Industry - Diesel</v>
      </c>
      <c r="C12" s="73"/>
      <c r="D12" s="74"/>
      <c r="E12" s="74"/>
      <c r="F12" s="74"/>
      <c r="G12" s="75"/>
      <c r="H12" s="73" t="str">
        <f>H10</f>
        <v>IPGMME-E</v>
      </c>
      <c r="I12" s="74" t="str">
        <f>I10</f>
        <v>Industry - PGMs - Mine and refine - existing</v>
      </c>
      <c r="J12" s="81" t="s">
        <v>116</v>
      </c>
      <c r="K12" s="110">
        <f>D23</f>
        <v>4.5246489747494749</v>
      </c>
      <c r="L12" s="75"/>
      <c r="M12" s="67"/>
    </row>
    <row r="13" spans="1:13" ht="15" x14ac:dyDescent="0.25">
      <c r="A13" s="109" t="str">
        <f>RES!G2</f>
        <v>INDGAS</v>
      </c>
      <c r="B13" s="85" t="str">
        <f>RES!G3</f>
        <v>Industry - NonFerrous - Gas</v>
      </c>
      <c r="G13" s="119"/>
      <c r="H13" s="73" t="str">
        <f>H11</f>
        <v>IPGMME-E</v>
      </c>
      <c r="I13" s="74" t="str">
        <f>I11</f>
        <v>Industry - PGMs - Mine and refine - existing</v>
      </c>
      <c r="J13" s="81" t="s">
        <v>116</v>
      </c>
      <c r="K13" s="120">
        <f>D22</f>
        <v>0.26574693623601153</v>
      </c>
      <c r="M13" s="67"/>
    </row>
    <row r="14" spans="1:13" x14ac:dyDescent="0.2">
      <c r="C14" s="71"/>
      <c r="D14" s="71"/>
      <c r="E14" s="71"/>
      <c r="F14" s="113"/>
      <c r="G14" s="72"/>
      <c r="H14" s="77"/>
      <c r="I14" s="71"/>
      <c r="K14" s="71"/>
      <c r="L14" s="71"/>
      <c r="M14" s="67"/>
    </row>
    <row r="15" spans="1:13" x14ac:dyDescent="0.2">
      <c r="M15" s="67"/>
    </row>
    <row r="17" spans="2:32" x14ac:dyDescent="0.2">
      <c r="M17" s="67"/>
    </row>
    <row r="18" spans="2:32" x14ac:dyDescent="0.2">
      <c r="B18" s="1" t="s">
        <v>175</v>
      </c>
      <c r="G18" s="67" t="s">
        <v>574</v>
      </c>
    </row>
    <row r="19" spans="2:32" x14ac:dyDescent="0.2">
      <c r="C19" s="1">
        <v>2012</v>
      </c>
      <c r="D19" s="1">
        <v>2017</v>
      </c>
      <c r="G19" s="1">
        <v>2030</v>
      </c>
    </row>
    <row r="20" spans="2:32" x14ac:dyDescent="0.2">
      <c r="B20" t="s">
        <v>137</v>
      </c>
      <c r="D20" s="70">
        <f>'PGM methodology'!L52</f>
        <v>3.9478462800501317</v>
      </c>
      <c r="G20" s="70">
        <f>'PGM methodology'!O52</f>
        <v>3.9478462800501317</v>
      </c>
    </row>
    <row r="21" spans="2:32" x14ac:dyDescent="0.2">
      <c r="B21" t="s">
        <v>172</v>
      </c>
      <c r="D21" s="70">
        <f>'PGM methodology'!L50</f>
        <v>39.297699837949885</v>
      </c>
      <c r="G21" s="70">
        <f>'PGM methodology'!O50</f>
        <v>37.548388240547808</v>
      </c>
      <c r="M21" s="67"/>
      <c r="O21" s="88"/>
      <c r="P21" s="88"/>
      <c r="Q21" s="88"/>
      <c r="R21" s="88"/>
      <c r="S21" s="88"/>
      <c r="T21" s="88"/>
      <c r="U21" s="88"/>
      <c r="V21" s="88"/>
      <c r="W21" s="88"/>
      <c r="X21" s="88"/>
      <c r="Y21" s="88"/>
      <c r="Z21" s="88"/>
      <c r="AA21" s="88"/>
      <c r="AB21" s="88"/>
      <c r="AC21" s="88"/>
      <c r="AD21" s="88"/>
      <c r="AE21" s="88"/>
      <c r="AF21" s="88"/>
    </row>
    <row r="22" spans="2:32" x14ac:dyDescent="0.2">
      <c r="B22" t="s">
        <v>173</v>
      </c>
      <c r="D22" s="70">
        <f>'PGM methodology'!L53</f>
        <v>0.26574693623601153</v>
      </c>
      <c r="G22" s="70">
        <f>'PGM methodology'!O53</f>
        <v>0.26574693623601153</v>
      </c>
    </row>
    <row r="23" spans="2:32" x14ac:dyDescent="0.2">
      <c r="B23" t="s">
        <v>174</v>
      </c>
      <c r="D23" s="70">
        <f>'PGM methodology'!L51</f>
        <v>4.5246489747494749</v>
      </c>
      <c r="E23" s="67" t="s">
        <v>443</v>
      </c>
      <c r="G23" s="70">
        <f>'PGM methodology'!O51</f>
        <v>4.5246489747494749</v>
      </c>
      <c r="M23" s="67"/>
    </row>
    <row r="24" spans="2:32" x14ac:dyDescent="0.2">
      <c r="D24" s="70">
        <f>SUM(D20:D23)</f>
        <v>48.035942028985502</v>
      </c>
      <c r="G24" s="70">
        <f>'PGM methodology'!O56</f>
        <v>0</v>
      </c>
    </row>
    <row r="25" spans="2:32" x14ac:dyDescent="0.2">
      <c r="M25" s="67"/>
    </row>
    <row r="26" spans="2:32" ht="15" customHeight="1" x14ac:dyDescent="0.2">
      <c r="B26" s="1" t="s">
        <v>563</v>
      </c>
      <c r="M26" s="67"/>
    </row>
    <row r="27" spans="2:32" x14ac:dyDescent="0.2">
      <c r="C27" s="1">
        <v>2012</v>
      </c>
      <c r="D27" s="1">
        <v>2017</v>
      </c>
      <c r="E27" s="70"/>
      <c r="M27" s="67"/>
    </row>
    <row r="28" spans="2:32" x14ac:dyDescent="0.2">
      <c r="B28" s="67" t="s">
        <v>455</v>
      </c>
      <c r="D28" s="112">
        <f>'PGM methodology'!L4</f>
        <v>260</v>
      </c>
      <c r="E28" s="70"/>
      <c r="G28" s="112">
        <f>D28</f>
        <v>260</v>
      </c>
      <c r="M28" s="67"/>
    </row>
    <row r="29" spans="2:32" x14ac:dyDescent="0.2">
      <c r="B29" s="67" t="s">
        <v>178</v>
      </c>
      <c r="D29" s="274">
        <f>'PGM methodology'!L12</f>
        <v>156.30659928953824</v>
      </c>
      <c r="E29" s="70"/>
      <c r="M29" s="67"/>
    </row>
    <row r="30" spans="2:32" x14ac:dyDescent="0.2">
      <c r="B30" s="67" t="s">
        <v>537</v>
      </c>
      <c r="D30" s="274">
        <f>'PGM methodology'!L13</f>
        <v>103.69340071046176</v>
      </c>
      <c r="E30" s="70"/>
      <c r="M30" s="67"/>
    </row>
    <row r="31" spans="2:32" x14ac:dyDescent="0.2">
      <c r="M31" s="67"/>
    </row>
    <row r="32" spans="2:32" x14ac:dyDescent="0.2">
      <c r="M32" s="67"/>
    </row>
    <row r="33" spans="2:13" x14ac:dyDescent="0.2">
      <c r="B33" s="1" t="s">
        <v>562</v>
      </c>
      <c r="M33" s="67"/>
    </row>
    <row r="34" spans="2:13" x14ac:dyDescent="0.2">
      <c r="B34" s="67" t="s">
        <v>564</v>
      </c>
      <c r="D34" s="70">
        <f>'PGM methodology'!L22</f>
        <v>31</v>
      </c>
      <c r="M34" s="67"/>
    </row>
    <row r="35" spans="2:13" x14ac:dyDescent="0.2">
      <c r="B35" s="67" t="s">
        <v>565</v>
      </c>
      <c r="D35" s="70">
        <f>'PGM methodology'!L23</f>
        <v>125.30659928953824</v>
      </c>
      <c r="M35" s="67"/>
    </row>
    <row r="36" spans="2:13" x14ac:dyDescent="0.2">
      <c r="B36" s="67" t="s">
        <v>566</v>
      </c>
      <c r="D36" s="70">
        <f>'PGM methodology'!L24</f>
        <v>103.69340071046176</v>
      </c>
      <c r="M36" s="67"/>
    </row>
    <row r="37" spans="2:13" x14ac:dyDescent="0.2">
      <c r="M37" s="67"/>
    </row>
    <row r="38" spans="2:13" x14ac:dyDescent="0.2">
      <c r="M38" s="67"/>
    </row>
    <row r="39" spans="2:13" x14ac:dyDescent="0.2">
      <c r="M39" s="67"/>
    </row>
    <row r="40" spans="2:13" x14ac:dyDescent="0.2">
      <c r="M40" s="67"/>
    </row>
    <row r="41" spans="2:13" x14ac:dyDescent="0.2">
      <c r="M41" s="67"/>
    </row>
    <row r="42" spans="2:13" x14ac:dyDescent="0.2">
      <c r="M42" s="67"/>
    </row>
    <row r="43" spans="2:13" x14ac:dyDescent="0.2">
      <c r="M43" s="67"/>
    </row>
    <row r="44" spans="2:13" x14ac:dyDescent="0.2">
      <c r="M44" s="67"/>
    </row>
    <row r="45" spans="2:13" x14ac:dyDescent="0.2">
      <c r="M45" s="67"/>
    </row>
    <row r="46" spans="2:13" x14ac:dyDescent="0.2">
      <c r="M46" s="67"/>
    </row>
    <row r="47" spans="2:13" x14ac:dyDescent="0.2">
      <c r="M47" s="67"/>
    </row>
    <row r="48" spans="2:13" x14ac:dyDescent="0.2">
      <c r="M48" s="67"/>
    </row>
    <row r="49" spans="6:13" x14ac:dyDescent="0.2">
      <c r="M49" s="67"/>
    </row>
    <row r="50" spans="6:13" x14ac:dyDescent="0.2">
      <c r="M50" s="67"/>
    </row>
    <row r="51" spans="6:13" x14ac:dyDescent="0.2">
      <c r="M51" s="67"/>
    </row>
    <row r="52" spans="6:13" x14ac:dyDescent="0.2">
      <c r="M52" s="67"/>
    </row>
    <row r="53" spans="6:13" x14ac:dyDescent="0.2">
      <c r="M53" s="67"/>
    </row>
    <row r="54" spans="6:13" x14ac:dyDescent="0.2">
      <c r="M54" s="67"/>
    </row>
    <row r="55" spans="6:13" x14ac:dyDescent="0.2">
      <c r="M55" s="67"/>
    </row>
    <row r="56" spans="6:13" x14ac:dyDescent="0.2">
      <c r="M56" s="67"/>
    </row>
    <row r="57" spans="6:13" x14ac:dyDescent="0.2">
      <c r="M57" s="67"/>
    </row>
    <row r="58" spans="6:13" x14ac:dyDescent="0.2">
      <c r="M58" s="67"/>
    </row>
    <row r="59" spans="6:13" x14ac:dyDescent="0.2">
      <c r="M59" s="67"/>
    </row>
    <row r="60" spans="6:13" x14ac:dyDescent="0.2">
      <c r="M60" s="67"/>
    </row>
    <row r="61" spans="6:13" x14ac:dyDescent="0.2">
      <c r="F61" s="112"/>
      <c r="I61" s="112"/>
      <c r="J61" s="112"/>
      <c r="K61" s="112"/>
    </row>
    <row r="62" spans="6:13" x14ac:dyDescent="0.2">
      <c r="F62" s="112"/>
      <c r="I62" s="112"/>
      <c r="J62" s="112"/>
      <c r="K62" s="112"/>
    </row>
    <row r="63" spans="6:13" x14ac:dyDescent="0.2">
      <c r="F63" s="112"/>
      <c r="I63" s="112"/>
      <c r="J63" s="112"/>
      <c r="K63" s="112"/>
    </row>
    <row r="64" spans="6:13" x14ac:dyDescent="0.2">
      <c r="F64" s="112"/>
      <c r="I64" s="112"/>
      <c r="J64" s="112"/>
      <c r="K64" s="112"/>
    </row>
    <row r="66" spans="9:11" x14ac:dyDescent="0.2">
      <c r="I66" s="112"/>
      <c r="J66" s="112"/>
      <c r="K66" s="112"/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8"/>
  <dimension ref="A1:D13"/>
  <sheetViews>
    <sheetView workbookViewId="0"/>
  </sheetViews>
  <sheetFormatPr defaultColWidth="9.140625" defaultRowHeight="11.25" x14ac:dyDescent="0.2"/>
  <cols>
    <col min="1" max="1" width="14.5703125" style="3" customWidth="1"/>
    <col min="2" max="2" width="42.5703125" style="3" customWidth="1"/>
    <col min="3" max="3" width="28.5703125" style="3" customWidth="1"/>
    <col min="4" max="4" width="21.7109375" style="3" customWidth="1"/>
    <col min="5" max="16384" width="9.140625" style="3"/>
  </cols>
  <sheetData>
    <row r="1" spans="1:4" x14ac:dyDescent="0.2">
      <c r="A1" s="2" t="s">
        <v>100</v>
      </c>
      <c r="B1" s="3" t="s">
        <v>101</v>
      </c>
    </row>
    <row r="3" spans="1:4" ht="18" customHeight="1" x14ac:dyDescent="0.2"/>
    <row r="7" spans="1:4" x14ac:dyDescent="0.2">
      <c r="A7" s="2" t="s">
        <v>16</v>
      </c>
      <c r="B7" s="2" t="s">
        <v>15</v>
      </c>
      <c r="C7" s="2" t="s">
        <v>1</v>
      </c>
      <c r="D7" s="2" t="s">
        <v>0</v>
      </c>
    </row>
    <row r="8" spans="1:4" x14ac:dyDescent="0.2">
      <c r="A8" s="5" t="s">
        <v>17</v>
      </c>
      <c r="B8" s="5" t="s">
        <v>18</v>
      </c>
      <c r="C8" s="5" t="s">
        <v>19</v>
      </c>
    </row>
    <row r="9" spans="1:4" x14ac:dyDescent="0.2">
      <c r="A9" s="2" t="s">
        <v>96</v>
      </c>
    </row>
    <row r="10" spans="1:4" x14ac:dyDescent="0.2">
      <c r="A10" s="3" t="s">
        <v>95</v>
      </c>
      <c r="B10" s="3" t="s">
        <v>95</v>
      </c>
      <c r="C10" s="5" t="s">
        <v>97</v>
      </c>
    </row>
    <row r="11" spans="1:4" x14ac:dyDescent="0.2">
      <c r="A11" s="3" t="s">
        <v>98</v>
      </c>
      <c r="B11" s="3" t="s">
        <v>98</v>
      </c>
      <c r="C11" s="5" t="s">
        <v>97</v>
      </c>
    </row>
    <row r="13" spans="1:4" x14ac:dyDescent="0.2">
      <c r="A13" s="2" t="s">
        <v>102</v>
      </c>
    </row>
  </sheetData>
  <phoneticPr fontId="22" type="noConversion"/>
  <pageMargins left="0.75" right="0.75" top="1" bottom="1" header="0.5" footer="0.5"/>
  <pageSetup paperSize="9" orientation="portrait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63489" r:id="rId4" name="cmdCheckRegionsSheet">
          <controlPr defaultSize="0" autoLine="0" r:id="rId5">
            <anchor moveWithCells="1">
              <from>
                <xdr:col>0</xdr:col>
                <xdr:colOff>9525</xdr:colOff>
                <xdr:row>2</xdr:row>
                <xdr:rowOff>0</xdr:rowOff>
              </from>
              <to>
                <xdr:col>0</xdr:col>
                <xdr:colOff>828675</xdr:colOff>
                <xdr:row>3</xdr:row>
                <xdr:rowOff>9525</xdr:rowOff>
              </to>
            </anchor>
          </controlPr>
        </control>
      </mc:Choice>
      <mc:Fallback>
        <control shapeId="63489" r:id="rId4" name="cmdCheckRegionsSheet"/>
      </mc:Fallback>
    </mc:AlternateContent>
    <mc:AlternateContent xmlns:mc="http://schemas.openxmlformats.org/markup-compatibility/2006">
      <mc:Choice Requires="x14">
        <control shapeId="63490" r:id="rId6" name="cmdSpecifySets">
          <controlPr defaultSize="0" autoLine="0" r:id="rId7">
            <anchor moveWithCells="1">
              <from>
                <xdr:col>2</xdr:col>
                <xdr:colOff>9525</xdr:colOff>
                <xdr:row>3</xdr:row>
                <xdr:rowOff>19050</xdr:rowOff>
              </from>
              <to>
                <xdr:col>3</xdr:col>
                <xdr:colOff>9525</xdr:colOff>
                <xdr:row>4</xdr:row>
                <xdr:rowOff>114300</xdr:rowOff>
              </to>
            </anchor>
          </controlPr>
        </control>
      </mc:Choice>
      <mc:Fallback>
        <control shapeId="63490" r:id="rId6" name="cmdSpecifySets"/>
      </mc:Fallback>
    </mc:AlternateContent>
  </control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2"/>
  <dimension ref="A1:F7"/>
  <sheetViews>
    <sheetView workbookViewId="0"/>
  </sheetViews>
  <sheetFormatPr defaultColWidth="9.140625" defaultRowHeight="11.25" x14ac:dyDescent="0.2"/>
  <cols>
    <col min="1" max="1" width="12.85546875" style="9" customWidth="1"/>
    <col min="2" max="2" width="12.28515625" style="9" customWidth="1"/>
    <col min="3" max="3" width="21" style="9" customWidth="1"/>
    <col min="4" max="4" width="10.28515625" style="9" customWidth="1"/>
    <col min="5" max="5" width="29.7109375" style="9" customWidth="1"/>
    <col min="6" max="6" width="10.28515625" style="9" customWidth="1"/>
    <col min="7" max="16384" width="9.140625" style="9"/>
  </cols>
  <sheetData>
    <row r="1" spans="1:6" x14ac:dyDescent="0.2">
      <c r="A1" s="11" t="s">
        <v>99</v>
      </c>
    </row>
    <row r="4" spans="1:6" ht="17.25" customHeight="1" x14ac:dyDescent="0.2"/>
    <row r="5" spans="1:6" ht="17.25" customHeight="1" x14ac:dyDescent="0.2">
      <c r="C5" s="10"/>
    </row>
    <row r="6" spans="1:6" ht="15.75" customHeight="1" x14ac:dyDescent="0.2"/>
    <row r="7" spans="1:6" x14ac:dyDescent="0.2">
      <c r="B7" s="15" t="s">
        <v>40</v>
      </c>
      <c r="C7" s="11" t="s">
        <v>41</v>
      </c>
      <c r="D7" s="11" t="s">
        <v>42</v>
      </c>
      <c r="E7" s="11" t="s">
        <v>1</v>
      </c>
      <c r="F7" s="11" t="s">
        <v>0</v>
      </c>
    </row>
  </sheetData>
  <pageMargins left="0.75" right="0.75" top="1" bottom="1" header="0.5" footer="0.5"/>
  <pageSetup paperSize="9" orientation="portrait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71681" r:id="rId4" name="cmdSpecifySets">
          <controlPr defaultSize="0" autoLine="0" r:id="rId5">
            <anchor moveWithCells="1">
              <from>
                <xdr:col>4</xdr:col>
                <xdr:colOff>19050</xdr:colOff>
                <xdr:row>3</xdr:row>
                <xdr:rowOff>133350</xdr:rowOff>
              </from>
              <to>
                <xdr:col>4</xdr:col>
                <xdr:colOff>1924050</xdr:colOff>
                <xdr:row>4</xdr:row>
                <xdr:rowOff>152400</xdr:rowOff>
              </to>
            </anchor>
          </controlPr>
        </control>
      </mc:Choice>
      <mc:Fallback>
        <control shapeId="71681" r:id="rId4" name="cmdSpecifySets"/>
      </mc:Fallback>
    </mc:AlternateContent>
    <mc:AlternateContent xmlns:mc="http://schemas.openxmlformats.org/markup-compatibility/2006">
      <mc:Choice Requires="x14">
        <control shapeId="71682" r:id="rId6" name="cmdCheckCommoditiesSheet">
          <controlPr defaultSize="0" autoLine="0" r:id="rId7">
            <anchor moveWithCells="1">
              <from>
                <xdr:col>0</xdr:col>
                <xdr:colOff>9525</xdr:colOff>
                <xdr:row>2</xdr:row>
                <xdr:rowOff>0</xdr:rowOff>
              </from>
              <to>
                <xdr:col>0</xdr:col>
                <xdr:colOff>828675</xdr:colOff>
                <xdr:row>3</xdr:row>
                <xdr:rowOff>95250</xdr:rowOff>
              </to>
            </anchor>
          </controlPr>
        </control>
      </mc:Choice>
      <mc:Fallback>
        <control shapeId="71682" r:id="rId6" name="cmdCheckCommoditiesSheet"/>
      </mc:Fallback>
    </mc:AlternateContent>
    <mc:AlternateContent xmlns:mc="http://schemas.openxmlformats.org/markup-compatibility/2006">
      <mc:Choice Requires="x14">
        <control shapeId="71683" r:id="rId8" name="cmdCommUnit">
          <controlPr defaultSize="0" autoLine="0" r:id="rId9">
            <anchor moveWithCells="1">
              <from>
                <xdr:col>3</xdr:col>
                <xdr:colOff>9525</xdr:colOff>
                <xdr:row>3</xdr:row>
                <xdr:rowOff>133350</xdr:rowOff>
              </from>
              <to>
                <xdr:col>3</xdr:col>
                <xdr:colOff>676275</xdr:colOff>
                <xdr:row>4</xdr:row>
                <xdr:rowOff>152400</xdr:rowOff>
              </to>
            </anchor>
          </controlPr>
        </control>
      </mc:Choice>
      <mc:Fallback>
        <control shapeId="71683" r:id="rId8" name="cmdCommUnit"/>
      </mc:Fallback>
    </mc:AlternateContent>
  </control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5">
    <tabColor theme="4"/>
  </sheetPr>
  <dimension ref="A1:I20"/>
  <sheetViews>
    <sheetView workbookViewId="0">
      <selection activeCell="I25" sqref="I25"/>
    </sheetView>
  </sheetViews>
  <sheetFormatPr defaultColWidth="9.140625" defaultRowHeight="11.25" x14ac:dyDescent="0.2"/>
  <cols>
    <col min="1" max="1" width="12.85546875" style="9" customWidth="1"/>
    <col min="2" max="2" width="24.28515625" style="9" customWidth="1"/>
    <col min="3" max="3" width="28" style="9" customWidth="1"/>
    <col min="4" max="4" width="10.28515625" style="9" customWidth="1"/>
    <col min="5" max="5" width="29.7109375" style="9" customWidth="1"/>
    <col min="6" max="6" width="10.28515625" style="9" customWidth="1"/>
    <col min="7" max="16384" width="9.140625" style="9"/>
  </cols>
  <sheetData>
    <row r="1" spans="1:9" x14ac:dyDescent="0.2">
      <c r="A1" s="300" t="str">
        <f ca="1">IF(INDEX(Index!$E$6:$E$37,MATCH(A2,Index!$D$6:$D$37,0))=1,LEFT(A2,SEARCH("_",A2)-1),"")</f>
        <v>Commodities</v>
      </c>
      <c r="B1" s="9" t="s">
        <v>125</v>
      </c>
    </row>
    <row r="2" spans="1:9" ht="12.75" x14ac:dyDescent="0.2">
      <c r="A2" s="301" t="str">
        <f ca="1">MID(CELL("filename",A1),FIND("]",CELL("filename",A1))+1,255)</f>
        <v>Commodities_BASE</v>
      </c>
    </row>
    <row r="4" spans="1:9" ht="17.25" customHeight="1" x14ac:dyDescent="0.2"/>
    <row r="5" spans="1:9" ht="17.25" customHeight="1" x14ac:dyDescent="0.2">
      <c r="C5" s="10"/>
    </row>
    <row r="6" spans="1:9" ht="15.75" customHeight="1" x14ac:dyDescent="0.2">
      <c r="B6" s="9" t="s">
        <v>583</v>
      </c>
    </row>
    <row r="7" spans="1:9" x14ac:dyDescent="0.2">
      <c r="B7" s="15" t="s">
        <v>40</v>
      </c>
      <c r="C7" s="11" t="s">
        <v>41</v>
      </c>
      <c r="D7" s="11" t="s">
        <v>42</v>
      </c>
      <c r="E7" s="11" t="s">
        <v>584</v>
      </c>
      <c r="F7" s="11" t="s">
        <v>585</v>
      </c>
      <c r="G7" s="9" t="s">
        <v>586</v>
      </c>
      <c r="H7" s="9" t="s">
        <v>587</v>
      </c>
    </row>
    <row r="8" spans="1:9" s="8" customFormat="1" ht="12.75" x14ac:dyDescent="0.2">
      <c r="A8" s="28" t="s">
        <v>114</v>
      </c>
      <c r="B8" s="31"/>
      <c r="C8" s="31"/>
      <c r="D8" s="31"/>
    </row>
    <row r="9" spans="1:9" s="8" customFormat="1" ht="12.75" x14ac:dyDescent="0.2">
      <c r="A9" s="29"/>
      <c r="B9" s="29" t="str">
        <f>RES!D2</f>
        <v>INDCOA</v>
      </c>
      <c r="C9" s="29" t="str">
        <f>RES!D3</f>
        <v>Industry - Coal</v>
      </c>
      <c r="D9" s="17" t="s">
        <v>116</v>
      </c>
      <c r="E9" s="17" t="s">
        <v>38</v>
      </c>
      <c r="F9" s="9" t="s">
        <v>121</v>
      </c>
    </row>
    <row r="10" spans="1:9" s="8" customFormat="1" ht="12.75" x14ac:dyDescent="0.2">
      <c r="A10" s="29"/>
      <c r="B10" s="29" t="str">
        <f>RES!E2</f>
        <v>INFELC</v>
      </c>
      <c r="C10" s="29" t="str">
        <f>RES!E3</f>
        <v>Industry - NonFerrous - Electricity</v>
      </c>
      <c r="D10" s="17" t="s">
        <v>116</v>
      </c>
      <c r="E10" s="17" t="s">
        <v>38</v>
      </c>
      <c r="F10" s="9" t="s">
        <v>588</v>
      </c>
      <c r="G10" s="9" t="s">
        <v>121</v>
      </c>
      <c r="H10" s="9" t="s">
        <v>589</v>
      </c>
      <c r="I10" s="9"/>
    </row>
    <row r="11" spans="1:9" s="8" customFormat="1" ht="12.75" x14ac:dyDescent="0.2">
      <c r="A11" s="29"/>
      <c r="B11" s="29" t="str">
        <f>RES!F2</f>
        <v>INDODS</v>
      </c>
      <c r="C11" s="29" t="str">
        <f>RES!F3</f>
        <v>Industry - Diesel</v>
      </c>
      <c r="D11" s="17" t="s">
        <v>116</v>
      </c>
      <c r="E11" s="17" t="s">
        <v>38</v>
      </c>
      <c r="F11" s="9" t="s">
        <v>121</v>
      </c>
      <c r="I11" s="9"/>
    </row>
    <row r="12" spans="1:9" s="8" customFormat="1" ht="12.75" x14ac:dyDescent="0.2">
      <c r="A12" s="29" t="s">
        <v>92</v>
      </c>
      <c r="B12" s="29" t="str">
        <f>RES!G2</f>
        <v>INDGAS</v>
      </c>
      <c r="C12" s="29" t="str">
        <f>RES!G3</f>
        <v>Industry - NonFerrous - Gas</v>
      </c>
      <c r="D12" s="17" t="s">
        <v>116</v>
      </c>
      <c r="E12" s="17" t="s">
        <v>38</v>
      </c>
      <c r="F12" s="9" t="s">
        <v>121</v>
      </c>
      <c r="I12" s="9"/>
    </row>
    <row r="13" spans="1:9" s="8" customFormat="1" ht="12.75" x14ac:dyDescent="0.2">
      <c r="A13" s="29"/>
      <c r="B13" s="29" t="str">
        <f>RES!O2</f>
        <v>IPGM</v>
      </c>
      <c r="C13" s="29" t="str">
        <f>RES!O3</f>
        <v>Industry - PGMs - Platinum</v>
      </c>
      <c r="D13" s="17" t="s">
        <v>116</v>
      </c>
      <c r="E13" s="17" t="s">
        <v>38</v>
      </c>
      <c r="F13" s="9" t="s">
        <v>121</v>
      </c>
      <c r="I13" s="9"/>
    </row>
    <row r="14" spans="1:9" s="8" customFormat="1" ht="12.75" x14ac:dyDescent="0.2">
      <c r="A14" s="29"/>
      <c r="B14" s="29" t="str">
        <f>RES!P2</f>
        <v>IPGMOP</v>
      </c>
      <c r="C14" s="29" t="str">
        <f>RES!P3</f>
        <v>Industry - PGMs - Other PGMs</v>
      </c>
      <c r="D14" s="17" t="s">
        <v>116</v>
      </c>
      <c r="E14" s="17" t="s">
        <v>38</v>
      </c>
      <c r="F14" s="9" t="s">
        <v>121</v>
      </c>
      <c r="I14" s="9"/>
    </row>
    <row r="15" spans="1:9" s="8" customFormat="1" ht="12.75" x14ac:dyDescent="0.2">
      <c r="A15" s="29"/>
      <c r="B15" s="29" t="str">
        <f>RES!W2</f>
        <v>IPGMD</v>
      </c>
      <c r="C15" s="29" t="str">
        <f>RES!W3</f>
        <v>Industry - demand for PGMS - Pt</v>
      </c>
      <c r="D15" s="17" t="s">
        <v>116</v>
      </c>
      <c r="E15" s="17" t="s">
        <v>30</v>
      </c>
      <c r="F15" s="9" t="s">
        <v>121</v>
      </c>
      <c r="I15" s="9"/>
    </row>
    <row r="16" spans="1:9" s="8" customFormat="1" ht="12.75" x14ac:dyDescent="0.2">
      <c r="A16" s="29"/>
      <c r="B16" s="29" t="s">
        <v>572</v>
      </c>
      <c r="C16" s="29" t="s">
        <v>573</v>
      </c>
      <c r="D16" s="17" t="s">
        <v>116</v>
      </c>
      <c r="E16" s="17" t="s">
        <v>38</v>
      </c>
      <c r="F16" s="9" t="s">
        <v>121</v>
      </c>
      <c r="I16" s="9"/>
    </row>
    <row r="17" spans="1:6" ht="12" x14ac:dyDescent="0.2">
      <c r="A17" s="33" t="s">
        <v>115</v>
      </c>
      <c r="B17" s="29"/>
      <c r="C17" s="29"/>
      <c r="D17" s="17"/>
      <c r="E17" s="17"/>
    </row>
    <row r="18" spans="1:6" x14ac:dyDescent="0.2">
      <c r="A18" s="29" t="s">
        <v>92</v>
      </c>
      <c r="B18" s="29" t="s">
        <v>157</v>
      </c>
      <c r="C18" s="29" t="s">
        <v>158</v>
      </c>
      <c r="D18" s="17" t="s">
        <v>118</v>
      </c>
      <c r="E18" s="17" t="s">
        <v>32</v>
      </c>
      <c r="F18" s="9" t="s">
        <v>121</v>
      </c>
    </row>
    <row r="19" spans="1:6" x14ac:dyDescent="0.2">
      <c r="A19" s="29" t="s">
        <v>92</v>
      </c>
      <c r="B19" s="29" t="s">
        <v>159</v>
      </c>
      <c r="C19" s="29" t="s">
        <v>160</v>
      </c>
      <c r="D19" s="17" t="s">
        <v>118</v>
      </c>
      <c r="E19" s="17" t="s">
        <v>32</v>
      </c>
      <c r="F19" s="9" t="s">
        <v>121</v>
      </c>
    </row>
    <row r="20" spans="1:6" x14ac:dyDescent="0.2">
      <c r="A20" s="29"/>
      <c r="B20" s="29"/>
      <c r="C20" s="29"/>
      <c r="D20" s="17"/>
      <c r="E20" s="17"/>
    </row>
  </sheetData>
  <pageMargins left="0.75" right="0.75" top="1" bottom="1" header="0.5" footer="0.5"/>
  <pageSetup paperSize="9" orientation="portrait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125955" r:id="rId4" name="cmdCommUnit">
          <controlPr defaultSize="0" autoLine="0" r:id="rId5">
            <anchor moveWithCells="1">
              <from>
                <xdr:col>3</xdr:col>
                <xdr:colOff>9525</xdr:colOff>
                <xdr:row>3</xdr:row>
                <xdr:rowOff>133350</xdr:rowOff>
              </from>
              <to>
                <xdr:col>3</xdr:col>
                <xdr:colOff>676275</xdr:colOff>
                <xdr:row>4</xdr:row>
                <xdr:rowOff>152400</xdr:rowOff>
              </to>
            </anchor>
          </controlPr>
        </control>
      </mc:Choice>
      <mc:Fallback>
        <control shapeId="125955" r:id="rId4" name="cmdCommUnit"/>
      </mc:Fallback>
    </mc:AlternateContent>
    <mc:AlternateContent xmlns:mc="http://schemas.openxmlformats.org/markup-compatibility/2006">
      <mc:Choice Requires="x14">
        <control shapeId="125954" r:id="rId6" name="cmdCheckCommoditiesSheet">
          <controlPr defaultSize="0" autoLine="0" r:id="rId7">
            <anchor moveWithCells="1">
              <from>
                <xdr:col>0</xdr:col>
                <xdr:colOff>9525</xdr:colOff>
                <xdr:row>2</xdr:row>
                <xdr:rowOff>0</xdr:rowOff>
              </from>
              <to>
                <xdr:col>0</xdr:col>
                <xdr:colOff>828675</xdr:colOff>
                <xdr:row>3</xdr:row>
                <xdr:rowOff>95250</xdr:rowOff>
              </to>
            </anchor>
          </controlPr>
        </control>
      </mc:Choice>
      <mc:Fallback>
        <control shapeId="125954" r:id="rId6" name="cmdCheckCommoditiesSheet"/>
      </mc:Fallback>
    </mc:AlternateContent>
    <mc:AlternateContent xmlns:mc="http://schemas.openxmlformats.org/markup-compatibility/2006">
      <mc:Choice Requires="x14">
        <control shapeId="125953" r:id="rId8" name="cmdSpecifySets">
          <controlPr defaultSize="0" autoLine="0" r:id="rId9">
            <anchor moveWithCells="1">
              <from>
                <xdr:col>4</xdr:col>
                <xdr:colOff>19050</xdr:colOff>
                <xdr:row>3</xdr:row>
                <xdr:rowOff>133350</xdr:rowOff>
              </from>
              <to>
                <xdr:col>4</xdr:col>
                <xdr:colOff>1924050</xdr:colOff>
                <xdr:row>4</xdr:row>
                <xdr:rowOff>152400</xdr:rowOff>
              </to>
            </anchor>
          </controlPr>
        </control>
      </mc:Choice>
      <mc:Fallback>
        <control shapeId="125953" r:id="rId8" name="cmdSpecifySets"/>
      </mc:Fallback>
    </mc:AlternateContent>
  </control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3"/>
  <dimension ref="A1:F10"/>
  <sheetViews>
    <sheetView workbookViewId="0"/>
  </sheetViews>
  <sheetFormatPr defaultColWidth="9.140625" defaultRowHeight="11.25" x14ac:dyDescent="0.2"/>
  <cols>
    <col min="1" max="1" width="13.5703125" style="3" customWidth="1"/>
    <col min="2" max="2" width="11.140625" style="3" customWidth="1"/>
    <col min="3" max="3" width="27.28515625" style="3" customWidth="1"/>
    <col min="4" max="4" width="11.140625" style="3" customWidth="1"/>
    <col min="5" max="5" width="29.28515625" style="3" customWidth="1"/>
    <col min="6" max="6" width="10.42578125" style="3" customWidth="1"/>
    <col min="7" max="16384" width="9.140625" style="3"/>
  </cols>
  <sheetData>
    <row r="1" spans="1:6" x14ac:dyDescent="0.2">
      <c r="A1" s="2" t="s">
        <v>105</v>
      </c>
    </row>
    <row r="4" spans="1:6" ht="18" customHeight="1" x14ac:dyDescent="0.2"/>
    <row r="7" spans="1:6" x14ac:dyDescent="0.2">
      <c r="B7" s="2" t="s">
        <v>56</v>
      </c>
      <c r="C7" s="2" t="s">
        <v>57</v>
      </c>
      <c r="D7" s="2" t="s">
        <v>93</v>
      </c>
      <c r="E7" s="2" t="s">
        <v>1</v>
      </c>
      <c r="F7" s="2" t="s">
        <v>0</v>
      </c>
    </row>
    <row r="8" spans="1:6" x14ac:dyDescent="0.2">
      <c r="B8" s="2"/>
      <c r="C8" s="2"/>
      <c r="D8" s="2"/>
      <c r="E8" s="2"/>
      <c r="F8" s="2"/>
    </row>
    <row r="9" spans="1:6" x14ac:dyDescent="0.2">
      <c r="B9" s="23"/>
      <c r="C9" s="23"/>
      <c r="E9" s="23"/>
    </row>
    <row r="10" spans="1:6" x14ac:dyDescent="0.2">
      <c r="B10" s="4"/>
      <c r="C10" s="23"/>
    </row>
  </sheetData>
  <pageMargins left="0.75" right="0.75" top="1" bottom="1" header="0.5" footer="0.5"/>
  <pageSetup paperSize="9" orientation="portrait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80899" r:id="rId4" name="cmdProcUnits">
          <controlPr defaultSize="0" autoLine="0" r:id="rId5">
            <anchor moveWithCells="1">
              <from>
                <xdr:col>3</xdr:col>
                <xdr:colOff>9525</xdr:colOff>
                <xdr:row>3</xdr:row>
                <xdr:rowOff>133350</xdr:rowOff>
              </from>
              <to>
                <xdr:col>3</xdr:col>
                <xdr:colOff>647700</xdr:colOff>
                <xdr:row>5</xdr:row>
                <xdr:rowOff>0</xdr:rowOff>
              </to>
            </anchor>
          </controlPr>
        </control>
      </mc:Choice>
      <mc:Fallback>
        <control shapeId="80899" r:id="rId4" name="cmdProcUnits"/>
      </mc:Fallback>
    </mc:AlternateContent>
    <mc:AlternateContent xmlns:mc="http://schemas.openxmlformats.org/markup-compatibility/2006">
      <mc:Choice Requires="x14">
        <control shapeId="80898" r:id="rId6" name="cmdCheckTechnologiesSheet">
          <controlPr defaultSize="0" autoLine="0" r:id="rId7">
            <anchor moveWithCells="1">
              <from>
                <xdr:col>0</xdr:col>
                <xdr:colOff>9525</xdr:colOff>
                <xdr:row>2</xdr:row>
                <xdr:rowOff>0</xdr:rowOff>
              </from>
              <to>
                <xdr:col>0</xdr:col>
                <xdr:colOff>828675</xdr:colOff>
                <xdr:row>3</xdr:row>
                <xdr:rowOff>95250</xdr:rowOff>
              </to>
            </anchor>
          </controlPr>
        </control>
      </mc:Choice>
      <mc:Fallback>
        <control shapeId="80898" r:id="rId6" name="cmdCheckTechnologiesSheet"/>
      </mc:Fallback>
    </mc:AlternateContent>
    <mc:AlternateContent xmlns:mc="http://schemas.openxmlformats.org/markup-compatibility/2006">
      <mc:Choice Requires="x14">
        <control shapeId="80897" r:id="rId8" name="cmdSpecifySets">
          <controlPr defaultSize="0" autoLine="0" r:id="rId9">
            <anchor moveWithCells="1">
              <from>
                <xdr:col>4</xdr:col>
                <xdr:colOff>19050</xdr:colOff>
                <xdr:row>3</xdr:row>
                <xdr:rowOff>133350</xdr:rowOff>
              </from>
              <to>
                <xdr:col>4</xdr:col>
                <xdr:colOff>1924050</xdr:colOff>
                <xdr:row>5</xdr:row>
                <xdr:rowOff>0</xdr:rowOff>
              </to>
            </anchor>
          </controlPr>
        </control>
      </mc:Choice>
      <mc:Fallback>
        <control shapeId="80897" r:id="rId8" name="cmdSpecifySets"/>
      </mc:Fallback>
    </mc:AlternateContent>
  </control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5"/>
  <dimension ref="A1:F10"/>
  <sheetViews>
    <sheetView workbookViewId="0"/>
  </sheetViews>
  <sheetFormatPr defaultColWidth="9.140625" defaultRowHeight="12.75" x14ac:dyDescent="0.2"/>
  <cols>
    <col min="1" max="1" width="12.28515625" style="8" customWidth="1"/>
    <col min="2" max="2" width="12.140625" style="8" customWidth="1"/>
    <col min="3" max="3" width="28.42578125" style="8" customWidth="1"/>
    <col min="4" max="4" width="10" style="8" customWidth="1"/>
    <col min="5" max="5" width="28.42578125" style="8" customWidth="1"/>
    <col min="6" max="6" width="10.28515625" style="8" customWidth="1"/>
    <col min="7" max="16384" width="9.140625" style="8"/>
  </cols>
  <sheetData>
    <row r="1" spans="1:6" s="9" customFormat="1" ht="11.25" x14ac:dyDescent="0.2">
      <c r="A1" s="11" t="s">
        <v>103</v>
      </c>
    </row>
    <row r="2" spans="1:6" s="9" customFormat="1" ht="11.25" x14ac:dyDescent="0.2"/>
    <row r="3" spans="1:6" s="9" customFormat="1" ht="11.25" x14ac:dyDescent="0.2"/>
    <row r="4" spans="1:6" s="9" customFormat="1" ht="18.75" customHeight="1" x14ac:dyDescent="0.2"/>
    <row r="5" spans="1:6" s="9" customFormat="1" ht="17.25" customHeight="1" x14ac:dyDescent="0.2">
      <c r="C5" s="10"/>
    </row>
    <row r="6" spans="1:6" s="9" customFormat="1" ht="15.75" customHeight="1" x14ac:dyDescent="0.2"/>
    <row r="7" spans="1:6" s="9" customFormat="1" ht="11.25" x14ac:dyDescent="0.2">
      <c r="B7" s="15" t="s">
        <v>46</v>
      </c>
      <c r="C7" s="11" t="s">
        <v>47</v>
      </c>
      <c r="D7" s="11" t="s">
        <v>43</v>
      </c>
      <c r="E7" s="11" t="s">
        <v>1</v>
      </c>
      <c r="F7" s="11" t="s">
        <v>0</v>
      </c>
    </row>
    <row r="8" spans="1:6" s="9" customFormat="1" ht="11.25" x14ac:dyDescent="0.2">
      <c r="B8" s="10"/>
      <c r="C8" s="10"/>
    </row>
    <row r="9" spans="1:6" s="9" customFormat="1" ht="11.25" x14ac:dyDescent="0.2">
      <c r="B9" s="10"/>
      <c r="C9" s="10"/>
      <c r="E9" s="10"/>
    </row>
    <row r="10" spans="1:6" s="9" customFormat="1" ht="11.25" x14ac:dyDescent="0.2">
      <c r="D10" s="10"/>
      <c r="E10" s="10"/>
    </row>
  </sheetData>
  <pageMargins left="0.75" right="0.75" top="1" bottom="1" header="0.5" footer="0.5"/>
  <pageSetup paperSize="9" orientation="portrait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101377" r:id="rId4" name="cmdConstraintSets">
          <controlPr defaultSize="0" autoLine="0" autoPict="0" r:id="rId5">
            <anchor moveWithCells="1">
              <from>
                <xdr:col>4</xdr:col>
                <xdr:colOff>19050</xdr:colOff>
                <xdr:row>4</xdr:row>
                <xdr:rowOff>19050</xdr:rowOff>
              </from>
              <to>
                <xdr:col>5</xdr:col>
                <xdr:colOff>19050</xdr:colOff>
                <xdr:row>5</xdr:row>
                <xdr:rowOff>28575</xdr:rowOff>
              </to>
            </anchor>
          </controlPr>
        </control>
      </mc:Choice>
      <mc:Fallback>
        <control shapeId="101377" r:id="rId4" name="cmdConstraintSets"/>
      </mc:Fallback>
    </mc:AlternateContent>
    <mc:AlternateContent xmlns:mc="http://schemas.openxmlformats.org/markup-compatibility/2006">
      <mc:Choice Requires="x14">
        <control shapeId="101378" r:id="rId6" name="cmdCheckConstraintsSheet">
          <controlPr defaultSize="0" autoLine="0" r:id="rId7">
            <anchor moveWithCells="1">
              <from>
                <xdr:col>0</xdr:col>
                <xdr:colOff>9525</xdr:colOff>
                <xdr:row>3</xdr:row>
                <xdr:rowOff>0</xdr:rowOff>
              </from>
              <to>
                <xdr:col>0</xdr:col>
                <xdr:colOff>790575</xdr:colOff>
                <xdr:row>4</xdr:row>
                <xdr:rowOff>0</xdr:rowOff>
              </to>
            </anchor>
          </controlPr>
        </control>
      </mc:Choice>
      <mc:Fallback>
        <control shapeId="101378" r:id="rId6" name="cmdCheckConstraintsSheet"/>
      </mc:Fallback>
    </mc:AlternateContent>
    <mc:AlternateContent xmlns:mc="http://schemas.openxmlformats.org/markup-compatibility/2006">
      <mc:Choice Requires="x14">
        <control shapeId="101379" r:id="rId8" name="cmdConstraintUnit">
          <controlPr defaultSize="0" autoLine="0" r:id="rId9">
            <anchor moveWithCells="1">
              <from>
                <xdr:col>3</xdr:col>
                <xdr:colOff>19050</xdr:colOff>
                <xdr:row>4</xdr:row>
                <xdr:rowOff>9525</xdr:rowOff>
              </from>
              <to>
                <xdr:col>3</xdr:col>
                <xdr:colOff>571500</xdr:colOff>
                <xdr:row>5</xdr:row>
                <xdr:rowOff>28575</xdr:rowOff>
              </to>
            </anchor>
          </controlPr>
        </control>
      </mc:Choice>
      <mc:Fallback>
        <control shapeId="101379" r:id="rId8" name="cmdConstraintUnit"/>
      </mc:Fallback>
    </mc:AlternateContent>
  </control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4"/>
  <dimension ref="A1:D9"/>
  <sheetViews>
    <sheetView workbookViewId="0"/>
  </sheetViews>
  <sheetFormatPr defaultColWidth="8.85546875" defaultRowHeight="11.25" x14ac:dyDescent="0.2"/>
  <cols>
    <col min="1" max="1" width="14.85546875" style="3" customWidth="1"/>
    <col min="2" max="2" width="11.7109375" style="3" customWidth="1"/>
    <col min="3" max="3" width="21.140625" style="3" customWidth="1"/>
    <col min="4" max="4" width="8.7109375" style="3" customWidth="1"/>
    <col min="5" max="16384" width="8.85546875" style="3"/>
  </cols>
  <sheetData>
    <row r="1" spans="1:4" x14ac:dyDescent="0.2">
      <c r="A1" s="2" t="s">
        <v>104</v>
      </c>
    </row>
    <row r="3" spans="1:4" ht="15" customHeight="1" x14ac:dyDescent="0.2"/>
    <row r="4" spans="1:4" ht="20.25" customHeight="1" x14ac:dyDescent="0.2"/>
    <row r="5" spans="1:4" ht="19.5" customHeight="1" x14ac:dyDescent="0.2"/>
    <row r="6" spans="1:4" ht="19.5" customHeight="1" x14ac:dyDescent="0.2"/>
    <row r="7" spans="1:4" x14ac:dyDescent="0.2">
      <c r="B7" s="2" t="s">
        <v>40</v>
      </c>
      <c r="C7" s="2" t="s">
        <v>41</v>
      </c>
      <c r="D7" s="2" t="s">
        <v>43</v>
      </c>
    </row>
    <row r="9" spans="1:4" x14ac:dyDescent="0.2">
      <c r="B9" s="12"/>
      <c r="C9" s="12"/>
      <c r="D9" s="12"/>
    </row>
  </sheetData>
  <pageMargins left="0.75" right="0.75" top="1" bottom="1" header="0.5" footer="0.5"/>
  <pageSetup paperSize="9" orientation="landscape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90116" r:id="rId4" name="cmdCheckCommDataSheet">
          <controlPr defaultSize="0" autoLine="0" r:id="rId5">
            <anchor moveWithCells="1">
              <from>
                <xdr:col>0</xdr:col>
                <xdr:colOff>9525</xdr:colOff>
                <xdr:row>1</xdr:row>
                <xdr:rowOff>123825</xdr:rowOff>
              </from>
              <to>
                <xdr:col>0</xdr:col>
                <xdr:colOff>828675</xdr:colOff>
                <xdr:row>3</xdr:row>
                <xdr:rowOff>28575</xdr:rowOff>
              </to>
            </anchor>
          </controlPr>
        </control>
      </mc:Choice>
      <mc:Fallback>
        <control shapeId="90116" r:id="rId4" name="cmdCheckCommDataSheet"/>
      </mc:Fallback>
    </mc:AlternateContent>
    <mc:AlternateContent xmlns:mc="http://schemas.openxmlformats.org/markup-compatibility/2006">
      <mc:Choice Requires="x14">
        <control shapeId="90115" r:id="rId6" name="cmdAddParamQualifier1">
          <controlPr defaultSize="0" autoLine="0" r:id="rId7">
            <anchor moveWithCells="1">
              <from>
                <xdr:col>0</xdr:col>
                <xdr:colOff>9525</xdr:colOff>
                <xdr:row>4</xdr:row>
                <xdr:rowOff>19050</xdr:rowOff>
              </from>
              <to>
                <xdr:col>0</xdr:col>
                <xdr:colOff>828675</xdr:colOff>
                <xdr:row>5</xdr:row>
                <xdr:rowOff>9525</xdr:rowOff>
              </to>
            </anchor>
          </controlPr>
        </control>
      </mc:Choice>
      <mc:Fallback>
        <control shapeId="90115" r:id="rId6" name="cmdAddParamQualifier1"/>
      </mc:Fallback>
    </mc:AlternateContent>
    <mc:AlternateContent xmlns:mc="http://schemas.openxmlformats.org/markup-compatibility/2006">
      <mc:Choice Requires="x14">
        <control shapeId="90114" r:id="rId8" name="cmdCommNameAndDesc">
          <controlPr defaultSize="0" autoLine="0" r:id="rId9">
            <anchor moveWithCells="1">
              <from>
                <xdr:col>1</xdr:col>
                <xdr:colOff>19050</xdr:colOff>
                <xdr:row>2</xdr:row>
                <xdr:rowOff>0</xdr:rowOff>
              </from>
              <to>
                <xdr:col>3</xdr:col>
                <xdr:colOff>0</xdr:colOff>
                <xdr:row>3</xdr:row>
                <xdr:rowOff>47625</xdr:rowOff>
              </to>
            </anchor>
          </controlPr>
        </control>
      </mc:Choice>
      <mc:Fallback>
        <control shapeId="90114" r:id="rId8" name="cmdCommNameAndDesc"/>
      </mc:Fallback>
    </mc:AlternateContent>
    <mc:AlternateContent xmlns:mc="http://schemas.openxmlformats.org/markup-compatibility/2006">
      <mc:Choice Requires="x14">
        <control shapeId="90113" r:id="rId10" name="cmdAddParameter">
          <controlPr defaultSize="0" autoLine="0" r:id="rId11">
            <anchor moveWithCells="1">
              <from>
                <xdr:col>0</xdr:col>
                <xdr:colOff>9525</xdr:colOff>
                <xdr:row>3</xdr:row>
                <xdr:rowOff>38100</xdr:rowOff>
              </from>
              <to>
                <xdr:col>0</xdr:col>
                <xdr:colOff>828675</xdr:colOff>
                <xdr:row>4</xdr:row>
                <xdr:rowOff>19050</xdr:rowOff>
              </to>
            </anchor>
          </controlPr>
        </control>
      </mc:Choice>
      <mc:Fallback>
        <control shapeId="90113" r:id="rId10" name="cmdAddParameter"/>
      </mc:Fallback>
    </mc:AlternateContent>
    <mc:AlternateContent xmlns:mc="http://schemas.openxmlformats.org/markup-compatibility/2006">
      <mc:Choice Requires="x14">
        <control shapeId="90118" r:id="rId12" name="cmdAddParamQualifier2">
          <controlPr defaultSize="0" autoLine="0" r:id="rId13">
            <anchor moveWithCells="1">
              <from>
                <xdr:col>0</xdr:col>
                <xdr:colOff>9525</xdr:colOff>
                <xdr:row>5</xdr:row>
                <xdr:rowOff>19050</xdr:rowOff>
              </from>
              <to>
                <xdr:col>0</xdr:col>
                <xdr:colOff>828675</xdr:colOff>
                <xdr:row>6</xdr:row>
                <xdr:rowOff>9525</xdr:rowOff>
              </to>
            </anchor>
          </controlPr>
        </control>
      </mc:Choice>
      <mc:Fallback>
        <control shapeId="90118" r:id="rId12" name="cmdAddParamQualifier2"/>
      </mc:Fallback>
    </mc:AlternateContent>
  </control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8">
    <tabColor theme="4"/>
  </sheetPr>
  <dimension ref="A1:J39"/>
  <sheetViews>
    <sheetView workbookViewId="0">
      <selection activeCell="E53" sqref="E53"/>
    </sheetView>
  </sheetViews>
  <sheetFormatPr defaultColWidth="9.140625" defaultRowHeight="11.25" x14ac:dyDescent="0.2"/>
  <cols>
    <col min="1" max="1" width="13.5703125" style="3" customWidth="1"/>
    <col min="2" max="2" width="16.140625" style="3" customWidth="1"/>
    <col min="3" max="3" width="45.42578125" style="3" customWidth="1"/>
    <col min="4" max="4" width="11.140625" style="3" customWidth="1"/>
    <col min="5" max="5" width="29.28515625" style="3" customWidth="1"/>
    <col min="6" max="6" width="10.42578125" style="3" customWidth="1"/>
    <col min="7" max="16384" width="9.140625" style="3"/>
  </cols>
  <sheetData>
    <row r="1" spans="1:8" ht="12.75" x14ac:dyDescent="0.2">
      <c r="A1" s="300" t="str">
        <f ca="1">IF(INDEX([2]Index!$E$6:$E$37,MATCH(A2,[2]Index!$D$6:$D$37,0))=1,LEFT(A2,SEARCH("_",A2)-1),"")</f>
        <v>Processes</v>
      </c>
      <c r="B1" s="9" t="s">
        <v>125</v>
      </c>
      <c r="C1" s="31"/>
      <c r="D1"/>
      <c r="E1"/>
      <c r="F1" s="31"/>
      <c r="G1" s="31"/>
      <c r="H1" s="31"/>
    </row>
    <row r="2" spans="1:8" ht="12.75" x14ac:dyDescent="0.2">
      <c r="A2" s="301" t="str">
        <f ca="1">MID(CELL("filename",A1),FIND("]",CELL("filename",A1))+1,255)</f>
        <v>Processes_BASE</v>
      </c>
      <c r="B2" s="31"/>
      <c r="C2" s="31"/>
      <c r="D2"/>
      <c r="E2"/>
      <c r="F2" s="31"/>
      <c r="G2" s="31"/>
      <c r="H2" s="31"/>
    </row>
    <row r="3" spans="1:8" ht="12.75" x14ac:dyDescent="0.2">
      <c r="A3" s="31"/>
      <c r="B3" s="31"/>
      <c r="C3" s="31"/>
      <c r="D3"/>
      <c r="E3"/>
      <c r="F3" s="31"/>
      <c r="G3" s="31"/>
      <c r="H3" s="31"/>
    </row>
    <row r="4" spans="1:8" ht="18" customHeight="1" x14ac:dyDescent="0.2">
      <c r="A4" s="31"/>
      <c r="B4" s="31"/>
      <c r="C4" s="31"/>
      <c r="D4"/>
      <c r="E4"/>
      <c r="F4" s="31"/>
      <c r="G4" s="31"/>
      <c r="H4" s="31"/>
    </row>
    <row r="5" spans="1:8" ht="12.75" x14ac:dyDescent="0.2">
      <c r="A5" s="31"/>
      <c r="B5" s="31"/>
      <c r="C5" s="31"/>
      <c r="D5"/>
      <c r="E5"/>
      <c r="F5" s="31"/>
      <c r="G5" s="31"/>
      <c r="H5" s="31"/>
    </row>
    <row r="6" spans="1:8" ht="15" x14ac:dyDescent="0.25">
      <c r="A6" s="31"/>
      <c r="B6" s="302" t="s">
        <v>590</v>
      </c>
      <c r="C6" s="303"/>
      <c r="D6" s="303"/>
      <c r="E6" s="303"/>
      <c r="F6" s="303"/>
      <c r="G6" s="303"/>
      <c r="H6" s="303"/>
    </row>
    <row r="7" spans="1:8" ht="15" x14ac:dyDescent="0.25">
      <c r="A7" s="31"/>
      <c r="B7" s="304" t="s">
        <v>591</v>
      </c>
      <c r="C7" s="304" t="s">
        <v>592</v>
      </c>
      <c r="D7" s="304" t="s">
        <v>593</v>
      </c>
      <c r="E7" s="304" t="s">
        <v>594</v>
      </c>
      <c r="F7" s="304" t="s">
        <v>595</v>
      </c>
      <c r="G7" s="304" t="s">
        <v>596</v>
      </c>
      <c r="H7" s="304" t="s">
        <v>597</v>
      </c>
    </row>
    <row r="8" spans="1:8" s="31" customFormat="1" ht="12" x14ac:dyDescent="0.2">
      <c r="A8" s="35" t="s">
        <v>138</v>
      </c>
      <c r="D8" s="16"/>
      <c r="E8" s="16"/>
    </row>
    <row r="9" spans="1:8" s="31" customFormat="1" x14ac:dyDescent="0.2">
      <c r="B9" s="31" t="str">
        <f>EB_Exist!C4</f>
        <v>IPGMME-E</v>
      </c>
      <c r="C9" s="31" t="str">
        <f>EB_Exist!D4</f>
        <v>Industry - PGMs - Mine and refine - existing</v>
      </c>
      <c r="D9" s="16" t="s">
        <v>116</v>
      </c>
      <c r="E9" s="31" t="s">
        <v>598</v>
      </c>
      <c r="F9" s="31" t="s">
        <v>121</v>
      </c>
      <c r="G9" s="17" t="s">
        <v>599</v>
      </c>
      <c r="H9" s="31" t="s">
        <v>601</v>
      </c>
    </row>
    <row r="10" spans="1:8" s="31" customFormat="1" x14ac:dyDescent="0.2">
      <c r="B10" s="31" t="str">
        <f>RES!M15</f>
        <v>IPGMME-N</v>
      </c>
      <c r="C10" s="31" t="str">
        <f>RES!M12</f>
        <v>Industry - PGMs - Mine and refine - New</v>
      </c>
      <c r="D10" s="16" t="s">
        <v>116</v>
      </c>
      <c r="E10" s="31" t="s">
        <v>598</v>
      </c>
      <c r="F10" s="31" t="s">
        <v>121</v>
      </c>
      <c r="G10" s="17" t="s">
        <v>599</v>
      </c>
      <c r="H10" s="31" t="s">
        <v>601</v>
      </c>
    </row>
    <row r="11" spans="1:8" s="31" customFormat="1" ht="12" x14ac:dyDescent="0.2">
      <c r="A11" s="36"/>
      <c r="B11" s="31" t="str">
        <f>RES!T9</f>
        <v>XIPGM</v>
      </c>
      <c r="C11" s="31" t="str">
        <f>RES!T7</f>
        <v>Industry - PGMs - to local demand</v>
      </c>
      <c r="D11" s="16" t="s">
        <v>116</v>
      </c>
      <c r="E11" s="31" t="s">
        <v>598</v>
      </c>
      <c r="F11" s="31" t="s">
        <v>121</v>
      </c>
      <c r="G11" s="17" t="s">
        <v>600</v>
      </c>
      <c r="H11" s="31" t="s">
        <v>601</v>
      </c>
    </row>
    <row r="12" spans="1:8" s="31" customFormat="1" ht="12" x14ac:dyDescent="0.2">
      <c r="A12" s="36"/>
      <c r="B12" s="36" t="str">
        <f>RES!T15</f>
        <v>PEXPGM</v>
      </c>
      <c r="C12" s="36" t="str">
        <f>RES!T13</f>
        <v>Export PGMs - Pt</v>
      </c>
      <c r="D12" s="16" t="s">
        <v>116</v>
      </c>
      <c r="E12" s="31" t="s">
        <v>598</v>
      </c>
      <c r="F12" s="31" t="s">
        <v>121</v>
      </c>
      <c r="G12" s="17" t="s">
        <v>617</v>
      </c>
    </row>
    <row r="13" spans="1:8" s="31" customFormat="1" ht="12" x14ac:dyDescent="0.2">
      <c r="A13" s="36"/>
      <c r="B13" s="31" t="str">
        <f>RES!T20</f>
        <v>PEXPGMO</v>
      </c>
      <c r="C13" s="31" t="str">
        <f>RES!T18</f>
        <v>Export PGMs - Others</v>
      </c>
      <c r="D13" s="16" t="s">
        <v>116</v>
      </c>
      <c r="E13" s="31" t="s">
        <v>598</v>
      </c>
      <c r="F13" s="31" t="s">
        <v>121</v>
      </c>
      <c r="G13" s="17" t="s">
        <v>617</v>
      </c>
    </row>
    <row r="14" spans="1:8" s="31" customFormat="1" ht="12" x14ac:dyDescent="0.2">
      <c r="A14" s="36"/>
      <c r="D14" s="16"/>
      <c r="E14" s="16"/>
    </row>
    <row r="15" spans="1:8" s="31" customFormat="1" ht="12" x14ac:dyDescent="0.2">
      <c r="A15" s="36"/>
      <c r="D15" s="16"/>
      <c r="E15" s="16"/>
    </row>
    <row r="16" spans="1:8" s="31" customFormat="1" ht="12" x14ac:dyDescent="0.2">
      <c r="A16" s="36"/>
      <c r="D16" s="16"/>
      <c r="E16" s="16"/>
    </row>
    <row r="17" spans="1:10" s="31" customFormat="1" ht="12" x14ac:dyDescent="0.2">
      <c r="A17" s="36"/>
      <c r="D17" s="16"/>
      <c r="E17" s="16"/>
    </row>
    <row r="18" spans="1:10" s="31" customFormat="1" ht="12" x14ac:dyDescent="0.2">
      <c r="A18" s="36"/>
      <c r="B18" s="36"/>
      <c r="C18" s="36"/>
      <c r="D18" s="3"/>
      <c r="E18" s="3"/>
    </row>
    <row r="19" spans="1:10" s="31" customFormat="1" ht="12" x14ac:dyDescent="0.2">
      <c r="A19" s="36"/>
      <c r="D19" s="16"/>
      <c r="E19" s="16"/>
    </row>
    <row r="20" spans="1:10" s="31" customFormat="1" ht="12" x14ac:dyDescent="0.2">
      <c r="A20" s="36"/>
      <c r="D20" s="16"/>
      <c r="E20" s="16"/>
    </row>
    <row r="21" spans="1:10" s="31" customFormat="1" ht="12" x14ac:dyDescent="0.2">
      <c r="A21" s="36"/>
      <c r="D21" s="16"/>
      <c r="E21" s="16"/>
    </row>
    <row r="22" spans="1:10" s="31" customFormat="1" ht="12" x14ac:dyDescent="0.2">
      <c r="A22" s="36"/>
      <c r="D22" s="16"/>
      <c r="E22" s="16"/>
    </row>
    <row r="23" spans="1:10" s="31" customFormat="1" ht="12.75" x14ac:dyDescent="0.2">
      <c r="A23" s="36"/>
      <c r="B23" s="8"/>
      <c r="C23" s="8"/>
      <c r="D23" s="8"/>
      <c r="E23" s="8"/>
      <c r="G23" s="32"/>
      <c r="H23" s="32"/>
      <c r="I23" s="9"/>
      <c r="J23" s="9"/>
    </row>
    <row r="24" spans="1:10" s="31" customFormat="1" x14ac:dyDescent="0.2">
      <c r="A24" s="37"/>
      <c r="B24" s="3"/>
      <c r="C24" s="3"/>
      <c r="D24" s="16"/>
      <c r="E24" s="16"/>
      <c r="F24" s="9"/>
      <c r="G24" s="29"/>
      <c r="H24" s="29"/>
      <c r="I24" s="16"/>
      <c r="J24" s="16"/>
    </row>
    <row r="25" spans="1:10" s="31" customFormat="1" x14ac:dyDescent="0.2">
      <c r="A25" s="37"/>
      <c r="B25" s="3"/>
      <c r="C25" s="3"/>
      <c r="D25" s="16"/>
      <c r="E25" s="16"/>
      <c r="F25" s="9"/>
      <c r="G25" s="29"/>
      <c r="H25" s="29"/>
      <c r="I25" s="16"/>
      <c r="J25" s="16"/>
    </row>
    <row r="26" spans="1:10" s="31" customFormat="1" x14ac:dyDescent="0.2">
      <c r="A26" s="37"/>
      <c r="B26" s="3"/>
      <c r="C26" s="3"/>
      <c r="D26" s="16"/>
      <c r="E26" s="16"/>
      <c r="F26" s="9"/>
      <c r="G26" s="29"/>
      <c r="H26" s="29"/>
      <c r="I26" s="16"/>
      <c r="J26" s="16"/>
    </row>
    <row r="27" spans="1:10" s="31" customFormat="1" x14ac:dyDescent="0.2">
      <c r="A27" s="37"/>
      <c r="B27" s="3"/>
      <c r="C27" s="3"/>
      <c r="D27" s="16"/>
      <c r="E27" s="16"/>
      <c r="F27" s="9"/>
      <c r="G27" s="29"/>
      <c r="H27" s="29"/>
      <c r="I27" s="16"/>
      <c r="J27" s="16"/>
    </row>
    <row r="28" spans="1:10" s="31" customFormat="1" x14ac:dyDescent="0.2">
      <c r="A28" s="9"/>
      <c r="B28" s="3"/>
      <c r="C28" s="3"/>
      <c r="D28" s="16"/>
      <c r="E28" s="16"/>
      <c r="F28" s="9"/>
      <c r="G28" s="29"/>
      <c r="H28" s="29"/>
      <c r="I28" s="16"/>
      <c r="J28" s="16"/>
    </row>
    <row r="29" spans="1:10" s="31" customFormat="1" ht="12" customHeight="1" x14ac:dyDescent="0.2">
      <c r="A29" s="37"/>
      <c r="B29" s="3"/>
      <c r="C29" s="3"/>
      <c r="D29" s="16"/>
      <c r="E29" s="16"/>
      <c r="G29" s="32"/>
      <c r="H29" s="32"/>
      <c r="I29" s="9"/>
      <c r="J29" s="9"/>
    </row>
    <row r="30" spans="1:10" s="31" customFormat="1" x14ac:dyDescent="0.2">
      <c r="A30" s="37"/>
      <c r="B30" s="3"/>
      <c r="C30" s="3"/>
      <c r="D30" s="16"/>
      <c r="E30" s="16"/>
    </row>
    <row r="31" spans="1:10" s="31" customFormat="1" x14ac:dyDescent="0.2">
      <c r="A31" s="37"/>
      <c r="B31" s="3"/>
      <c r="C31" s="3"/>
      <c r="D31" s="16"/>
      <c r="E31" s="16"/>
      <c r="F31" s="29"/>
      <c r="G31" s="29"/>
      <c r="H31" s="29"/>
      <c r="I31" s="16"/>
      <c r="J31" s="16"/>
    </row>
    <row r="32" spans="1:10" s="31" customFormat="1" x14ac:dyDescent="0.2">
      <c r="A32" s="37"/>
      <c r="B32" s="3"/>
      <c r="C32" s="3"/>
      <c r="D32" s="16"/>
      <c r="E32" s="16"/>
      <c r="F32" s="29"/>
      <c r="G32" s="29"/>
      <c r="H32" s="29"/>
      <c r="I32" s="16"/>
      <c r="J32" s="16"/>
    </row>
    <row r="33" spans="1:10" s="31" customFormat="1" x14ac:dyDescent="0.2">
      <c r="A33" s="37"/>
      <c r="B33" s="3"/>
      <c r="C33" s="3"/>
      <c r="D33" s="16"/>
      <c r="E33" s="16"/>
      <c r="F33" s="29"/>
      <c r="G33" s="29"/>
      <c r="H33" s="29"/>
      <c r="I33" s="16"/>
      <c r="J33" s="16"/>
    </row>
    <row r="34" spans="1:10" s="31" customFormat="1" ht="11.45" customHeight="1" x14ac:dyDescent="0.2">
      <c r="A34" s="37"/>
      <c r="B34" s="3"/>
      <c r="C34" s="3"/>
      <c r="D34" s="16"/>
      <c r="E34" s="16"/>
      <c r="F34" s="9"/>
      <c r="G34" s="8"/>
      <c r="H34" s="8"/>
      <c r="I34" s="8"/>
      <c r="J34" s="8"/>
    </row>
    <row r="35" spans="1:10" s="31" customFormat="1" x14ac:dyDescent="0.2">
      <c r="A35" s="37"/>
      <c r="B35" s="3"/>
      <c r="C35" s="3"/>
      <c r="D35" s="16"/>
      <c r="E35" s="16"/>
    </row>
    <row r="36" spans="1:10" s="31" customFormat="1" x14ac:dyDescent="0.2">
      <c r="A36" s="37"/>
      <c r="B36" s="3"/>
      <c r="C36" s="3"/>
      <c r="D36" s="16"/>
      <c r="E36" s="16"/>
      <c r="F36" s="9"/>
      <c r="G36" s="29"/>
      <c r="H36" s="29"/>
      <c r="I36" s="16"/>
      <c r="J36" s="16"/>
    </row>
    <row r="37" spans="1:10" s="31" customFormat="1" x14ac:dyDescent="0.2">
      <c r="A37" s="37"/>
      <c r="B37" s="3"/>
      <c r="C37" s="3"/>
      <c r="D37" s="16"/>
      <c r="E37" s="16"/>
      <c r="F37" s="29"/>
      <c r="G37" s="29"/>
      <c r="H37" s="29"/>
      <c r="I37" s="16"/>
      <c r="J37" s="16"/>
    </row>
    <row r="38" spans="1:10" x14ac:dyDescent="0.2">
      <c r="A38" s="37"/>
      <c r="D38" s="16"/>
      <c r="E38" s="16"/>
    </row>
    <row r="39" spans="1:10" x14ac:dyDescent="0.2">
      <c r="A39" s="37"/>
      <c r="D39" s="16"/>
      <c r="E39" s="16"/>
    </row>
  </sheetData>
  <pageMargins left="0.75" right="0.75" top="1" bottom="1" header="0.5" footer="0.5"/>
  <pageSetup paperSize="9" orientation="portrait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128003" r:id="rId4" name="cmdProcUnits">
          <controlPr defaultSize="0" autoLine="0" r:id="rId5">
            <anchor moveWithCells="1">
              <from>
                <xdr:col>3</xdr:col>
                <xdr:colOff>9525</xdr:colOff>
                <xdr:row>3</xdr:row>
                <xdr:rowOff>133350</xdr:rowOff>
              </from>
              <to>
                <xdr:col>3</xdr:col>
                <xdr:colOff>647700</xdr:colOff>
                <xdr:row>4</xdr:row>
                <xdr:rowOff>142875</xdr:rowOff>
              </to>
            </anchor>
          </controlPr>
        </control>
      </mc:Choice>
      <mc:Fallback>
        <control shapeId="128003" r:id="rId4" name="cmdProcUnits"/>
      </mc:Fallback>
    </mc:AlternateContent>
    <mc:AlternateContent xmlns:mc="http://schemas.openxmlformats.org/markup-compatibility/2006">
      <mc:Choice Requires="x14">
        <control shapeId="128002" r:id="rId6" name="cmdCheckTechnologiesSheet">
          <controlPr defaultSize="0" autoLine="0" r:id="rId7">
            <anchor moveWithCells="1">
              <from>
                <xdr:col>0</xdr:col>
                <xdr:colOff>9525</xdr:colOff>
                <xdr:row>2</xdr:row>
                <xdr:rowOff>0</xdr:rowOff>
              </from>
              <to>
                <xdr:col>0</xdr:col>
                <xdr:colOff>828675</xdr:colOff>
                <xdr:row>3</xdr:row>
                <xdr:rowOff>76200</xdr:rowOff>
              </to>
            </anchor>
          </controlPr>
        </control>
      </mc:Choice>
      <mc:Fallback>
        <control shapeId="128002" r:id="rId6" name="cmdCheckTechnologiesSheet"/>
      </mc:Fallback>
    </mc:AlternateContent>
    <mc:AlternateContent xmlns:mc="http://schemas.openxmlformats.org/markup-compatibility/2006">
      <mc:Choice Requires="x14">
        <control shapeId="128001" r:id="rId8" name="cmdSpecifySets">
          <controlPr defaultSize="0" autoLine="0" r:id="rId9">
            <anchor moveWithCells="1">
              <from>
                <xdr:col>4</xdr:col>
                <xdr:colOff>19050</xdr:colOff>
                <xdr:row>3</xdr:row>
                <xdr:rowOff>133350</xdr:rowOff>
              </from>
              <to>
                <xdr:col>4</xdr:col>
                <xdr:colOff>1924050</xdr:colOff>
                <xdr:row>4</xdr:row>
                <xdr:rowOff>142875</xdr:rowOff>
              </to>
            </anchor>
          </controlPr>
        </control>
      </mc:Choice>
      <mc:Fallback>
        <control shapeId="128001" r:id="rId8" name="cmdSpecifySets"/>
      </mc:Fallback>
    </mc:AlternateContent>
  </controls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7">
    <tabColor theme="4"/>
  </sheetPr>
  <dimension ref="A1:O24"/>
  <sheetViews>
    <sheetView workbookViewId="0">
      <selection activeCell="D23" sqref="D23:N27"/>
    </sheetView>
  </sheetViews>
  <sheetFormatPr defaultColWidth="8.85546875" defaultRowHeight="11.25" x14ac:dyDescent="0.2"/>
  <cols>
    <col min="1" max="1" width="14.85546875" style="3" customWidth="1"/>
    <col min="2" max="2" width="11.7109375" style="3" customWidth="1"/>
    <col min="3" max="3" width="21.140625" style="3" customWidth="1"/>
    <col min="4" max="4" width="12" style="3" customWidth="1"/>
    <col min="5" max="5" width="12.140625" style="3" customWidth="1"/>
    <col min="6" max="6" width="11.28515625" style="3" customWidth="1"/>
    <col min="7" max="16384" width="8.85546875" style="3"/>
  </cols>
  <sheetData>
    <row r="1" spans="1:14" x14ac:dyDescent="0.2">
      <c r="A1" s="2" t="str">
        <f ca="1">IF(INDEX(Index!$E$6:$E$37,MATCH(A2,Index!$D$6:$D$37,0))=1,LEFT(A2,SEARCH("_",A2)-1),"")</f>
        <v>CommData</v>
      </c>
      <c r="B1" s="9" t="str">
        <f>Commodities_BASE!B1</f>
        <v>REGION1</v>
      </c>
      <c r="F1" s="31"/>
    </row>
    <row r="2" spans="1:14" ht="12.75" x14ac:dyDescent="0.2">
      <c r="A2" t="str">
        <f ca="1">MID(CELL("filename",A2),FIND("]",CELL("filename",A2))+1,255)</f>
        <v>CommData_BASE</v>
      </c>
      <c r="F2" s="31"/>
    </row>
    <row r="3" spans="1:14" ht="15" customHeight="1" x14ac:dyDescent="0.2">
      <c r="F3" s="31"/>
    </row>
    <row r="4" spans="1:14" ht="20.25" customHeight="1" x14ac:dyDescent="0.2">
      <c r="E4" s="14" t="s">
        <v>128</v>
      </c>
      <c r="F4" s="14" t="s">
        <v>128</v>
      </c>
      <c r="G4" s="14" t="s">
        <v>128</v>
      </c>
      <c r="H4" s="14" t="s">
        <v>128</v>
      </c>
      <c r="I4" s="14" t="s">
        <v>128</v>
      </c>
      <c r="J4" s="14" t="s">
        <v>128</v>
      </c>
      <c r="K4" s="14" t="s">
        <v>128</v>
      </c>
      <c r="L4" s="14" t="s">
        <v>128</v>
      </c>
      <c r="M4" s="14" t="s">
        <v>128</v>
      </c>
      <c r="N4" s="14" t="s">
        <v>128</v>
      </c>
    </row>
    <row r="5" spans="1:14" ht="19.5" customHeight="1" x14ac:dyDescent="0.2">
      <c r="E5" s="40"/>
      <c r="F5" s="31"/>
    </row>
    <row r="6" spans="1:14" ht="19.5" customHeight="1" x14ac:dyDescent="0.2">
      <c r="E6" s="40"/>
      <c r="F6" s="31"/>
    </row>
    <row r="7" spans="1:14" x14ac:dyDescent="0.2">
      <c r="B7" s="2" t="s">
        <v>40</v>
      </c>
      <c r="C7" s="2" t="s">
        <v>41</v>
      </c>
      <c r="D7" s="2" t="s">
        <v>43</v>
      </c>
      <c r="E7" s="3">
        <v>2012</v>
      </c>
      <c r="F7" s="3">
        <v>2013</v>
      </c>
      <c r="G7" s="3">
        <v>2014</v>
      </c>
      <c r="H7" s="3">
        <v>2015</v>
      </c>
      <c r="I7" s="3">
        <v>2016</v>
      </c>
      <c r="J7" s="3">
        <v>2017</v>
      </c>
      <c r="K7" s="3">
        <v>2018</v>
      </c>
      <c r="L7" s="3">
        <v>2019</v>
      </c>
      <c r="M7" s="3">
        <v>2030</v>
      </c>
      <c r="N7" s="3">
        <v>2050</v>
      </c>
    </row>
    <row r="8" spans="1:14" s="31" customFormat="1" x14ac:dyDescent="0.2">
      <c r="B8" s="31" t="str">
        <f>RES!W2</f>
        <v>IPGMD</v>
      </c>
      <c r="C8" s="31" t="str">
        <f>RES!O3</f>
        <v>Industry - PGMs - Platinum</v>
      </c>
      <c r="D8" s="31" t="s">
        <v>116</v>
      </c>
      <c r="E8" s="269">
        <f>'PGM methodology'!G22</f>
        <v>28</v>
      </c>
      <c r="F8" s="269">
        <f>'PGM methodology'!H22</f>
        <v>28</v>
      </c>
      <c r="G8" s="269">
        <f>'PGM methodology'!I22</f>
        <v>29</v>
      </c>
      <c r="H8" s="269">
        <f>'PGM methodology'!J22</f>
        <v>32</v>
      </c>
      <c r="I8" s="269">
        <f>'PGM methodology'!K22</f>
        <v>31</v>
      </c>
      <c r="J8" s="269">
        <f>'PGM methodology'!L22</f>
        <v>31</v>
      </c>
      <c r="K8" s="299">
        <v>30.822038664165241</v>
      </c>
      <c r="L8" s="299">
        <v>30.425949170614519</v>
      </c>
      <c r="M8" s="269">
        <f>J8</f>
        <v>31</v>
      </c>
      <c r="N8" s="269">
        <f>M8</f>
        <v>31</v>
      </c>
    </row>
    <row r="9" spans="1:14" s="31" customFormat="1" x14ac:dyDescent="0.2">
      <c r="E9" s="269"/>
      <c r="F9" s="269"/>
      <c r="G9" s="269"/>
      <c r="H9" s="269"/>
      <c r="I9" s="269"/>
      <c r="J9" s="269"/>
    </row>
    <row r="10" spans="1:14" s="31" customFormat="1" x14ac:dyDescent="0.2"/>
    <row r="11" spans="1:14" s="31" customFormat="1" x14ac:dyDescent="0.2"/>
    <row r="12" spans="1:14" ht="18" x14ac:dyDescent="0.25">
      <c r="D12" s="313" t="s">
        <v>544</v>
      </c>
    </row>
    <row r="13" spans="1:14" ht="12.75" x14ac:dyDescent="0.2">
      <c r="D13"/>
      <c r="E13"/>
      <c r="F13"/>
      <c r="G13"/>
      <c r="H13"/>
      <c r="I13"/>
      <c r="J13"/>
    </row>
    <row r="14" spans="1:14" ht="15" x14ac:dyDescent="0.25">
      <c r="D14" s="310" t="s">
        <v>602</v>
      </c>
      <c r="E14" s="310"/>
    </row>
    <row r="15" spans="1:14" ht="15" x14ac:dyDescent="0.25">
      <c r="D15" s="310" t="s">
        <v>612</v>
      </c>
      <c r="E15" s="310" t="s">
        <v>40</v>
      </c>
      <c r="F15" s="310" t="s">
        <v>613</v>
      </c>
      <c r="G15" s="310">
        <v>2017</v>
      </c>
      <c r="H15" s="310">
        <v>2018</v>
      </c>
      <c r="I15" s="310">
        <v>2019</v>
      </c>
      <c r="J15" s="310">
        <v>2020</v>
      </c>
    </row>
    <row r="16" spans="1:14" ht="12.75" x14ac:dyDescent="0.2">
      <c r="D16" s="32" t="s">
        <v>92</v>
      </c>
      <c r="E16" s="32" t="s">
        <v>614</v>
      </c>
      <c r="F16" s="3" t="s">
        <v>615</v>
      </c>
      <c r="G16" s="3" t="s">
        <v>616</v>
      </c>
    </row>
    <row r="17" spans="4:15" ht="12.75" x14ac:dyDescent="0.2">
      <c r="D17" s="311" t="s">
        <v>543</v>
      </c>
      <c r="E17" s="32" t="str">
        <f>B8</f>
        <v>IPGMD</v>
      </c>
      <c r="F17" s="3" t="s">
        <v>116</v>
      </c>
      <c r="G17" s="3">
        <f>J8</f>
        <v>31</v>
      </c>
      <c r="H17" s="3">
        <f t="shared" ref="H17:J17" si="0">K8</f>
        <v>30.822038664165241</v>
      </c>
      <c r="I17" s="3">
        <f t="shared" si="0"/>
        <v>30.425949170614519</v>
      </c>
      <c r="J17" s="3">
        <f t="shared" si="0"/>
        <v>31</v>
      </c>
    </row>
    <row r="24" spans="4:15" ht="15" x14ac:dyDescent="0.25">
      <c r="O24" s="312"/>
    </row>
  </sheetData>
  <pageMargins left="0.75" right="0.75" top="1" bottom="1" header="0.5" footer="0.5"/>
  <pageSetup paperSize="9" orientation="landscape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126981" r:id="rId4" name="cmdAddParamQualifier2">
          <controlPr defaultSize="0" autoLine="0" r:id="rId5">
            <anchor moveWithCells="1">
              <from>
                <xdr:col>0</xdr:col>
                <xdr:colOff>9525</xdr:colOff>
                <xdr:row>5</xdr:row>
                <xdr:rowOff>19050</xdr:rowOff>
              </from>
              <to>
                <xdr:col>0</xdr:col>
                <xdr:colOff>828675</xdr:colOff>
                <xdr:row>6</xdr:row>
                <xdr:rowOff>9525</xdr:rowOff>
              </to>
            </anchor>
          </controlPr>
        </control>
      </mc:Choice>
      <mc:Fallback>
        <control shapeId="126981" r:id="rId4" name="cmdAddParamQualifier2"/>
      </mc:Fallback>
    </mc:AlternateContent>
    <mc:AlternateContent xmlns:mc="http://schemas.openxmlformats.org/markup-compatibility/2006">
      <mc:Choice Requires="x14">
        <control shapeId="126980" r:id="rId6" name="cmdCheckCommDataSheet">
          <controlPr defaultSize="0" autoLine="0" r:id="rId7">
            <anchor moveWithCells="1">
              <from>
                <xdr:col>0</xdr:col>
                <xdr:colOff>9525</xdr:colOff>
                <xdr:row>1</xdr:row>
                <xdr:rowOff>123825</xdr:rowOff>
              </from>
              <to>
                <xdr:col>0</xdr:col>
                <xdr:colOff>828675</xdr:colOff>
                <xdr:row>3</xdr:row>
                <xdr:rowOff>9525</xdr:rowOff>
              </to>
            </anchor>
          </controlPr>
        </control>
      </mc:Choice>
      <mc:Fallback>
        <control shapeId="126980" r:id="rId6" name="cmdCheckCommDataSheet"/>
      </mc:Fallback>
    </mc:AlternateContent>
    <mc:AlternateContent xmlns:mc="http://schemas.openxmlformats.org/markup-compatibility/2006">
      <mc:Choice Requires="x14">
        <control shapeId="126979" r:id="rId8" name="cmdAddParamQualifier1">
          <controlPr defaultSize="0" autoLine="0" r:id="rId9">
            <anchor moveWithCells="1">
              <from>
                <xdr:col>0</xdr:col>
                <xdr:colOff>9525</xdr:colOff>
                <xdr:row>4</xdr:row>
                <xdr:rowOff>19050</xdr:rowOff>
              </from>
              <to>
                <xdr:col>0</xdr:col>
                <xdr:colOff>828675</xdr:colOff>
                <xdr:row>5</xdr:row>
                <xdr:rowOff>9525</xdr:rowOff>
              </to>
            </anchor>
          </controlPr>
        </control>
      </mc:Choice>
      <mc:Fallback>
        <control shapeId="126979" r:id="rId8" name="cmdAddParamQualifier1"/>
      </mc:Fallback>
    </mc:AlternateContent>
    <mc:AlternateContent xmlns:mc="http://schemas.openxmlformats.org/markup-compatibility/2006">
      <mc:Choice Requires="x14">
        <control shapeId="126978" r:id="rId10" name="cmdCommNameAndDesc">
          <controlPr defaultSize="0" autoLine="0" r:id="rId11">
            <anchor moveWithCells="1">
              <from>
                <xdr:col>1</xdr:col>
                <xdr:colOff>19050</xdr:colOff>
                <xdr:row>2</xdr:row>
                <xdr:rowOff>0</xdr:rowOff>
              </from>
              <to>
                <xdr:col>3</xdr:col>
                <xdr:colOff>0</xdr:colOff>
                <xdr:row>3</xdr:row>
                <xdr:rowOff>47625</xdr:rowOff>
              </to>
            </anchor>
          </controlPr>
        </control>
      </mc:Choice>
      <mc:Fallback>
        <control shapeId="126978" r:id="rId10" name="cmdCommNameAndDesc"/>
      </mc:Fallback>
    </mc:AlternateContent>
    <mc:AlternateContent xmlns:mc="http://schemas.openxmlformats.org/markup-compatibility/2006">
      <mc:Choice Requires="x14">
        <control shapeId="126977" r:id="rId12" name="cmdAddParameter">
          <controlPr defaultSize="0" autoLine="0" r:id="rId13">
            <anchor moveWithCells="1">
              <from>
                <xdr:col>0</xdr:col>
                <xdr:colOff>9525</xdr:colOff>
                <xdr:row>3</xdr:row>
                <xdr:rowOff>38100</xdr:rowOff>
              </from>
              <to>
                <xdr:col>0</xdr:col>
                <xdr:colOff>828675</xdr:colOff>
                <xdr:row>4</xdr:row>
                <xdr:rowOff>19050</xdr:rowOff>
              </to>
            </anchor>
          </controlPr>
        </control>
      </mc:Choice>
      <mc:Fallback>
        <control shapeId="126977" r:id="rId12" name="cmdAddParameter"/>
      </mc:Fallback>
    </mc:AlternateContent>
  </controls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33998-AFE1-4F5F-AF53-7FFFEBFFCA3C}">
  <sheetPr codeName="Sheet30">
    <tabColor theme="4"/>
  </sheetPr>
  <dimension ref="A1:AB20"/>
  <sheetViews>
    <sheetView tabSelected="1" topLeftCell="C1" zoomScale="115" zoomScaleNormal="115" workbookViewId="0">
      <selection activeCell="F8" sqref="F8"/>
    </sheetView>
  </sheetViews>
  <sheetFormatPr defaultColWidth="9.140625" defaultRowHeight="11.25" customHeight="1" x14ac:dyDescent="0.2"/>
  <cols>
    <col min="1" max="1" width="12.28515625" style="3" customWidth="1"/>
    <col min="2" max="2" width="15.28515625" style="3" customWidth="1"/>
    <col min="3" max="3" width="36.140625" style="3" customWidth="1"/>
    <col min="4" max="4" width="8.5703125" style="3" customWidth="1"/>
    <col min="5" max="5" width="12.28515625" style="3" customWidth="1"/>
    <col min="6" max="6" width="14.7109375" style="3" customWidth="1"/>
    <col min="7" max="12" width="9.140625" style="3"/>
    <col min="13" max="13" width="10.7109375" style="3" bestFit="1" customWidth="1"/>
    <col min="14" max="14" width="10.42578125" style="3" bestFit="1" customWidth="1"/>
    <col min="15" max="18" width="9.140625" style="3"/>
    <col min="19" max="19" width="7.85546875" style="3" customWidth="1"/>
    <col min="20" max="20" width="7.5703125" style="3" customWidth="1"/>
    <col min="21" max="23" width="7.85546875" style="3" customWidth="1"/>
    <col min="24" max="16384" width="9.140625" style="3"/>
  </cols>
  <sheetData>
    <row r="1" spans="1:28" ht="11.25" customHeight="1" x14ac:dyDescent="0.2">
      <c r="A1" s="300" t="str">
        <f ca="1">IF(INDEX(Index!$E$6:$E$37,MATCH(A2,Index!$D$6:$D$37,0))=1,LEFT(A2,SEARCH("_",A2)-1),"")</f>
        <v>ProcData</v>
      </c>
      <c r="B1" s="9" t="s">
        <v>125</v>
      </c>
      <c r="C1" s="31"/>
      <c r="D1" s="31"/>
      <c r="E1" s="31"/>
      <c r="F1" s="31"/>
      <c r="G1" s="31"/>
      <c r="Y1" s="3" t="str">
        <f>IF(Index!$M$10,"","*")</f>
        <v>*</v>
      </c>
      <c r="Z1" s="3" t="str">
        <f>IF(Index!$M$10,"","*")</f>
        <v>*</v>
      </c>
      <c r="AA1" s="3" t="str">
        <f>IF(Index!$M$10,"","*")</f>
        <v>*</v>
      </c>
      <c r="AB1" s="3" t="str">
        <f>IF(Index!$M$10,"","*")</f>
        <v>*</v>
      </c>
    </row>
    <row r="2" spans="1:28" ht="11.25" customHeight="1" x14ac:dyDescent="0.2">
      <c r="A2" s="301" t="str">
        <f ca="1">MID(CELL("filename",A1),FIND("]",CELL("filename",A1))+1,255)</f>
        <v>ProcData_PGM</v>
      </c>
      <c r="B2" s="31"/>
      <c r="C2" s="31"/>
      <c r="D2" s="31"/>
      <c r="E2" s="31"/>
      <c r="F2" s="31"/>
      <c r="G2" s="31"/>
      <c r="H2" s="31" t="s">
        <v>161</v>
      </c>
      <c r="I2" s="31"/>
      <c r="J2" s="31"/>
      <c r="K2" s="31"/>
      <c r="L2" s="31"/>
      <c r="M2" s="31"/>
      <c r="N2" s="31"/>
      <c r="O2" s="31"/>
      <c r="P2" s="31"/>
    </row>
    <row r="3" spans="1:28" ht="34.5" customHeight="1" x14ac:dyDescent="0.2">
      <c r="A3" s="31"/>
      <c r="B3" s="31"/>
      <c r="C3" s="31"/>
      <c r="D3" s="31"/>
      <c r="E3" s="31"/>
      <c r="F3" s="31"/>
      <c r="G3" s="91" t="s">
        <v>144</v>
      </c>
      <c r="H3" s="91" t="s">
        <v>140</v>
      </c>
      <c r="I3" s="91" t="s">
        <v>140</v>
      </c>
      <c r="J3" s="91" t="s">
        <v>140</v>
      </c>
      <c r="K3" s="91" t="s">
        <v>152</v>
      </c>
      <c r="L3" s="91" t="s">
        <v>152</v>
      </c>
      <c r="M3" s="91"/>
      <c r="N3" s="91"/>
      <c r="O3" s="91"/>
      <c r="P3" s="91"/>
      <c r="Q3" s="91" t="s">
        <v>143</v>
      </c>
      <c r="R3" s="3" t="s">
        <v>141</v>
      </c>
      <c r="S3" s="3" t="s">
        <v>142</v>
      </c>
    </row>
    <row r="4" spans="1:28" ht="21.75" customHeight="1" x14ac:dyDescent="0.2">
      <c r="A4" s="31"/>
      <c r="B4" s="31"/>
      <c r="C4" s="31"/>
      <c r="D4" s="305"/>
      <c r="E4" s="305"/>
      <c r="F4" s="305"/>
      <c r="G4" s="39" t="s">
        <v>120</v>
      </c>
      <c r="H4" s="39" t="s">
        <v>145</v>
      </c>
      <c r="I4" s="39" t="s">
        <v>145</v>
      </c>
      <c r="J4" s="39" t="s">
        <v>145</v>
      </c>
      <c r="K4" s="89" t="s">
        <v>153</v>
      </c>
      <c r="L4" s="89" t="s">
        <v>153</v>
      </c>
      <c r="M4" s="89" t="s">
        <v>522</v>
      </c>
      <c r="N4" s="89" t="s">
        <v>533</v>
      </c>
      <c r="O4" s="89" t="s">
        <v>534</v>
      </c>
      <c r="P4" s="89" t="s">
        <v>535</v>
      </c>
      <c r="Q4" s="39" t="s">
        <v>119</v>
      </c>
      <c r="R4" s="14" t="s">
        <v>127</v>
      </c>
      <c r="S4" s="89" t="s">
        <v>139</v>
      </c>
      <c r="T4" s="89" t="s">
        <v>139</v>
      </c>
      <c r="U4" s="89" t="s">
        <v>139</v>
      </c>
      <c r="V4" s="89" t="s">
        <v>139</v>
      </c>
      <c r="W4" s="89" t="s">
        <v>139</v>
      </c>
      <c r="X4" s="89" t="s">
        <v>139</v>
      </c>
    </row>
    <row r="5" spans="1:28" ht="16.5" customHeight="1" x14ac:dyDescent="0.2">
      <c r="A5" s="31"/>
      <c r="B5" s="31"/>
      <c r="C5" s="31"/>
      <c r="D5" s="31"/>
      <c r="E5" s="31"/>
      <c r="F5" s="31"/>
      <c r="G5" s="39" t="s">
        <v>27</v>
      </c>
      <c r="H5" s="39">
        <v>2017</v>
      </c>
      <c r="I5" s="39">
        <v>2030</v>
      </c>
      <c r="J5" s="39">
        <v>2050</v>
      </c>
      <c r="K5" s="39"/>
      <c r="L5" s="30">
        <v>0</v>
      </c>
      <c r="M5" s="39"/>
      <c r="N5" s="39"/>
      <c r="O5" s="39"/>
      <c r="P5" s="39"/>
      <c r="Q5" s="34"/>
      <c r="R5" s="14" t="str">
        <f>E13</f>
        <v>IPGM</v>
      </c>
      <c r="S5" s="3" t="str">
        <f>D9</f>
        <v>INDCOA</v>
      </c>
      <c r="T5" s="3" t="str">
        <f>D10</f>
        <v>INFELC</v>
      </c>
      <c r="U5" s="3" t="str">
        <f>D11</f>
        <v>INDODS</v>
      </c>
      <c r="V5" s="3" t="str">
        <f>D12</f>
        <v>INDGAS</v>
      </c>
      <c r="W5" s="3" t="str">
        <f>R5</f>
        <v>IPGM</v>
      </c>
      <c r="X5" s="3" t="str">
        <f>E14</f>
        <v>IPGMOP</v>
      </c>
    </row>
    <row r="6" spans="1:28" ht="17.25" customHeight="1" x14ac:dyDescent="0.2">
      <c r="A6" s="31"/>
      <c r="B6" s="31"/>
      <c r="C6" s="31"/>
      <c r="D6" s="31"/>
      <c r="E6" s="31" t="s">
        <v>602</v>
      </c>
      <c r="F6" s="31"/>
      <c r="G6" s="39" t="s">
        <v>121</v>
      </c>
      <c r="H6" s="39"/>
      <c r="I6" s="39"/>
      <c r="J6" s="39"/>
      <c r="Q6" s="34"/>
    </row>
    <row r="7" spans="1:28" ht="21.75" customHeight="1" x14ac:dyDescent="0.2">
      <c r="A7" s="31"/>
      <c r="B7" s="300" t="s">
        <v>591</v>
      </c>
      <c r="C7" s="300" t="s">
        <v>603</v>
      </c>
      <c r="D7" s="300" t="s">
        <v>604</v>
      </c>
      <c r="E7" s="300" t="s">
        <v>605</v>
      </c>
      <c r="F7" s="306" t="s">
        <v>619</v>
      </c>
      <c r="G7" s="31" t="str">
        <f>IFERROR(REPLACE(G4,SEARCH("-",G4),1,"~"),G4)</f>
        <v>ACT_EFF</v>
      </c>
      <c r="H7" s="91" t="str">
        <f t="shared" ref="H7:J7" si="0">IFERROR(REPLACE(H4,SEARCH("-",H4),1,"~"),H4)&amp;"~"&amp;H5</f>
        <v>PRC_RESID~2017</v>
      </c>
      <c r="I7" s="91" t="str">
        <f t="shared" si="0"/>
        <v>PRC_RESID~2030</v>
      </c>
      <c r="J7" s="91" t="str">
        <f t="shared" si="0"/>
        <v>PRC_RESID~2050</v>
      </c>
      <c r="K7" s="91" t="str">
        <f t="shared" ref="K7:L7" si="1">IFERROR(REPLACE(K4,SEARCH("-",K4),1,"~"),K4)&amp;"~"&amp;K5</f>
        <v>CAP_BND~UP~</v>
      </c>
      <c r="L7" s="91" t="str">
        <f t="shared" si="1"/>
        <v>CAP_BND~UP~0</v>
      </c>
      <c r="M7" s="91" t="str">
        <f>IFERROR(REPLACE(M4,SEARCH("-",M4),1,"~"),M4)</f>
        <v>NCAP_START</v>
      </c>
      <c r="N7" s="91" t="str">
        <f t="shared" ref="N7:R7" si="2">IFERROR(REPLACE(N4,SEARCH("-",N4),1,"~"),N4)</f>
        <v>NCAP_COST</v>
      </c>
      <c r="O7" s="91" t="str">
        <f t="shared" si="2"/>
        <v>NCAP_FOM</v>
      </c>
      <c r="P7" s="91" t="str">
        <f t="shared" si="2"/>
        <v>NCAP_TLIFE</v>
      </c>
      <c r="Q7" s="91" t="str">
        <f t="shared" si="2"/>
        <v>PRC_CAPACT</v>
      </c>
      <c r="R7" s="91" t="str">
        <f t="shared" si="2"/>
        <v>PRC_ACTUNT</v>
      </c>
      <c r="S7" s="309" t="s">
        <v>610</v>
      </c>
      <c r="T7" s="309" t="s">
        <v>610</v>
      </c>
      <c r="U7" s="309" t="s">
        <v>610</v>
      </c>
      <c r="V7" s="309" t="s">
        <v>610</v>
      </c>
      <c r="W7" s="309" t="s">
        <v>618</v>
      </c>
      <c r="X7" s="309" t="s">
        <v>618</v>
      </c>
      <c r="Y7" s="309" t="s">
        <v>611</v>
      </c>
      <c r="Z7" s="309" t="s">
        <v>611</v>
      </c>
      <c r="AA7" s="309" t="s">
        <v>611</v>
      </c>
      <c r="AB7" s="309" t="s">
        <v>611</v>
      </c>
    </row>
    <row r="8" spans="1:28" ht="11.25" customHeight="1" x14ac:dyDescent="0.2">
      <c r="A8" s="35" t="str">
        <f>Processes_BASE!A8</f>
        <v>* Conversion technologies</v>
      </c>
      <c r="B8" s="31"/>
      <c r="E8" s="97"/>
      <c r="F8" s="96"/>
      <c r="G8" s="92"/>
      <c r="H8" s="92"/>
      <c r="I8" s="92"/>
      <c r="J8" s="92"/>
      <c r="K8" s="92"/>
      <c r="L8" s="92"/>
      <c r="M8" s="92"/>
      <c r="N8" s="92"/>
      <c r="O8" s="92"/>
      <c r="P8" s="92"/>
    </row>
    <row r="9" spans="1:28" s="26" customFormat="1" ht="11.25" customHeight="1" x14ac:dyDescent="0.2">
      <c r="A9" s="3"/>
      <c r="B9" s="31" t="str">
        <f>Processes_BASE!B9</f>
        <v>IPGMME-E</v>
      </c>
      <c r="C9" s="31" t="str">
        <f>Processes_BASE!C9</f>
        <v>Industry - PGMs - Mine and refine - existing</v>
      </c>
      <c r="D9" s="97" t="str">
        <f>RES!D2</f>
        <v>INDCOA</v>
      </c>
      <c r="E9" s="97"/>
      <c r="G9" s="92"/>
      <c r="L9" s="92"/>
      <c r="M9" s="92"/>
      <c r="N9" s="92"/>
      <c r="O9" s="92"/>
      <c r="P9" s="92"/>
      <c r="S9" s="93">
        <f>EB_Exist!K10/EB_Exist!F4</f>
        <v>1.5184024154038968E-2</v>
      </c>
      <c r="T9" s="3"/>
      <c r="Y9" s="93">
        <f>EB_Exist!G20/EB_Exist!G28</f>
        <v>1.5184024154038968E-2</v>
      </c>
      <c r="Z9" s="3"/>
    </row>
    <row r="10" spans="1:28" s="26" customFormat="1" ht="11.25" customHeight="1" x14ac:dyDescent="0.2">
      <c r="A10" s="3"/>
      <c r="D10" s="97" t="str">
        <f>RES!E2</f>
        <v>INFELC</v>
      </c>
      <c r="E10" s="97"/>
      <c r="G10" s="92"/>
      <c r="H10" s="92"/>
      <c r="I10" s="92"/>
      <c r="J10" s="92"/>
      <c r="K10" s="92"/>
      <c r="L10" s="92"/>
      <c r="M10" s="92"/>
      <c r="N10" s="92"/>
      <c r="O10" s="92"/>
      <c r="P10" s="92"/>
      <c r="T10" s="26">
        <f>EB_Exist!K11/EB_Exist!F4</f>
        <v>0.15114499937673032</v>
      </c>
      <c r="Z10" s="26">
        <f>EB_Exist!G21/EB_Exist!G28</f>
        <v>0.14441687784826079</v>
      </c>
    </row>
    <row r="11" spans="1:28" s="26" customFormat="1" ht="11.25" customHeight="1" x14ac:dyDescent="0.2">
      <c r="A11" s="3"/>
      <c r="D11" s="96" t="str">
        <f>RES!F2</f>
        <v>INDODS</v>
      </c>
      <c r="G11" s="92"/>
      <c r="H11" s="92"/>
      <c r="I11" s="92"/>
      <c r="J11" s="92"/>
      <c r="K11" s="92"/>
      <c r="L11" s="92"/>
      <c r="M11" s="92"/>
      <c r="N11" s="92"/>
      <c r="O11" s="92"/>
      <c r="P11" s="92"/>
      <c r="U11" s="26">
        <f>EB_Exist!K12/EB_Exist!F4</f>
        <v>1.740249605672875E-2</v>
      </c>
      <c r="AA11" s="26">
        <f>EB_Exist!G23/EB_Exist!G28</f>
        <v>1.740249605672875E-2</v>
      </c>
    </row>
    <row r="12" spans="1:28" s="26" customFormat="1" ht="11.25" customHeight="1" x14ac:dyDescent="0.2">
      <c r="A12" s="3"/>
      <c r="D12" s="96" t="str">
        <f>RES!G2</f>
        <v>INDGAS</v>
      </c>
      <c r="G12" s="92"/>
      <c r="H12" s="92"/>
      <c r="I12" s="92"/>
      <c r="J12" s="92"/>
      <c r="K12" s="92"/>
      <c r="L12" s="92"/>
      <c r="M12" s="92"/>
      <c r="N12" s="92"/>
      <c r="O12" s="92"/>
      <c r="P12" s="92"/>
      <c r="V12" s="26">
        <f>EB_Exist!K13/EB_Exist!F4</f>
        <v>1.0221036009077367E-3</v>
      </c>
      <c r="AB12" s="26">
        <f>EB_Exist!G22/EB_Exist!G28</f>
        <v>1.0221036009077367E-3</v>
      </c>
    </row>
    <row r="13" spans="1:28" s="26" customFormat="1" ht="11.25" customHeight="1" x14ac:dyDescent="0.2">
      <c r="A13" s="3"/>
      <c r="B13" s="3"/>
      <c r="C13" s="3"/>
      <c r="D13" s="97"/>
      <c r="E13" s="96" t="str">
        <f>RES!O2</f>
        <v>IPGM</v>
      </c>
      <c r="G13" s="92"/>
      <c r="H13" s="92">
        <f>EB_Exist!F4/0.85</f>
        <v>305.88235294117646</v>
      </c>
      <c r="I13" s="92">
        <f>H13</f>
        <v>305.88235294117646</v>
      </c>
      <c r="J13" s="92">
        <f>I13</f>
        <v>305.88235294117646</v>
      </c>
      <c r="K13" s="92">
        <f>H13</f>
        <v>305.88235294117646</v>
      </c>
      <c r="L13" s="26">
        <v>3</v>
      </c>
      <c r="Q13" s="3">
        <v>1</v>
      </c>
      <c r="R13" s="26">
        <v>1</v>
      </c>
      <c r="W13" s="93">
        <f>'PGM methodology'!F8</f>
        <v>0.60117922803668555</v>
      </c>
      <c r="X13" s="93"/>
    </row>
    <row r="14" spans="1:28" s="26" customFormat="1" ht="11.25" customHeight="1" x14ac:dyDescent="0.2">
      <c r="A14" s="3"/>
      <c r="B14" s="3"/>
      <c r="C14" s="3"/>
      <c r="D14" s="97"/>
      <c r="E14" s="96" t="str">
        <f>RES!P2</f>
        <v>IPGMOP</v>
      </c>
      <c r="G14" s="92"/>
      <c r="H14" s="92"/>
      <c r="I14" s="92"/>
      <c r="J14" s="92"/>
      <c r="K14" s="92"/>
      <c r="Q14" s="3"/>
      <c r="W14" s="93"/>
      <c r="X14" s="93">
        <f>'PGM methodology'!F9</f>
        <v>0.39882077196331445</v>
      </c>
    </row>
    <row r="15" spans="1:28" s="26" customFormat="1" ht="11.25" customHeight="1" x14ac:dyDescent="0.2">
      <c r="A15" s="3"/>
      <c r="B15" s="3" t="str">
        <f>RES!M15</f>
        <v>IPGMME-N</v>
      </c>
      <c r="C15" s="3" t="str">
        <f>RES!M12</f>
        <v>Industry - PGMs - Mine and refine - New</v>
      </c>
      <c r="D15" s="3" t="str">
        <f>RES!D2</f>
        <v>INDCOA</v>
      </c>
      <c r="E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92">
        <f>S9*101%</f>
        <v>1.5335864395579359E-2</v>
      </c>
      <c r="T15" s="3"/>
      <c r="U15" s="3"/>
      <c r="V15" s="3"/>
      <c r="W15" s="93"/>
      <c r="X15" s="93"/>
    </row>
    <row r="16" spans="1:28" s="26" customFormat="1" ht="11.25" customHeight="1" x14ac:dyDescent="0.2">
      <c r="A16" s="3"/>
      <c r="B16" s="3"/>
      <c r="C16" s="3"/>
      <c r="D16" s="3" t="str">
        <f>RES!E2</f>
        <v>INFELC</v>
      </c>
      <c r="E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92">
        <f>T10*101%</f>
        <v>0.15265644937049763</v>
      </c>
      <c r="U16" s="3"/>
      <c r="V16" s="3"/>
      <c r="W16" s="93"/>
      <c r="X16" s="93"/>
    </row>
    <row r="17" spans="1:24" s="26" customFormat="1" ht="11.25" customHeight="1" x14ac:dyDescent="0.2">
      <c r="A17" s="3"/>
      <c r="B17" s="3"/>
      <c r="C17" s="3"/>
      <c r="D17" s="3" t="str">
        <f>RES!F2</f>
        <v>INDODS</v>
      </c>
      <c r="E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92">
        <f>U11*101%</f>
        <v>1.7576521017296037E-2</v>
      </c>
      <c r="V17" s="3"/>
      <c r="W17" s="93"/>
      <c r="X17" s="93"/>
    </row>
    <row r="18" spans="1:24" s="26" customFormat="1" ht="11.25" customHeight="1" x14ac:dyDescent="0.2">
      <c r="A18" s="3"/>
      <c r="B18" s="3"/>
      <c r="C18" s="3"/>
      <c r="D18" s="3" t="str">
        <f>RES!G2</f>
        <v>INDGAS</v>
      </c>
      <c r="E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92">
        <f>V12*101%</f>
        <v>1.032324636916814E-3</v>
      </c>
      <c r="W18" s="93"/>
      <c r="X18" s="93"/>
    </row>
    <row r="19" spans="1:24" ht="11.25" customHeight="1" x14ac:dyDescent="0.2">
      <c r="E19" s="3" t="str">
        <f>RES!O2</f>
        <v>IPGM</v>
      </c>
      <c r="H19" s="3">
        <v>0</v>
      </c>
      <c r="M19" s="3">
        <v>2025</v>
      </c>
      <c r="N19" s="3">
        <f>'PGM methodology'!L85</f>
        <v>1715.6368902773784</v>
      </c>
      <c r="O19" s="3">
        <f>'PGM methodology'!L84</f>
        <v>317.8590303780208</v>
      </c>
      <c r="P19" s="3">
        <f>'PGM methodology'!L86</f>
        <v>45</v>
      </c>
      <c r="Q19" s="3">
        <v>1</v>
      </c>
      <c r="R19" s="3">
        <v>1</v>
      </c>
      <c r="W19" s="92">
        <f>W13</f>
        <v>0.60117922803668555</v>
      </c>
      <c r="X19" s="92"/>
    </row>
    <row r="20" spans="1:24" ht="11.25" customHeight="1" x14ac:dyDescent="0.2">
      <c r="E20" s="3" t="str">
        <f>RES!P2</f>
        <v>IPGMOP</v>
      </c>
      <c r="W20" s="92"/>
      <c r="X20" s="92">
        <f>X14</f>
        <v>0.39882077196331445</v>
      </c>
    </row>
  </sheetData>
  <pageMargins left="0.75" right="0.75" top="1" bottom="1" header="0.5" footer="0.5"/>
  <pageSetup paperSize="9" orientation="landscape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157697" r:id="rId4" name="cmdTechNameAndDesc">
          <controlPr defaultSize="0" autoLine="0" r:id="rId5">
            <anchor moveWithCells="1">
              <from>
                <xdr:col>1</xdr:col>
                <xdr:colOff>0</xdr:colOff>
                <xdr:row>1</xdr:row>
                <xdr:rowOff>114300</xdr:rowOff>
              </from>
              <to>
                <xdr:col>2</xdr:col>
                <xdr:colOff>847725</xdr:colOff>
                <xdr:row>2</xdr:row>
                <xdr:rowOff>209550</xdr:rowOff>
              </to>
            </anchor>
          </controlPr>
        </control>
      </mc:Choice>
      <mc:Fallback>
        <control shapeId="157697" r:id="rId4" name="cmdTechNameAndDesc"/>
      </mc:Fallback>
    </mc:AlternateContent>
    <mc:AlternateContent xmlns:mc="http://schemas.openxmlformats.org/markup-compatibility/2006">
      <mc:Choice Requires="x14">
        <control shapeId="157698" r:id="rId6" name="cmdCommIN">
          <controlPr defaultSize="0" autoLine="0" r:id="rId7">
            <anchor moveWithCells="1">
              <from>
                <xdr:col>4</xdr:col>
                <xdr:colOff>0</xdr:colOff>
                <xdr:row>1</xdr:row>
                <xdr:rowOff>114300</xdr:rowOff>
              </from>
              <to>
                <xdr:col>4</xdr:col>
                <xdr:colOff>619125</xdr:colOff>
                <xdr:row>2</xdr:row>
                <xdr:rowOff>209550</xdr:rowOff>
              </to>
            </anchor>
          </controlPr>
        </control>
      </mc:Choice>
      <mc:Fallback>
        <control shapeId="157698" r:id="rId6" name="cmdCommIN"/>
      </mc:Fallback>
    </mc:AlternateContent>
    <mc:AlternateContent xmlns:mc="http://schemas.openxmlformats.org/markup-compatibility/2006">
      <mc:Choice Requires="x14">
        <control shapeId="157699" r:id="rId8" name="cmdCommOUT">
          <controlPr defaultSize="0" autoLine="0" r:id="rId9">
            <anchor moveWithCells="1">
              <from>
                <xdr:col>5</xdr:col>
                <xdr:colOff>0</xdr:colOff>
                <xdr:row>1</xdr:row>
                <xdr:rowOff>114300</xdr:rowOff>
              </from>
              <to>
                <xdr:col>5</xdr:col>
                <xdr:colOff>619125</xdr:colOff>
                <xdr:row>2</xdr:row>
                <xdr:rowOff>209550</xdr:rowOff>
              </to>
            </anchor>
          </controlPr>
        </control>
      </mc:Choice>
      <mc:Fallback>
        <control shapeId="157699" r:id="rId8" name="cmdCommOUT"/>
      </mc:Fallback>
    </mc:AlternateContent>
    <mc:AlternateContent xmlns:mc="http://schemas.openxmlformats.org/markup-compatibility/2006">
      <mc:Choice Requires="x14">
        <control shapeId="157700" r:id="rId10" name="cmdAddParameter">
          <controlPr defaultSize="0" autoLine="0" r:id="rId11">
            <anchor moveWithCells="1">
              <from>
                <xdr:col>0</xdr:col>
                <xdr:colOff>9525</xdr:colOff>
                <xdr:row>2</xdr:row>
                <xdr:rowOff>190500</xdr:rowOff>
              </from>
              <to>
                <xdr:col>1</xdr:col>
                <xdr:colOff>0</xdr:colOff>
                <xdr:row>2</xdr:row>
                <xdr:rowOff>428625</xdr:rowOff>
              </to>
            </anchor>
          </controlPr>
        </control>
      </mc:Choice>
      <mc:Fallback>
        <control shapeId="157700" r:id="rId10" name="cmdAddParameter"/>
      </mc:Fallback>
    </mc:AlternateContent>
    <mc:AlternateContent xmlns:mc="http://schemas.openxmlformats.org/markup-compatibility/2006">
      <mc:Choice Requires="x14">
        <control shapeId="157701" r:id="rId12" name="cmdAddParamQualifier1">
          <controlPr defaultSize="0" autoLine="0" r:id="rId13">
            <anchor moveWithCells="1">
              <from>
                <xdr:col>0</xdr:col>
                <xdr:colOff>9525</xdr:colOff>
                <xdr:row>3</xdr:row>
                <xdr:rowOff>171450</xdr:rowOff>
              </from>
              <to>
                <xdr:col>1</xdr:col>
                <xdr:colOff>0</xdr:colOff>
                <xdr:row>4</xdr:row>
                <xdr:rowOff>133350</xdr:rowOff>
              </to>
            </anchor>
          </controlPr>
        </control>
      </mc:Choice>
      <mc:Fallback>
        <control shapeId="157701" r:id="rId12" name="cmdAddParamQualifier1"/>
      </mc:Fallback>
    </mc:AlternateContent>
    <mc:AlternateContent xmlns:mc="http://schemas.openxmlformats.org/markup-compatibility/2006">
      <mc:Choice Requires="x14">
        <control shapeId="157702" r:id="rId14" name="cmdCheckTechDataSheet">
          <controlPr defaultSize="0" autoLine="0" r:id="rId15">
            <anchor moveWithCells="1">
              <from>
                <xdr:col>0</xdr:col>
                <xdr:colOff>9525</xdr:colOff>
                <xdr:row>1</xdr:row>
                <xdr:rowOff>114300</xdr:rowOff>
              </from>
              <to>
                <xdr:col>1</xdr:col>
                <xdr:colOff>0</xdr:colOff>
                <xdr:row>2</xdr:row>
                <xdr:rowOff>209550</xdr:rowOff>
              </to>
            </anchor>
          </controlPr>
        </control>
      </mc:Choice>
      <mc:Fallback>
        <control shapeId="157702" r:id="rId14" name="cmdCheckTechDataSheet"/>
      </mc:Fallback>
    </mc:AlternateContent>
    <mc:AlternateContent xmlns:mc="http://schemas.openxmlformats.org/markup-compatibility/2006">
      <mc:Choice Requires="x14">
        <control shapeId="157703" r:id="rId16" name="cmdAddParamQualifier2">
          <controlPr defaultSize="0" autoLine="0" r:id="rId17">
            <anchor moveWithCells="1">
              <from>
                <xdr:col>0</xdr:col>
                <xdr:colOff>9525</xdr:colOff>
                <xdr:row>5</xdr:row>
                <xdr:rowOff>19050</xdr:rowOff>
              </from>
              <to>
                <xdr:col>1</xdr:col>
                <xdr:colOff>0</xdr:colOff>
                <xdr:row>6</xdr:row>
                <xdr:rowOff>38100</xdr:rowOff>
              </to>
            </anchor>
          </controlPr>
        </control>
      </mc:Choice>
      <mc:Fallback>
        <control shapeId="157703" r:id="rId16" name="cmdAddParamQualifier2"/>
      </mc:Fallback>
    </mc:AlternateContent>
  </control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6"/>
  <dimension ref="A1:G7"/>
  <sheetViews>
    <sheetView workbookViewId="0"/>
  </sheetViews>
  <sheetFormatPr defaultColWidth="9.140625" defaultRowHeight="11.25" customHeight="1" x14ac:dyDescent="0.2"/>
  <cols>
    <col min="1" max="1" width="12.28515625" style="3" customWidth="1"/>
    <col min="2" max="2" width="8.42578125" style="3" customWidth="1"/>
    <col min="3" max="3" width="24.28515625" style="3" customWidth="1"/>
    <col min="4" max="4" width="8.5703125" style="3" customWidth="1"/>
    <col min="5" max="5" width="8.85546875" style="3" customWidth="1"/>
    <col min="6" max="6" width="10.140625" style="3" customWidth="1"/>
    <col min="7" max="7" width="6.85546875" style="26" customWidth="1"/>
    <col min="8" max="16384" width="9.140625" style="3"/>
  </cols>
  <sheetData>
    <row r="1" spans="1:7" ht="11.25" customHeight="1" x14ac:dyDescent="0.2">
      <c r="A1" s="2" t="s">
        <v>110</v>
      </c>
    </row>
    <row r="3" spans="1:7" ht="21.75" customHeight="1" x14ac:dyDescent="0.2"/>
    <row r="4" spans="1:7" ht="17.25" customHeight="1" x14ac:dyDescent="0.2">
      <c r="E4" s="27" t="s">
        <v>92</v>
      </c>
      <c r="F4" s="27"/>
      <c r="G4" s="27"/>
    </row>
    <row r="5" spans="1:7" ht="16.5" customHeight="1" x14ac:dyDescent="0.2"/>
    <row r="6" spans="1:7" ht="17.25" customHeight="1" x14ac:dyDescent="0.2"/>
    <row r="7" spans="1:7" ht="21.75" customHeight="1" x14ac:dyDescent="0.2">
      <c r="B7" s="2" t="s">
        <v>56</v>
      </c>
      <c r="C7" s="2" t="s">
        <v>57</v>
      </c>
      <c r="D7" s="6" t="s">
        <v>93</v>
      </c>
      <c r="E7" s="2" t="s">
        <v>80</v>
      </c>
      <c r="F7" s="2" t="s">
        <v>81</v>
      </c>
      <c r="G7" s="6" t="s">
        <v>94</v>
      </c>
    </row>
  </sheetData>
  <pageMargins left="0.75" right="0.75" top="1" bottom="1" header="0.5" footer="0.5"/>
  <pageSetup paperSize="9" orientation="landscape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113665" r:id="rId4" name="cmdTechNameAndDesc">
          <controlPr defaultSize="0" autoLine="0" r:id="rId5">
            <anchor moveWithCells="1">
              <from>
                <xdr:col>1</xdr:col>
                <xdr:colOff>0</xdr:colOff>
                <xdr:row>1</xdr:row>
                <xdr:rowOff>114300</xdr:rowOff>
              </from>
              <to>
                <xdr:col>2</xdr:col>
                <xdr:colOff>1304925</xdr:colOff>
                <xdr:row>2</xdr:row>
                <xdr:rowOff>209550</xdr:rowOff>
              </to>
            </anchor>
          </controlPr>
        </control>
      </mc:Choice>
      <mc:Fallback>
        <control shapeId="113665" r:id="rId4" name="cmdTechNameAndDesc"/>
      </mc:Fallback>
    </mc:AlternateContent>
    <mc:AlternateContent xmlns:mc="http://schemas.openxmlformats.org/markup-compatibility/2006">
      <mc:Choice Requires="x14">
        <control shapeId="113666" r:id="rId6" name="cmdCommIN">
          <controlPr defaultSize="0" autoLine="0" r:id="rId7">
            <anchor moveWithCells="1">
              <from>
                <xdr:col>4</xdr:col>
                <xdr:colOff>0</xdr:colOff>
                <xdr:row>1</xdr:row>
                <xdr:rowOff>114300</xdr:rowOff>
              </from>
              <to>
                <xdr:col>5</xdr:col>
                <xdr:colOff>28575</xdr:colOff>
                <xdr:row>2</xdr:row>
                <xdr:rowOff>209550</xdr:rowOff>
              </to>
            </anchor>
          </controlPr>
        </control>
      </mc:Choice>
      <mc:Fallback>
        <control shapeId="113666" r:id="rId6" name="cmdCommIN"/>
      </mc:Fallback>
    </mc:AlternateContent>
    <mc:AlternateContent xmlns:mc="http://schemas.openxmlformats.org/markup-compatibility/2006">
      <mc:Choice Requires="x14">
        <control shapeId="113667" r:id="rId8" name="cmdCommOUT">
          <controlPr defaultSize="0" autoLine="0" r:id="rId9">
            <anchor moveWithCells="1">
              <from>
                <xdr:col>5</xdr:col>
                <xdr:colOff>0</xdr:colOff>
                <xdr:row>1</xdr:row>
                <xdr:rowOff>114300</xdr:rowOff>
              </from>
              <to>
                <xdr:col>5</xdr:col>
                <xdr:colOff>619125</xdr:colOff>
                <xdr:row>2</xdr:row>
                <xdr:rowOff>209550</xdr:rowOff>
              </to>
            </anchor>
          </controlPr>
        </control>
      </mc:Choice>
      <mc:Fallback>
        <control shapeId="113667" r:id="rId8" name="cmdCommOUT"/>
      </mc:Fallback>
    </mc:AlternateContent>
    <mc:AlternateContent xmlns:mc="http://schemas.openxmlformats.org/markup-compatibility/2006">
      <mc:Choice Requires="x14">
        <control shapeId="113668" r:id="rId10" name="cmdAddParameter">
          <controlPr defaultSize="0" autoLine="0" r:id="rId11">
            <anchor moveWithCells="1">
              <from>
                <xdr:col>0</xdr:col>
                <xdr:colOff>9525</xdr:colOff>
                <xdr:row>2</xdr:row>
                <xdr:rowOff>190500</xdr:rowOff>
              </from>
              <to>
                <xdr:col>1</xdr:col>
                <xdr:colOff>9525</xdr:colOff>
                <xdr:row>3</xdr:row>
                <xdr:rowOff>152400</xdr:rowOff>
              </to>
            </anchor>
          </controlPr>
        </control>
      </mc:Choice>
      <mc:Fallback>
        <control shapeId="113668" r:id="rId10" name="cmdAddParameter"/>
      </mc:Fallback>
    </mc:AlternateContent>
    <mc:AlternateContent xmlns:mc="http://schemas.openxmlformats.org/markup-compatibility/2006">
      <mc:Choice Requires="x14">
        <control shapeId="113669" r:id="rId12" name="cmdAddParamQualifier1">
          <controlPr defaultSize="0" autoLine="0" r:id="rId13">
            <anchor moveWithCells="1">
              <from>
                <xdr:col>0</xdr:col>
                <xdr:colOff>9525</xdr:colOff>
                <xdr:row>3</xdr:row>
                <xdr:rowOff>171450</xdr:rowOff>
              </from>
              <to>
                <xdr:col>1</xdr:col>
                <xdr:colOff>9525</xdr:colOff>
                <xdr:row>4</xdr:row>
                <xdr:rowOff>190500</xdr:rowOff>
              </to>
            </anchor>
          </controlPr>
        </control>
      </mc:Choice>
      <mc:Fallback>
        <control shapeId="113669" r:id="rId12" name="cmdAddParamQualifier1"/>
      </mc:Fallback>
    </mc:AlternateContent>
    <mc:AlternateContent xmlns:mc="http://schemas.openxmlformats.org/markup-compatibility/2006">
      <mc:Choice Requires="x14">
        <control shapeId="113670" r:id="rId14" name="cmdCheckTechDataSheet">
          <controlPr defaultSize="0" autoLine="0" r:id="rId15">
            <anchor moveWithCells="1">
              <from>
                <xdr:col>0</xdr:col>
                <xdr:colOff>9525</xdr:colOff>
                <xdr:row>1</xdr:row>
                <xdr:rowOff>114300</xdr:rowOff>
              </from>
              <to>
                <xdr:col>1</xdr:col>
                <xdr:colOff>9525</xdr:colOff>
                <xdr:row>2</xdr:row>
                <xdr:rowOff>209550</xdr:rowOff>
              </to>
            </anchor>
          </controlPr>
        </control>
      </mc:Choice>
      <mc:Fallback>
        <control shapeId="113670" r:id="rId14" name="cmdCheckTechDataSheet"/>
      </mc:Fallback>
    </mc:AlternateContent>
    <mc:AlternateContent xmlns:mc="http://schemas.openxmlformats.org/markup-compatibility/2006">
      <mc:Choice Requires="x14">
        <control shapeId="113672" r:id="rId16" name="cmdAddParamQualifier2">
          <controlPr defaultSize="0" autoLine="0" r:id="rId17">
            <anchor moveWithCells="1">
              <from>
                <xdr:col>0</xdr:col>
                <xdr:colOff>9525</xdr:colOff>
                <xdr:row>5</xdr:row>
                <xdr:rowOff>19050</xdr:rowOff>
              </from>
              <to>
                <xdr:col>1</xdr:col>
                <xdr:colOff>9525</xdr:colOff>
                <xdr:row>6</xdr:row>
                <xdr:rowOff>38100</xdr:rowOff>
              </to>
            </anchor>
          </controlPr>
        </control>
      </mc:Choice>
      <mc:Fallback>
        <control shapeId="113672" r:id="rId16" name="cmdAddParamQualifier2"/>
      </mc:Fallback>
    </mc:AlternateContent>
  </controls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728BB-F266-4854-BC5D-903B193E720B}">
  <sheetPr codeName="Sheet31">
    <tabColor theme="4"/>
  </sheetPr>
  <dimension ref="A1:N14"/>
  <sheetViews>
    <sheetView workbookViewId="0">
      <selection activeCell="J34" sqref="J34"/>
    </sheetView>
  </sheetViews>
  <sheetFormatPr defaultColWidth="9.140625" defaultRowHeight="11.25" customHeight="1" x14ac:dyDescent="0.2"/>
  <cols>
    <col min="1" max="1" width="12.28515625" style="3" customWidth="1"/>
    <col min="2" max="2" width="15.28515625" style="3" customWidth="1"/>
    <col min="3" max="3" width="36.140625" style="3" customWidth="1"/>
    <col min="4" max="4" width="8.5703125" style="3" customWidth="1"/>
    <col min="5" max="5" width="12.28515625" style="3" customWidth="1"/>
    <col min="6" max="6" width="10.140625" style="3" customWidth="1"/>
    <col min="7" max="16384" width="9.140625" style="3"/>
  </cols>
  <sheetData>
    <row r="1" spans="1:14" ht="11.25" customHeight="1" x14ac:dyDescent="0.2">
      <c r="A1" s="300" t="str">
        <f ca="1">IF(INDEX(Index!$E$6:$E$37,MATCH(A2,Index!$D$6:$D$37,0))=1,LEFT(A2,SEARCH("_",A2)-1),"")</f>
        <v>ProcData</v>
      </c>
      <c r="B1" s="9" t="s">
        <v>125</v>
      </c>
      <c r="C1" s="31"/>
      <c r="D1" s="31"/>
      <c r="E1" s="31"/>
      <c r="F1" s="31"/>
      <c r="G1" s="31"/>
    </row>
    <row r="2" spans="1:14" ht="11.25" customHeight="1" x14ac:dyDescent="0.2">
      <c r="A2" s="301" t="str">
        <f ca="1">MID(CELL("filename",A1),FIND("]",CELL("filename",A1))+1,255)</f>
        <v>ProcData_PGMexports</v>
      </c>
      <c r="B2" s="31"/>
      <c r="C2" s="31"/>
      <c r="D2" s="31"/>
      <c r="E2" s="31"/>
      <c r="F2" s="31"/>
      <c r="G2" s="31"/>
    </row>
    <row r="3" spans="1:14" ht="34.5" customHeight="1" x14ac:dyDescent="0.2">
      <c r="A3" s="31"/>
      <c r="B3" s="31"/>
      <c r="C3" s="31"/>
      <c r="D3" s="31"/>
      <c r="E3" s="31"/>
      <c r="F3" s="31"/>
      <c r="G3" s="91" t="s">
        <v>144</v>
      </c>
      <c r="H3" s="91" t="s">
        <v>143</v>
      </c>
      <c r="I3" s="3" t="s">
        <v>141</v>
      </c>
    </row>
    <row r="4" spans="1:14" ht="21.75" customHeight="1" x14ac:dyDescent="0.2">
      <c r="A4" s="31"/>
      <c r="B4" s="31"/>
      <c r="C4" s="31"/>
      <c r="D4" s="305"/>
      <c r="E4" s="305"/>
      <c r="F4" s="305"/>
      <c r="G4" s="39" t="s">
        <v>120</v>
      </c>
      <c r="H4" s="39" t="s">
        <v>119</v>
      </c>
      <c r="I4" s="14" t="s">
        <v>127</v>
      </c>
      <c r="J4" s="14" t="s">
        <v>127</v>
      </c>
      <c r="K4" s="39" t="s">
        <v>570</v>
      </c>
      <c r="L4" s="39" t="s">
        <v>570</v>
      </c>
      <c r="M4" s="39" t="s">
        <v>571</v>
      </c>
      <c r="N4" s="39" t="s">
        <v>571</v>
      </c>
    </row>
    <row r="5" spans="1:14" ht="16.5" customHeight="1" x14ac:dyDescent="0.2">
      <c r="A5" s="31"/>
      <c r="B5" s="31"/>
      <c r="C5" s="31"/>
      <c r="D5" s="31"/>
      <c r="E5" s="31"/>
      <c r="F5" s="31"/>
      <c r="G5" s="39" t="s">
        <v>27</v>
      </c>
      <c r="H5" s="34"/>
      <c r="I5" s="14" t="str">
        <f>D9</f>
        <v>IPGM</v>
      </c>
      <c r="J5" s="14" t="e">
        <f>#REF!</f>
        <v>#REF!</v>
      </c>
      <c r="K5" s="38">
        <v>0</v>
      </c>
      <c r="L5" s="3">
        <v>2017</v>
      </c>
      <c r="M5" s="3">
        <v>2030</v>
      </c>
      <c r="N5" s="3">
        <v>2050</v>
      </c>
    </row>
    <row r="6" spans="1:14" ht="17.25" customHeight="1" x14ac:dyDescent="0.2">
      <c r="A6" s="31"/>
      <c r="B6" s="31"/>
      <c r="C6" s="31"/>
      <c r="D6" s="31"/>
      <c r="E6" s="31" t="s">
        <v>602</v>
      </c>
      <c r="F6" s="31"/>
      <c r="G6" s="39" t="s">
        <v>121</v>
      </c>
      <c r="H6" s="34"/>
      <c r="K6" s="39" t="s">
        <v>121</v>
      </c>
      <c r="L6" s="39" t="s">
        <v>121</v>
      </c>
      <c r="M6" s="39" t="s">
        <v>121</v>
      </c>
      <c r="N6" s="39" t="s">
        <v>121</v>
      </c>
    </row>
    <row r="7" spans="1:14" ht="21.75" customHeight="1" x14ac:dyDescent="0.2">
      <c r="A7" s="31"/>
      <c r="B7" s="300" t="s">
        <v>591</v>
      </c>
      <c r="C7" s="300" t="s">
        <v>603</v>
      </c>
      <c r="D7" s="300" t="s">
        <v>604</v>
      </c>
      <c r="E7" s="300" t="s">
        <v>605</v>
      </c>
      <c r="F7" s="306" t="s">
        <v>606</v>
      </c>
      <c r="G7" s="31" t="str">
        <f>IFERROR(REPLACE(G4,SEARCH("-",G4),1,"~"),G4)</f>
        <v>ACT_EFF</v>
      </c>
      <c r="H7" s="91" t="str">
        <f t="shared" ref="H7" si="0">IFERROR(REPLACE(H4,SEARCH("-",H4),1,"~"),H4)</f>
        <v>PRC_CAPACT</v>
      </c>
      <c r="I7" s="91" t="str">
        <f>IFERROR(REPLACE(I4,SEARCH("-",I4),1,"~"),I4)</f>
        <v>PRC_ACTUNT</v>
      </c>
      <c r="J7" s="91" t="str">
        <f>IFERROR(REPLACE(J4,SEARCH("-",J4),1,"~"),J4)</f>
        <v>PRC_ACTUNT</v>
      </c>
      <c r="K7" s="91" t="str">
        <f t="shared" ref="K7:N7" si="1">IFERROR(REPLACE(K4,SEARCH("-",K4),1,"~"),K4)&amp;"~"&amp;K5</f>
        <v>ACT_BND~FX~0</v>
      </c>
      <c r="L7" s="91" t="str">
        <f t="shared" si="1"/>
        <v>ACT_BND~FX~2017</v>
      </c>
      <c r="M7" s="91" t="str">
        <f t="shared" si="1"/>
        <v>ACT_BND~LO~2030</v>
      </c>
      <c r="N7" s="91" t="str">
        <f t="shared" si="1"/>
        <v>ACT_BND~LO~2050</v>
      </c>
    </row>
    <row r="8" spans="1:14" ht="11.25" customHeight="1" x14ac:dyDescent="0.2">
      <c r="A8" s="35" t="str">
        <f>Processes_BASE!A8</f>
        <v>* Conversion technologies</v>
      </c>
      <c r="B8" s="31"/>
      <c r="E8" s="97"/>
      <c r="F8" s="96"/>
      <c r="G8" s="92"/>
    </row>
    <row r="9" spans="1:14" ht="11.25" customHeight="1" x14ac:dyDescent="0.2">
      <c r="B9" s="3" t="str">
        <f>Processes_BASE!B11</f>
        <v>XIPGM</v>
      </c>
      <c r="C9" s="3" t="str">
        <f>Processes_BASE!C11</f>
        <v>Industry - PGMs - to local demand</v>
      </c>
      <c r="D9" s="3" t="str">
        <f>RES!O2</f>
        <v>IPGM</v>
      </c>
      <c r="E9" s="3" t="str">
        <f>RES!W2</f>
        <v>IPGMD</v>
      </c>
      <c r="G9" s="3">
        <v>1</v>
      </c>
      <c r="H9" s="3">
        <v>1</v>
      </c>
      <c r="I9" s="3">
        <v>1</v>
      </c>
    </row>
    <row r="10" spans="1:14" ht="11.25" customHeight="1" x14ac:dyDescent="0.2">
      <c r="B10" s="3" t="str">
        <f>Processes_BASE!B12</f>
        <v>PEXPGM</v>
      </c>
      <c r="C10" s="3" t="str">
        <f>Processes_BASE!C12</f>
        <v>Export PGMs - Pt</v>
      </c>
      <c r="D10" s="3" t="str">
        <f>Commodities_BASE!B13</f>
        <v>IPGM</v>
      </c>
      <c r="G10" s="3">
        <v>1</v>
      </c>
      <c r="H10" s="3">
        <v>1</v>
      </c>
      <c r="I10" s="3">
        <v>1</v>
      </c>
      <c r="K10" s="3">
        <v>3</v>
      </c>
      <c r="L10" s="293">
        <f>'PGM methodology'!L23</f>
        <v>125.30659928953824</v>
      </c>
      <c r="M10" s="293">
        <f>L10</f>
        <v>125.30659928953824</v>
      </c>
      <c r="N10" s="293">
        <f>M10</f>
        <v>125.30659928953824</v>
      </c>
    </row>
    <row r="11" spans="1:14" ht="11.25" customHeight="1" x14ac:dyDescent="0.2">
      <c r="B11" s="3" t="str">
        <f>Processes_BASE!B13</f>
        <v>PEXPGMO</v>
      </c>
      <c r="C11" s="3" t="str">
        <f>Processes_BASE!C13</f>
        <v>Export PGMs - Others</v>
      </c>
      <c r="D11" s="3" t="str">
        <f>Commodities_BASE!B14</f>
        <v>IPGMOP</v>
      </c>
      <c r="G11" s="3">
        <v>1</v>
      </c>
      <c r="H11" s="3">
        <v>1</v>
      </c>
      <c r="J11" s="3">
        <v>1</v>
      </c>
      <c r="K11" s="3">
        <v>3</v>
      </c>
      <c r="L11" s="293">
        <f>'PGM methodology'!L24</f>
        <v>103.69340071046176</v>
      </c>
      <c r="M11" s="293">
        <f>L11</f>
        <v>103.69340071046176</v>
      </c>
      <c r="N11" s="293">
        <f>M11</f>
        <v>103.69340071046176</v>
      </c>
    </row>
    <row r="14" spans="1:14" ht="20.25" customHeight="1" x14ac:dyDescent="0.2"/>
  </sheetData>
  <pageMargins left="0.75" right="0.75" top="1" bottom="1" header="0.5" footer="0.5"/>
  <pageSetup paperSize="9" orientation="landscape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206855" r:id="rId4" name="cmdAddParamQualifier2">
          <controlPr defaultSize="0" autoLine="0" autoPict="0" r:id="rId5">
            <anchor moveWithCells="1">
              <from>
                <xdr:col>0</xdr:col>
                <xdr:colOff>9525</xdr:colOff>
                <xdr:row>5</xdr:row>
                <xdr:rowOff>19050</xdr:rowOff>
              </from>
              <to>
                <xdr:col>0</xdr:col>
                <xdr:colOff>647700</xdr:colOff>
                <xdr:row>6</xdr:row>
                <xdr:rowOff>0</xdr:rowOff>
              </to>
            </anchor>
          </controlPr>
        </control>
      </mc:Choice>
      <mc:Fallback>
        <control shapeId="206855" r:id="rId4" name="cmdAddParamQualifier2"/>
      </mc:Fallback>
    </mc:AlternateContent>
    <mc:AlternateContent xmlns:mc="http://schemas.openxmlformats.org/markup-compatibility/2006">
      <mc:Choice Requires="x14">
        <control shapeId="206854" r:id="rId6" name="cmdCheckTechDataSheet">
          <controlPr defaultSize="0" autoLine="0" autoPict="0" r:id="rId7">
            <anchor moveWithCells="1">
              <from>
                <xdr:col>0</xdr:col>
                <xdr:colOff>9525</xdr:colOff>
                <xdr:row>1</xdr:row>
                <xdr:rowOff>114300</xdr:rowOff>
              </from>
              <to>
                <xdr:col>0</xdr:col>
                <xdr:colOff>647700</xdr:colOff>
                <xdr:row>2</xdr:row>
                <xdr:rowOff>190500</xdr:rowOff>
              </to>
            </anchor>
          </controlPr>
        </control>
      </mc:Choice>
      <mc:Fallback>
        <control shapeId="206854" r:id="rId6" name="cmdCheckTechDataSheet"/>
      </mc:Fallback>
    </mc:AlternateContent>
    <mc:AlternateContent xmlns:mc="http://schemas.openxmlformats.org/markup-compatibility/2006">
      <mc:Choice Requires="x14">
        <control shapeId="206853" r:id="rId8" name="cmdAddParamQualifier1">
          <controlPr defaultSize="0" autoLine="0" autoPict="0" r:id="rId9">
            <anchor moveWithCells="1">
              <from>
                <xdr:col>0</xdr:col>
                <xdr:colOff>9525</xdr:colOff>
                <xdr:row>3</xdr:row>
                <xdr:rowOff>171450</xdr:rowOff>
              </from>
              <to>
                <xdr:col>0</xdr:col>
                <xdr:colOff>647700</xdr:colOff>
                <xdr:row>4</xdr:row>
                <xdr:rowOff>104775</xdr:rowOff>
              </to>
            </anchor>
          </controlPr>
        </control>
      </mc:Choice>
      <mc:Fallback>
        <control shapeId="206853" r:id="rId8" name="cmdAddParamQualifier1"/>
      </mc:Fallback>
    </mc:AlternateContent>
    <mc:AlternateContent xmlns:mc="http://schemas.openxmlformats.org/markup-compatibility/2006">
      <mc:Choice Requires="x14">
        <control shapeId="206852" r:id="rId10" name="cmdAddParameter">
          <controlPr defaultSize="0" autoLine="0" autoPict="0" r:id="rId11">
            <anchor moveWithCells="1">
              <from>
                <xdr:col>0</xdr:col>
                <xdr:colOff>9525</xdr:colOff>
                <xdr:row>2</xdr:row>
                <xdr:rowOff>190500</xdr:rowOff>
              </from>
              <to>
                <xdr:col>0</xdr:col>
                <xdr:colOff>647700</xdr:colOff>
                <xdr:row>2</xdr:row>
                <xdr:rowOff>419100</xdr:rowOff>
              </to>
            </anchor>
          </controlPr>
        </control>
      </mc:Choice>
      <mc:Fallback>
        <control shapeId="206852" r:id="rId10" name="cmdAddParameter"/>
      </mc:Fallback>
    </mc:AlternateContent>
    <mc:AlternateContent xmlns:mc="http://schemas.openxmlformats.org/markup-compatibility/2006">
      <mc:Choice Requires="x14">
        <control shapeId="206851" r:id="rId12" name="cmdCommOUT">
          <controlPr defaultSize="0" autoLine="0" r:id="rId13">
            <anchor moveWithCells="1">
              <from>
                <xdr:col>5</xdr:col>
                <xdr:colOff>0</xdr:colOff>
                <xdr:row>1</xdr:row>
                <xdr:rowOff>114300</xdr:rowOff>
              </from>
              <to>
                <xdr:col>5</xdr:col>
                <xdr:colOff>609600</xdr:colOff>
                <xdr:row>2</xdr:row>
                <xdr:rowOff>190500</xdr:rowOff>
              </to>
            </anchor>
          </controlPr>
        </control>
      </mc:Choice>
      <mc:Fallback>
        <control shapeId="206851" r:id="rId12" name="cmdCommOUT"/>
      </mc:Fallback>
    </mc:AlternateContent>
    <mc:AlternateContent xmlns:mc="http://schemas.openxmlformats.org/markup-compatibility/2006">
      <mc:Choice Requires="x14">
        <control shapeId="206850" r:id="rId14" name="cmdCommIN">
          <controlPr defaultSize="0" autoLine="0" r:id="rId15">
            <anchor moveWithCells="1">
              <from>
                <xdr:col>4</xdr:col>
                <xdr:colOff>0</xdr:colOff>
                <xdr:row>1</xdr:row>
                <xdr:rowOff>114300</xdr:rowOff>
              </from>
              <to>
                <xdr:col>4</xdr:col>
                <xdr:colOff>609600</xdr:colOff>
                <xdr:row>2</xdr:row>
                <xdr:rowOff>190500</xdr:rowOff>
              </to>
            </anchor>
          </controlPr>
        </control>
      </mc:Choice>
      <mc:Fallback>
        <control shapeId="206850" r:id="rId14" name="cmdCommIN"/>
      </mc:Fallback>
    </mc:AlternateContent>
    <mc:AlternateContent xmlns:mc="http://schemas.openxmlformats.org/markup-compatibility/2006">
      <mc:Choice Requires="x14">
        <control shapeId="206849" r:id="rId16" name="cmdTechNameAndDesc">
          <controlPr defaultSize="0" autoLine="0" autoPict="0" r:id="rId17">
            <anchor moveWithCells="1">
              <from>
                <xdr:col>1</xdr:col>
                <xdr:colOff>0</xdr:colOff>
                <xdr:row>1</xdr:row>
                <xdr:rowOff>114300</xdr:rowOff>
              </from>
              <to>
                <xdr:col>2</xdr:col>
                <xdr:colOff>638175</xdr:colOff>
                <xdr:row>2</xdr:row>
                <xdr:rowOff>190500</xdr:rowOff>
              </to>
            </anchor>
          </controlPr>
        </control>
      </mc:Choice>
      <mc:Fallback>
        <control shapeId="206849" r:id="rId16" name="cmdTechNameAndDesc"/>
      </mc:Fallback>
    </mc:AlternateContent>
  </control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87B226-B092-4276-89A7-F2530A5EE9E1}">
  <sheetPr codeName="Sheet21">
    <tabColor theme="0" tint="-0.34998626667073579"/>
  </sheetPr>
  <dimension ref="A1:Y104"/>
  <sheetViews>
    <sheetView workbookViewId="0">
      <selection activeCell="Q32" sqref="Q32"/>
    </sheetView>
  </sheetViews>
  <sheetFormatPr defaultColWidth="8.85546875" defaultRowHeight="15" x14ac:dyDescent="0.25"/>
  <cols>
    <col min="1" max="1" width="17.42578125" style="123" customWidth="1"/>
    <col min="2" max="4" width="8.85546875" style="123"/>
    <col min="5" max="5" width="10.140625" style="123" bestFit="1" customWidth="1"/>
    <col min="6" max="6" width="11.42578125" style="123" customWidth="1"/>
    <col min="7" max="9" width="9.5703125" style="123" customWidth="1"/>
    <col min="10" max="11" width="9.5703125" style="123" bestFit="1" customWidth="1"/>
    <col min="12" max="12" width="9.28515625" style="123" bestFit="1" customWidth="1"/>
    <col min="13" max="15" width="8.85546875" style="123"/>
    <col min="16" max="16" width="11" style="123" bestFit="1" customWidth="1"/>
    <col min="17" max="17" width="15.7109375" style="123" customWidth="1"/>
    <col min="18" max="18" width="49.7109375" style="282" customWidth="1"/>
    <col min="19" max="16384" width="8.85546875" style="123"/>
  </cols>
  <sheetData>
    <row r="1" spans="1:18" x14ac:dyDescent="0.25">
      <c r="G1" s="122">
        <v>2012</v>
      </c>
      <c r="H1" s="122">
        <v>2013</v>
      </c>
      <c r="I1" s="122">
        <v>2014</v>
      </c>
      <c r="J1" s="122">
        <v>2015</v>
      </c>
      <c r="K1" s="122">
        <v>2016</v>
      </c>
      <c r="L1" s="122">
        <v>2017</v>
      </c>
      <c r="O1" s="122">
        <v>2030</v>
      </c>
      <c r="R1" s="281" t="s">
        <v>548</v>
      </c>
    </row>
    <row r="2" spans="1:18" x14ac:dyDescent="0.25">
      <c r="A2" s="122" t="s">
        <v>312</v>
      </c>
      <c r="C2" s="122"/>
      <c r="D2" s="122"/>
    </row>
    <row r="3" spans="1:18" x14ac:dyDescent="0.25">
      <c r="B3" s="242" t="s">
        <v>447</v>
      </c>
      <c r="E3" s="189"/>
    </row>
    <row r="4" spans="1:18" x14ac:dyDescent="0.25">
      <c r="D4" s="240" t="s">
        <v>446</v>
      </c>
      <c r="E4" s="189"/>
      <c r="F4" s="278" t="s">
        <v>555</v>
      </c>
      <c r="G4" s="123">
        <f>'Minerals council report 2017'!D24</f>
        <v>254</v>
      </c>
      <c r="H4" s="123">
        <f>'Minerals council report 2017'!E24</f>
        <v>264</v>
      </c>
      <c r="I4" s="123">
        <f>'Minerals council report 2017'!F24</f>
        <v>188</v>
      </c>
      <c r="J4" s="123">
        <f>'Minerals council report 2017'!G24</f>
        <v>276</v>
      </c>
      <c r="K4" s="123">
        <f>'Minerals council report 2017'!H24</f>
        <v>264</v>
      </c>
      <c r="L4" s="275">
        <f>'Minerals council report 2017'!I24</f>
        <v>260</v>
      </c>
      <c r="R4" s="279" t="s">
        <v>554</v>
      </c>
    </row>
    <row r="5" spans="1:18" x14ac:dyDescent="0.25">
      <c r="E5" s="189"/>
    </row>
    <row r="6" spans="1:18" x14ac:dyDescent="0.25">
      <c r="B6" s="242" t="s">
        <v>314</v>
      </c>
      <c r="E6" s="189"/>
    </row>
    <row r="7" spans="1:18" x14ac:dyDescent="0.25">
      <c r="F7" s="240" t="s">
        <v>444</v>
      </c>
      <c r="G7" s="240"/>
      <c r="H7" s="240"/>
      <c r="I7" s="240"/>
    </row>
    <row r="8" spans="1:18" x14ac:dyDescent="0.25">
      <c r="D8" s="123" t="s">
        <v>313</v>
      </c>
      <c r="F8" s="241">
        <f>'Mudd 2009 paper'!W65</f>
        <v>0.60117922803668555</v>
      </c>
      <c r="G8" s="241"/>
      <c r="H8" s="241"/>
      <c r="I8" s="241"/>
    </row>
    <row r="9" spans="1:18" x14ac:dyDescent="0.25">
      <c r="D9" s="123" t="s">
        <v>179</v>
      </c>
      <c r="F9" s="241">
        <f>1-F8</f>
        <v>0.39882077196331445</v>
      </c>
      <c r="G9" s="241"/>
      <c r="H9" s="241"/>
      <c r="I9" s="241"/>
    </row>
    <row r="11" spans="1:18" x14ac:dyDescent="0.25">
      <c r="B11" s="240" t="s">
        <v>448</v>
      </c>
      <c r="C11" s="240"/>
      <c r="E11" s="189"/>
      <c r="F11" s="240"/>
      <c r="G11" s="240"/>
      <c r="H11" s="240"/>
      <c r="I11" s="240"/>
    </row>
    <row r="12" spans="1:18" x14ac:dyDescent="0.25">
      <c r="C12" s="240"/>
      <c r="D12" s="240" t="s">
        <v>313</v>
      </c>
      <c r="E12" s="189"/>
      <c r="F12" s="240" t="s">
        <v>203</v>
      </c>
      <c r="G12" s="243">
        <f t="shared" ref="G12:I12" si="0">G$4*$F8</f>
        <v>152.69952392131813</v>
      </c>
      <c r="H12" s="243">
        <f t="shared" si="0"/>
        <v>158.71131620168498</v>
      </c>
      <c r="I12" s="243">
        <f t="shared" si="0"/>
        <v>113.02169487089688</v>
      </c>
      <c r="J12" s="243">
        <f t="shared" ref="J12:L13" si="1">J$4*$F8</f>
        <v>165.92546693812523</v>
      </c>
      <c r="K12" s="243">
        <f t="shared" si="1"/>
        <v>158.71131620168498</v>
      </c>
      <c r="L12" s="243">
        <f>L$4*$F8</f>
        <v>156.30659928953824</v>
      </c>
    </row>
    <row r="13" spans="1:18" x14ac:dyDescent="0.25">
      <c r="D13" s="240" t="s">
        <v>179</v>
      </c>
      <c r="F13" s="240" t="s">
        <v>203</v>
      </c>
      <c r="G13" s="243">
        <f t="shared" ref="G13:I13" si="2">G$4*$F9</f>
        <v>101.30047607868187</v>
      </c>
      <c r="H13" s="243">
        <f t="shared" si="2"/>
        <v>105.28868379831502</v>
      </c>
      <c r="I13" s="243">
        <f t="shared" si="2"/>
        <v>74.97830512910312</v>
      </c>
      <c r="J13" s="243">
        <f t="shared" si="1"/>
        <v>110.07453306187479</v>
      </c>
      <c r="K13" s="243">
        <f t="shared" si="1"/>
        <v>105.28868379831502</v>
      </c>
      <c r="L13" s="243">
        <f t="shared" si="1"/>
        <v>103.69340071046176</v>
      </c>
    </row>
    <row r="14" spans="1:18" x14ac:dyDescent="0.25">
      <c r="D14" s="240"/>
      <c r="F14" s="240"/>
      <c r="G14" s="243"/>
      <c r="H14" s="243"/>
      <c r="I14" s="243"/>
      <c r="J14" s="243"/>
      <c r="K14" s="243"/>
      <c r="L14" s="243"/>
    </row>
    <row r="15" spans="1:18" x14ac:dyDescent="0.25">
      <c r="A15" s="122" t="s">
        <v>543</v>
      </c>
      <c r="D15" s="240"/>
      <c r="F15" s="240"/>
      <c r="G15" s="243"/>
      <c r="H15" s="243"/>
      <c r="I15" s="243"/>
      <c r="J15" s="243"/>
      <c r="K15" s="243"/>
      <c r="L15" s="243"/>
    </row>
    <row r="16" spans="1:18" x14ac:dyDescent="0.25">
      <c r="B16" s="242" t="s">
        <v>447</v>
      </c>
      <c r="F16" s="240"/>
      <c r="G16" s="243"/>
      <c r="H16" s="243"/>
      <c r="I16" s="243"/>
      <c r="J16" s="243"/>
      <c r="K16" s="243"/>
      <c r="L16" s="243"/>
    </row>
    <row r="17" spans="1:25" x14ac:dyDescent="0.25">
      <c r="D17" s="278" t="s">
        <v>544</v>
      </c>
      <c r="F17" s="278" t="s">
        <v>203</v>
      </c>
      <c r="G17" s="243">
        <f>H17</f>
        <v>28</v>
      </c>
      <c r="H17" s="243">
        <f>'Minerals council report 2017'!E26</f>
        <v>28</v>
      </c>
      <c r="I17" s="243">
        <f>'Minerals council report 2017'!F26</f>
        <v>29</v>
      </c>
      <c r="J17" s="243">
        <f>'Minerals council report 2017'!G26</f>
        <v>32</v>
      </c>
      <c r="K17" s="243">
        <f>'Minerals council report 2017'!H26</f>
        <v>31</v>
      </c>
      <c r="L17" s="243">
        <f>'Minerals council report 2017'!I26</f>
        <v>31</v>
      </c>
    </row>
    <row r="18" spans="1:25" x14ac:dyDescent="0.25">
      <c r="D18" s="278" t="s">
        <v>545</v>
      </c>
      <c r="F18" s="278" t="s">
        <v>203</v>
      </c>
      <c r="H18" s="243">
        <f>'Minerals council report 2017'!E27</f>
        <v>239</v>
      </c>
      <c r="I18" s="243">
        <f>'Minerals council report 2017'!F27</f>
        <v>202</v>
      </c>
      <c r="J18" s="243">
        <f>'Minerals council report 2017'!G27</f>
        <v>254</v>
      </c>
      <c r="K18" s="243">
        <f>'Minerals council report 2017'!H27</f>
        <v>250</v>
      </c>
      <c r="L18" s="243">
        <f>'Minerals council report 2017'!I27</f>
        <v>251</v>
      </c>
    </row>
    <row r="19" spans="1:25" ht="30" x14ac:dyDescent="0.25">
      <c r="D19" s="278" t="s">
        <v>552</v>
      </c>
      <c r="F19" s="278" t="s">
        <v>203</v>
      </c>
      <c r="H19" s="243">
        <f>SUM(H17:H18)</f>
        <v>267</v>
      </c>
      <c r="I19" s="243">
        <f>SUM(I17:I18)</f>
        <v>231</v>
      </c>
      <c r="J19" s="243">
        <f>SUM(J17:J18)</f>
        <v>286</v>
      </c>
      <c r="K19" s="243">
        <f>SUM(K17:K18)</f>
        <v>281</v>
      </c>
      <c r="L19" s="243">
        <f>SUM(L17:L18)</f>
        <v>282</v>
      </c>
      <c r="R19" s="279" t="s">
        <v>553</v>
      </c>
    </row>
    <row r="20" spans="1:25" x14ac:dyDescent="0.25">
      <c r="D20" s="278"/>
      <c r="F20" s="278"/>
      <c r="H20" s="243"/>
      <c r="I20" s="243"/>
      <c r="J20" s="243"/>
      <c r="K20" s="243"/>
      <c r="L20" s="243"/>
      <c r="R20" s="279"/>
    </row>
    <row r="21" spans="1:25" x14ac:dyDescent="0.25">
      <c r="B21" s="278" t="s">
        <v>546</v>
      </c>
      <c r="D21" s="278"/>
      <c r="F21" s="278"/>
      <c r="H21" s="243"/>
      <c r="I21" s="243"/>
      <c r="J21" s="243"/>
      <c r="K21" s="243"/>
      <c r="L21" s="243"/>
    </row>
    <row r="22" spans="1:25" x14ac:dyDescent="0.25">
      <c r="D22" s="278" t="s">
        <v>547</v>
      </c>
      <c r="F22" s="278" t="s">
        <v>203</v>
      </c>
      <c r="G22" s="243">
        <f t="shared" ref="G22" si="3">G17</f>
        <v>28</v>
      </c>
      <c r="H22" s="243">
        <f t="shared" ref="H22:K22" si="4">H17</f>
        <v>28</v>
      </c>
      <c r="I22" s="243">
        <f t="shared" si="4"/>
        <v>29</v>
      </c>
      <c r="J22" s="243">
        <f t="shared" si="4"/>
        <v>32</v>
      </c>
      <c r="K22" s="243">
        <f t="shared" si="4"/>
        <v>31</v>
      </c>
      <c r="L22" s="243">
        <f t="shared" ref="L22" si="5">L17</f>
        <v>31</v>
      </c>
      <c r="R22" s="279"/>
    </row>
    <row r="23" spans="1:25" ht="30" x14ac:dyDescent="0.25">
      <c r="D23" s="278" t="s">
        <v>567</v>
      </c>
      <c r="F23" s="278" t="s">
        <v>203</v>
      </c>
      <c r="G23" s="243">
        <f t="shared" ref="G23:K23" si="6">G12-G22</f>
        <v>124.69952392131813</v>
      </c>
      <c r="H23" s="243">
        <f t="shared" si="6"/>
        <v>130.71131620168498</v>
      </c>
      <c r="I23" s="243">
        <f t="shared" si="6"/>
        <v>84.02169487089688</v>
      </c>
      <c r="J23" s="243">
        <f t="shared" si="6"/>
        <v>133.92546693812523</v>
      </c>
      <c r="K23" s="243">
        <f t="shared" si="6"/>
        <v>127.71131620168498</v>
      </c>
      <c r="L23" s="243">
        <f>L12-L22</f>
        <v>125.30659928953824</v>
      </c>
      <c r="R23" s="279" t="s">
        <v>569</v>
      </c>
    </row>
    <row r="24" spans="1:25" x14ac:dyDescent="0.25">
      <c r="D24" s="278" t="s">
        <v>568</v>
      </c>
      <c r="F24" s="278" t="s">
        <v>203</v>
      </c>
      <c r="G24" s="243">
        <f t="shared" ref="G24" si="7">G13</f>
        <v>101.30047607868187</v>
      </c>
      <c r="H24" s="243">
        <f t="shared" ref="H24:K24" si="8">H13</f>
        <v>105.28868379831502</v>
      </c>
      <c r="I24" s="243">
        <f t="shared" si="8"/>
        <v>74.97830512910312</v>
      </c>
      <c r="J24" s="243">
        <f t="shared" si="8"/>
        <v>110.07453306187479</v>
      </c>
      <c r="K24" s="243">
        <f t="shared" si="8"/>
        <v>105.28868379831502</v>
      </c>
      <c r="L24" s="243">
        <f>L13</f>
        <v>103.69340071046176</v>
      </c>
    </row>
    <row r="25" spans="1:25" x14ac:dyDescent="0.25">
      <c r="A25" s="122" t="s">
        <v>450</v>
      </c>
    </row>
    <row r="26" spans="1:25" x14ac:dyDescent="0.25">
      <c r="B26" s="242" t="s">
        <v>452</v>
      </c>
    </row>
    <row r="29" spans="1:25" x14ac:dyDescent="0.25">
      <c r="C29" s="240" t="s">
        <v>223</v>
      </c>
      <c r="D29" s="240" t="s">
        <v>172</v>
      </c>
      <c r="F29" s="283" t="s">
        <v>116</v>
      </c>
      <c r="G29" s="244">
        <f t="shared" ref="G29:L32" si="9">INDEX($V$32:$Y$35,MATCH($C29,$T$32:$T$35,0),MATCH($D29,$V$31:$Y$31,0))*G$4</f>
        <v>1.0181328244274812</v>
      </c>
      <c r="H29" s="244">
        <f t="shared" si="9"/>
        <v>1.0582167938931299</v>
      </c>
      <c r="I29" s="244">
        <f t="shared" si="9"/>
        <v>0.75357862595419867</v>
      </c>
      <c r="J29" s="244">
        <f t="shared" si="9"/>
        <v>1.1063175572519086</v>
      </c>
      <c r="K29" s="244">
        <f t="shared" si="9"/>
        <v>1.0582167938931299</v>
      </c>
      <c r="L29" s="244">
        <f t="shared" si="9"/>
        <v>1.0421832061068705</v>
      </c>
      <c r="O29" s="203">
        <f>L29*(1-Q29)</f>
        <v>0.99007404580152691</v>
      </c>
      <c r="Q29" s="123">
        <f>Index!N16</f>
        <v>0.05</v>
      </c>
      <c r="R29" s="294" t="s">
        <v>574</v>
      </c>
      <c r="S29" s="124" t="s">
        <v>323</v>
      </c>
      <c r="T29" s="125"/>
      <c r="U29" s="125"/>
      <c r="V29" s="246"/>
      <c r="W29" s="246"/>
      <c r="X29" s="246"/>
      <c r="Y29" s="247"/>
    </row>
    <row r="30" spans="1:25" x14ac:dyDescent="0.25">
      <c r="C30" s="240" t="s">
        <v>223</v>
      </c>
      <c r="D30" s="240" t="s">
        <v>174</v>
      </c>
      <c r="F30" s="283" t="s">
        <v>116</v>
      </c>
      <c r="G30" s="244">
        <f t="shared" si="9"/>
        <v>5.719847328244277E-2</v>
      </c>
      <c r="H30" s="244">
        <f t="shared" si="9"/>
        <v>5.945038167938934E-2</v>
      </c>
      <c r="I30" s="244">
        <f t="shared" si="9"/>
        <v>4.233587786259544E-2</v>
      </c>
      <c r="J30" s="244">
        <f t="shared" si="9"/>
        <v>6.2152671755725218E-2</v>
      </c>
      <c r="K30" s="244">
        <f t="shared" si="9"/>
        <v>5.945038167938934E-2</v>
      </c>
      <c r="L30" s="244">
        <f t="shared" si="9"/>
        <v>5.8549618320610709E-2</v>
      </c>
      <c r="O30" s="296">
        <f>L30</f>
        <v>5.8549618320610709E-2</v>
      </c>
      <c r="S30" s="248" t="s">
        <v>449</v>
      </c>
      <c r="Y30" s="130"/>
    </row>
    <row r="31" spans="1:25" x14ac:dyDescent="0.25">
      <c r="C31" s="240" t="s">
        <v>223</v>
      </c>
      <c r="D31" s="240" t="s">
        <v>137</v>
      </c>
      <c r="F31" s="283" t="s">
        <v>116</v>
      </c>
      <c r="G31" s="244">
        <f t="shared" si="9"/>
        <v>1.9218687022900769</v>
      </c>
      <c r="H31" s="244">
        <f t="shared" si="9"/>
        <v>1.9975328244274815</v>
      </c>
      <c r="I31" s="244">
        <f t="shared" si="9"/>
        <v>1.4224854961832065</v>
      </c>
      <c r="J31" s="244">
        <f t="shared" si="9"/>
        <v>2.0883297709923672</v>
      </c>
      <c r="K31" s="244">
        <f t="shared" si="9"/>
        <v>1.9975328244274815</v>
      </c>
      <c r="L31" s="244">
        <f t="shared" si="9"/>
        <v>1.9672671755725195</v>
      </c>
      <c r="O31" s="296">
        <f>L31</f>
        <v>1.9672671755725195</v>
      </c>
      <c r="S31" s="146"/>
      <c r="T31" s="122" t="s">
        <v>324</v>
      </c>
      <c r="V31" s="122" t="s">
        <v>172</v>
      </c>
      <c r="W31" s="122" t="s">
        <v>174</v>
      </c>
      <c r="X31" s="122" t="s">
        <v>137</v>
      </c>
      <c r="Y31" s="249" t="s">
        <v>173</v>
      </c>
    </row>
    <row r="32" spans="1:25" x14ac:dyDescent="0.25">
      <c r="C32" s="240" t="s">
        <v>223</v>
      </c>
      <c r="D32" s="240" t="s">
        <v>173</v>
      </c>
      <c r="F32" s="283" t="s">
        <v>116</v>
      </c>
      <c r="G32" s="244">
        <f t="shared" si="9"/>
        <v>0</v>
      </c>
      <c r="H32" s="244">
        <f t="shared" si="9"/>
        <v>0</v>
      </c>
      <c r="I32" s="244">
        <f t="shared" si="9"/>
        <v>0</v>
      </c>
      <c r="J32" s="244">
        <f t="shared" si="9"/>
        <v>0</v>
      </c>
      <c r="K32" s="244">
        <f t="shared" si="9"/>
        <v>0</v>
      </c>
      <c r="L32" s="244">
        <f t="shared" si="9"/>
        <v>0</v>
      </c>
      <c r="S32" s="146"/>
      <c r="T32" s="123" t="s">
        <v>223</v>
      </c>
      <c r="V32" s="198">
        <f>'Students worksheet'!R14/'Students worksheet'!$O$3</f>
        <v>4.0083969465648864E-3</v>
      </c>
      <c r="W32" s="198">
        <f>'Students worksheet'!U14/'Students worksheet'!$O$3</f>
        <v>2.2519083969465658E-4</v>
      </c>
      <c r="X32" s="198">
        <f>'Students worksheet'!S14/'Students worksheet'!$O$3</f>
        <v>7.56641221374046E-3</v>
      </c>
      <c r="Y32" s="250">
        <f>'Students worksheet'!T14/'Students worksheet'!$O$3</f>
        <v>0</v>
      </c>
    </row>
    <row r="33" spans="3:25" x14ac:dyDescent="0.25">
      <c r="F33" s="244"/>
      <c r="G33" s="244"/>
      <c r="H33" s="244"/>
      <c r="I33" s="244"/>
      <c r="J33" s="244"/>
      <c r="K33" s="244"/>
      <c r="L33" s="244"/>
      <c r="S33" s="146"/>
      <c r="T33" s="123" t="s">
        <v>222</v>
      </c>
      <c r="V33" s="198">
        <f>'Students worksheet'!R13/'Students worksheet'!$O$3</f>
        <v>2.154567164179105E-2</v>
      </c>
      <c r="W33" s="198">
        <f>'Students worksheet'!U13/'Students worksheet'!$O$3</f>
        <v>9.0149253731343303E-5</v>
      </c>
      <c r="X33" s="198">
        <f>'Students worksheet'!S13/'Students worksheet'!$O$3</f>
        <v>7.6176119402985073E-3</v>
      </c>
      <c r="Y33" s="250">
        <f>'Students worksheet'!T13/'Students worksheet'!$O$3</f>
        <v>9.465671641791046E-4</v>
      </c>
    </row>
    <row r="34" spans="3:25" x14ac:dyDescent="0.25">
      <c r="C34" s="240" t="s">
        <v>222</v>
      </c>
      <c r="D34" s="240" t="s">
        <v>172</v>
      </c>
      <c r="F34" s="283" t="s">
        <v>116</v>
      </c>
      <c r="G34" s="244">
        <f t="shared" ref="G34:L37" si="10">INDEX($V$32:$Y$35,MATCH($C34,$T$32:$T$35,0),MATCH($D34,$V$31:$Y$31,0))*G$4</f>
        <v>5.4726005970149263</v>
      </c>
      <c r="H34" s="244">
        <f t="shared" si="10"/>
        <v>5.6880573134328367</v>
      </c>
      <c r="I34" s="244">
        <f t="shared" si="10"/>
        <v>4.0505862686567173</v>
      </c>
      <c r="J34" s="244">
        <f t="shared" si="10"/>
        <v>5.9466053731343296</v>
      </c>
      <c r="K34" s="244">
        <f t="shared" si="10"/>
        <v>5.6880573134328367</v>
      </c>
      <c r="L34" s="244">
        <f t="shared" si="10"/>
        <v>5.6018746268656727</v>
      </c>
      <c r="O34" s="203">
        <f>L34*(1-Q34)</f>
        <v>5.3217808955223891</v>
      </c>
      <c r="Q34" s="123">
        <f>Q29</f>
        <v>0.05</v>
      </c>
      <c r="R34" s="294" t="s">
        <v>574</v>
      </c>
      <c r="S34" s="146"/>
      <c r="T34" s="123" t="s">
        <v>318</v>
      </c>
      <c r="V34" s="198">
        <f>'Students worksheet'!R12/'Students worksheet'!$O$3</f>
        <v>4.2678086751677162E-2</v>
      </c>
      <c r="W34" s="198">
        <f>'Students worksheet'!U12/'Students worksheet'!$O$3</f>
        <v>0</v>
      </c>
      <c r="X34" s="198">
        <f>'Students worksheet'!S12/'Students worksheet'!$O$3</f>
        <v>0</v>
      </c>
      <c r="Y34" s="250">
        <f>'Students worksheet'!T12/'Students worksheet'!$O$3</f>
        <v>7.5536436728632143E-5</v>
      </c>
    </row>
    <row r="35" spans="3:25" x14ac:dyDescent="0.25">
      <c r="C35" s="240" t="s">
        <v>222</v>
      </c>
      <c r="D35" s="240" t="s">
        <v>174</v>
      </c>
      <c r="F35" s="283" t="s">
        <v>116</v>
      </c>
      <c r="G35" s="244">
        <f t="shared" si="10"/>
        <v>2.28979104477612E-2</v>
      </c>
      <c r="H35" s="244">
        <f t="shared" si="10"/>
        <v>2.379940298507463E-2</v>
      </c>
      <c r="I35" s="244">
        <f t="shared" si="10"/>
        <v>1.6948059701492543E-2</v>
      </c>
      <c r="J35" s="244">
        <f t="shared" si="10"/>
        <v>2.4881194029850753E-2</v>
      </c>
      <c r="K35" s="244">
        <f t="shared" si="10"/>
        <v>2.379940298507463E-2</v>
      </c>
      <c r="L35" s="244">
        <f t="shared" si="10"/>
        <v>2.343880597014926E-2</v>
      </c>
      <c r="O35" s="296">
        <f t="shared" ref="O35:O37" si="11">L35</f>
        <v>2.343880597014926E-2</v>
      </c>
      <c r="S35" s="146"/>
      <c r="T35" s="123" t="s">
        <v>220</v>
      </c>
      <c r="V35" s="198">
        <f>'Students worksheet'!R11/'Students worksheet'!$O$3</f>
        <v>8.2912844036697256E-2</v>
      </c>
      <c r="W35" s="198">
        <f>'Students worksheet'!U11/'Students worksheet'!$O$3</f>
        <v>1.708715596330275E-2</v>
      </c>
      <c r="X35" s="198"/>
      <c r="Y35" s="250"/>
    </row>
    <row r="36" spans="3:25" x14ac:dyDescent="0.25">
      <c r="C36" s="240" t="s">
        <v>222</v>
      </c>
      <c r="D36" s="240" t="s">
        <v>137</v>
      </c>
      <c r="F36" s="283" t="s">
        <v>116</v>
      </c>
      <c r="G36" s="244">
        <f t="shared" si="10"/>
        <v>1.9348734328358208</v>
      </c>
      <c r="H36" s="244">
        <f t="shared" si="10"/>
        <v>2.0110495522388061</v>
      </c>
      <c r="I36" s="244">
        <f t="shared" si="10"/>
        <v>1.4321110447761194</v>
      </c>
      <c r="J36" s="244">
        <f t="shared" si="10"/>
        <v>2.102460895522388</v>
      </c>
      <c r="K36" s="244">
        <f t="shared" si="10"/>
        <v>2.0110495522388061</v>
      </c>
      <c r="L36" s="244">
        <f t="shared" si="10"/>
        <v>1.980579104477612</v>
      </c>
      <c r="O36" s="296">
        <f t="shared" si="11"/>
        <v>1.980579104477612</v>
      </c>
      <c r="S36" s="148"/>
      <c r="T36" s="149"/>
      <c r="U36" s="149"/>
      <c r="V36" s="149"/>
      <c r="W36" s="149"/>
      <c r="X36" s="149"/>
      <c r="Y36" s="150"/>
    </row>
    <row r="37" spans="3:25" x14ac:dyDescent="0.25">
      <c r="C37" s="240" t="s">
        <v>222</v>
      </c>
      <c r="D37" s="240" t="s">
        <v>173</v>
      </c>
      <c r="F37" s="283" t="s">
        <v>116</v>
      </c>
      <c r="G37" s="244">
        <f t="shared" si="10"/>
        <v>0.24042805970149256</v>
      </c>
      <c r="H37" s="244">
        <f t="shared" si="10"/>
        <v>0.2498937313432836</v>
      </c>
      <c r="I37" s="244">
        <f t="shared" si="10"/>
        <v>0.17795462686567168</v>
      </c>
      <c r="J37" s="244">
        <f t="shared" si="10"/>
        <v>0.2612525373134329</v>
      </c>
      <c r="K37" s="244">
        <f t="shared" si="10"/>
        <v>0.2498937313432836</v>
      </c>
      <c r="L37" s="244">
        <f t="shared" si="10"/>
        <v>0.24610746268656719</v>
      </c>
      <c r="O37" s="296">
        <f t="shared" si="11"/>
        <v>0.24610746268656719</v>
      </c>
    </row>
    <row r="38" spans="3:25" x14ac:dyDescent="0.25">
      <c r="F38" s="244"/>
      <c r="G38" s="244"/>
      <c r="H38" s="244"/>
      <c r="I38" s="244"/>
      <c r="J38" s="244"/>
      <c r="K38" s="244"/>
      <c r="L38" s="244"/>
    </row>
    <row r="39" spans="3:25" x14ac:dyDescent="0.25">
      <c r="C39" s="240" t="s">
        <v>318</v>
      </c>
      <c r="D39" s="240" t="s">
        <v>172</v>
      </c>
      <c r="F39" s="283" t="s">
        <v>116</v>
      </c>
      <c r="G39" s="244">
        <f t="shared" ref="G39:L42" si="12">INDEX($V$32:$Y$35,MATCH($C39,$T$32:$T$35,0),MATCH($D39,$V$31:$Y$31,0))*G$4</f>
        <v>10.840234034925999</v>
      </c>
      <c r="H39" s="244">
        <f t="shared" si="12"/>
        <v>11.267014902442771</v>
      </c>
      <c r="I39" s="244">
        <f t="shared" si="12"/>
        <v>8.0234803093153069</v>
      </c>
      <c r="J39" s="244">
        <f t="shared" si="12"/>
        <v>11.779151943462896</v>
      </c>
      <c r="K39" s="244">
        <f t="shared" si="12"/>
        <v>11.267014902442771</v>
      </c>
      <c r="L39" s="244">
        <f t="shared" si="12"/>
        <v>11.096302555436061</v>
      </c>
      <c r="O39" s="203">
        <f>L39*(1-Q39)</f>
        <v>10.541487427664258</v>
      </c>
      <c r="Q39" s="123">
        <f>Q34</f>
        <v>0.05</v>
      </c>
      <c r="R39" s="294" t="s">
        <v>574</v>
      </c>
    </row>
    <row r="40" spans="3:25" x14ac:dyDescent="0.25">
      <c r="C40" s="240" t="s">
        <v>318</v>
      </c>
      <c r="D40" s="240" t="s">
        <v>174</v>
      </c>
      <c r="F40" s="283" t="s">
        <v>116</v>
      </c>
      <c r="G40" s="244">
        <f t="shared" si="12"/>
        <v>0</v>
      </c>
      <c r="H40" s="244">
        <f t="shared" si="12"/>
        <v>0</v>
      </c>
      <c r="I40" s="244">
        <f t="shared" si="12"/>
        <v>0</v>
      </c>
      <c r="J40" s="244">
        <f t="shared" si="12"/>
        <v>0</v>
      </c>
      <c r="K40" s="244">
        <f t="shared" si="12"/>
        <v>0</v>
      </c>
      <c r="L40" s="244">
        <f t="shared" si="12"/>
        <v>0</v>
      </c>
      <c r="O40" s="296">
        <f t="shared" ref="O40:O42" si="13">L40</f>
        <v>0</v>
      </c>
    </row>
    <row r="41" spans="3:25" x14ac:dyDescent="0.25">
      <c r="C41" s="240" t="s">
        <v>318</v>
      </c>
      <c r="D41" s="240" t="s">
        <v>137</v>
      </c>
      <c r="F41" s="283" t="s">
        <v>116</v>
      </c>
      <c r="G41" s="244">
        <f t="shared" si="12"/>
        <v>0</v>
      </c>
      <c r="H41" s="244">
        <f t="shared" si="12"/>
        <v>0</v>
      </c>
      <c r="I41" s="244">
        <f t="shared" si="12"/>
        <v>0</v>
      </c>
      <c r="J41" s="244">
        <f t="shared" si="12"/>
        <v>0</v>
      </c>
      <c r="K41" s="244">
        <f t="shared" si="12"/>
        <v>0</v>
      </c>
      <c r="L41" s="244">
        <f t="shared" si="12"/>
        <v>0</v>
      </c>
      <c r="O41" s="296">
        <f t="shared" si="13"/>
        <v>0</v>
      </c>
    </row>
    <row r="42" spans="3:25" x14ac:dyDescent="0.25">
      <c r="C42" s="240" t="s">
        <v>318</v>
      </c>
      <c r="D42" s="240" t="s">
        <v>173</v>
      </c>
      <c r="F42" s="283" t="s">
        <v>116</v>
      </c>
      <c r="G42" s="244">
        <f t="shared" si="12"/>
        <v>1.9186254929072565E-2</v>
      </c>
      <c r="H42" s="244">
        <f t="shared" si="12"/>
        <v>1.9941619296358886E-2</v>
      </c>
      <c r="I42" s="244">
        <f t="shared" si="12"/>
        <v>1.4200850104982843E-2</v>
      </c>
      <c r="J42" s="244">
        <f t="shared" si="12"/>
        <v>2.084805653710247E-2</v>
      </c>
      <c r="K42" s="244">
        <f t="shared" si="12"/>
        <v>1.9941619296358886E-2</v>
      </c>
      <c r="L42" s="244">
        <f t="shared" si="12"/>
        <v>1.9639473549444356E-2</v>
      </c>
      <c r="O42" s="296">
        <f t="shared" si="13"/>
        <v>1.9639473549444356E-2</v>
      </c>
    </row>
    <row r="43" spans="3:25" x14ac:dyDescent="0.25">
      <c r="F43" s="244"/>
      <c r="G43" s="244"/>
      <c r="H43" s="244"/>
      <c r="I43" s="244"/>
      <c r="J43" s="244"/>
      <c r="K43" s="244"/>
      <c r="L43" s="244"/>
    </row>
    <row r="44" spans="3:25" x14ac:dyDescent="0.25">
      <c r="C44" s="240" t="s">
        <v>220</v>
      </c>
      <c r="D44" s="240" t="s">
        <v>172</v>
      </c>
      <c r="F44" s="283" t="s">
        <v>116</v>
      </c>
      <c r="G44" s="244">
        <f t="shared" ref="G44:L47" si="14">INDEX($V$32:$Y$35,MATCH($C44,$T$32:$T$35,0),MATCH($D44,$V$31:$Y$31,0))*G$4</f>
        <v>21.059862385321104</v>
      </c>
      <c r="H44" s="244">
        <f t="shared" si="14"/>
        <v>21.888990825688076</v>
      </c>
      <c r="I44" s="244">
        <f t="shared" si="14"/>
        <v>15.587614678899085</v>
      </c>
      <c r="J44" s="244">
        <f t="shared" si="14"/>
        <v>22.883944954128442</v>
      </c>
      <c r="K44" s="244">
        <f t="shared" si="14"/>
        <v>21.888990825688076</v>
      </c>
      <c r="L44" s="244">
        <f t="shared" si="14"/>
        <v>21.557339449541285</v>
      </c>
      <c r="O44" s="203">
        <f>L44*(1-Q44)</f>
        <v>20.695045871559632</v>
      </c>
      <c r="Q44" s="123">
        <f>Index!Q16</f>
        <v>0.04</v>
      </c>
      <c r="R44" s="294" t="s">
        <v>574</v>
      </c>
    </row>
    <row r="45" spans="3:25" x14ac:dyDescent="0.25">
      <c r="C45" s="240" t="s">
        <v>220</v>
      </c>
      <c r="D45" s="240" t="s">
        <v>174</v>
      </c>
      <c r="F45" s="283" t="s">
        <v>116</v>
      </c>
      <c r="G45" s="244">
        <f t="shared" si="14"/>
        <v>4.3401376146788984</v>
      </c>
      <c r="H45" s="244">
        <f t="shared" si="14"/>
        <v>4.5110091743119263</v>
      </c>
      <c r="I45" s="244">
        <f t="shared" si="14"/>
        <v>3.2123853211009168</v>
      </c>
      <c r="J45" s="244">
        <f t="shared" si="14"/>
        <v>4.7160550458715589</v>
      </c>
      <c r="K45" s="244">
        <f t="shared" si="14"/>
        <v>4.5110091743119263</v>
      </c>
      <c r="L45" s="244">
        <f t="shared" si="14"/>
        <v>4.4426605504587151</v>
      </c>
      <c r="O45" s="296">
        <f>L45</f>
        <v>4.4426605504587151</v>
      </c>
    </row>
    <row r="46" spans="3:25" x14ac:dyDescent="0.25">
      <c r="C46" s="240" t="s">
        <v>220</v>
      </c>
      <c r="D46" s="240" t="s">
        <v>137</v>
      </c>
      <c r="F46" s="283" t="s">
        <v>116</v>
      </c>
      <c r="G46" s="244">
        <f t="shared" si="14"/>
        <v>0</v>
      </c>
      <c r="H46" s="244">
        <f t="shared" si="14"/>
        <v>0</v>
      </c>
      <c r="I46" s="244">
        <f t="shared" si="14"/>
        <v>0</v>
      </c>
      <c r="J46" s="244">
        <f t="shared" si="14"/>
        <v>0</v>
      </c>
      <c r="K46" s="244">
        <f t="shared" si="14"/>
        <v>0</v>
      </c>
      <c r="L46" s="244">
        <f t="shared" si="14"/>
        <v>0</v>
      </c>
    </row>
    <row r="47" spans="3:25" x14ac:dyDescent="0.25">
      <c r="C47" s="240" t="s">
        <v>220</v>
      </c>
      <c r="D47" s="240" t="s">
        <v>173</v>
      </c>
      <c r="F47" s="283" t="s">
        <v>116</v>
      </c>
      <c r="G47" s="244">
        <f t="shared" si="14"/>
        <v>0</v>
      </c>
      <c r="H47" s="244">
        <f t="shared" si="14"/>
        <v>0</v>
      </c>
      <c r="I47" s="244">
        <f t="shared" si="14"/>
        <v>0</v>
      </c>
      <c r="J47" s="244">
        <f t="shared" si="14"/>
        <v>0</v>
      </c>
      <c r="K47" s="244">
        <f t="shared" si="14"/>
        <v>0</v>
      </c>
      <c r="L47" s="244">
        <f t="shared" si="14"/>
        <v>0</v>
      </c>
    </row>
    <row r="50" spans="3:16" x14ac:dyDescent="0.25">
      <c r="C50" s="122" t="s">
        <v>216</v>
      </c>
      <c r="D50" s="122" t="s">
        <v>172</v>
      </c>
      <c r="E50" s="122"/>
      <c r="F50" s="283" t="s">
        <v>116</v>
      </c>
      <c r="G50" s="245">
        <f t="shared" ref="G50:H50" si="15">G29+G34+G39+G44</f>
        <v>38.390829841689509</v>
      </c>
      <c r="H50" s="245">
        <f t="shared" si="15"/>
        <v>39.90227983545681</v>
      </c>
      <c r="I50" s="197">
        <f t="shared" ref="I50" si="16">I44+I39+I34+I29</f>
        <v>28.415259882825303</v>
      </c>
      <c r="J50" s="245">
        <f>J29+J34+J39+J44</f>
        <v>41.716019827977576</v>
      </c>
      <c r="K50" s="245">
        <f t="shared" ref="K50" si="17">K29+K34+K39+K44</f>
        <v>39.90227983545681</v>
      </c>
      <c r="L50" s="197">
        <f>L44+L39+L34+L29</f>
        <v>39.297699837949885</v>
      </c>
      <c r="M50" s="203"/>
      <c r="N50" s="203"/>
      <c r="O50" s="197">
        <f>O44+O39+O34+O29</f>
        <v>37.548388240547808</v>
      </c>
    </row>
    <row r="51" spans="3:16" x14ac:dyDescent="0.25">
      <c r="C51" s="122"/>
      <c r="D51" s="122" t="s">
        <v>174</v>
      </c>
      <c r="E51" s="122"/>
      <c r="F51" s="283" t="s">
        <v>116</v>
      </c>
      <c r="G51" s="245">
        <f t="shared" ref="G51:I51" si="18">G30+G35+G40+G45</f>
        <v>4.4202339984091026</v>
      </c>
      <c r="H51" s="245">
        <f t="shared" si="18"/>
        <v>4.5942589589763898</v>
      </c>
      <c r="I51" s="197">
        <f t="shared" si="18"/>
        <v>3.2716692586650047</v>
      </c>
      <c r="J51" s="245">
        <f t="shared" ref="J51:K53" si="19">J30+J35+J40+J45</f>
        <v>4.8030889116571345</v>
      </c>
      <c r="K51" s="245">
        <f t="shared" si="19"/>
        <v>4.5942589589763898</v>
      </c>
      <c r="L51" s="197">
        <f>L30+L35+L40+L45</f>
        <v>4.5246489747494749</v>
      </c>
      <c r="O51" s="197">
        <f>O30+O35+O40+O45</f>
        <v>4.5246489747494749</v>
      </c>
    </row>
    <row r="52" spans="3:16" x14ac:dyDescent="0.25">
      <c r="C52" s="122"/>
      <c r="D52" s="122" t="s">
        <v>137</v>
      </c>
      <c r="E52" s="122"/>
      <c r="F52" s="283" t="s">
        <v>116</v>
      </c>
      <c r="G52" s="245">
        <f t="shared" ref="G52:H52" si="20">G31+G36+G41+G46</f>
        <v>3.8567421351258977</v>
      </c>
      <c r="H52" s="245">
        <f t="shared" si="20"/>
        <v>4.008582376666288</v>
      </c>
      <c r="I52" s="197">
        <f t="shared" ref="I52:I53" si="21">I46+I41+I36+I31</f>
        <v>2.8545965409593261</v>
      </c>
      <c r="J52" s="245">
        <f t="shared" si="19"/>
        <v>4.1907906665147552</v>
      </c>
      <c r="K52" s="245">
        <f t="shared" si="19"/>
        <v>4.008582376666288</v>
      </c>
      <c r="L52" s="197">
        <f>L46+L41+L36+L31</f>
        <v>3.9478462800501317</v>
      </c>
      <c r="O52" s="197">
        <f>O46+O41+O36+O31</f>
        <v>3.9478462800501317</v>
      </c>
    </row>
    <row r="53" spans="3:16" x14ac:dyDescent="0.25">
      <c r="C53" s="122"/>
      <c r="D53" s="122" t="s">
        <v>173</v>
      </c>
      <c r="E53" s="122"/>
      <c r="F53" s="283" t="s">
        <v>116</v>
      </c>
      <c r="G53" s="245">
        <f t="shared" ref="G53:H53" si="22">G32+G37+G42+G47</f>
        <v>0.25961431463056511</v>
      </c>
      <c r="H53" s="245">
        <f t="shared" si="22"/>
        <v>0.26983535063964248</v>
      </c>
      <c r="I53" s="197">
        <f t="shared" si="21"/>
        <v>0.19215547697065452</v>
      </c>
      <c r="J53" s="245">
        <f t="shared" si="19"/>
        <v>0.28210059385053537</v>
      </c>
      <c r="K53" s="245">
        <f t="shared" si="19"/>
        <v>0.26983535063964248</v>
      </c>
      <c r="L53" s="197">
        <f>L47+L42+L37+L32</f>
        <v>0.26574693623601153</v>
      </c>
      <c r="O53" s="197">
        <f>O47+O42+O37+O32</f>
        <v>0.26574693623601153</v>
      </c>
    </row>
    <row r="54" spans="3:16" x14ac:dyDescent="0.25">
      <c r="F54" s="122"/>
      <c r="G54" s="122"/>
      <c r="H54" s="122"/>
      <c r="I54" s="122"/>
      <c r="J54" s="122"/>
      <c r="K54" s="122"/>
      <c r="L54" s="122"/>
      <c r="O54" s="122"/>
    </row>
    <row r="55" spans="3:16" x14ac:dyDescent="0.25">
      <c r="D55" s="122" t="s">
        <v>216</v>
      </c>
      <c r="F55" s="283" t="s">
        <v>116</v>
      </c>
      <c r="G55" s="245">
        <f t="shared" ref="G55:I55" si="23">SUM(G50:G53)</f>
        <v>46.927420289855078</v>
      </c>
      <c r="H55" s="245">
        <f t="shared" si="23"/>
        <v>48.774956521739135</v>
      </c>
      <c r="I55" s="245">
        <f t="shared" si="23"/>
        <v>34.733681159420286</v>
      </c>
      <c r="J55" s="245">
        <f>SUM(J50:J53)</f>
        <v>50.992000000000004</v>
      </c>
      <c r="K55" s="245">
        <f t="shared" ref="K55:L55" si="24">SUM(K50:K53)</f>
        <v>48.774956521739135</v>
      </c>
      <c r="L55" s="245">
        <f t="shared" si="24"/>
        <v>48.035942028985502</v>
      </c>
      <c r="O55" s="245">
        <f t="shared" ref="O55" si="25">SUM(O50:O53)</f>
        <v>46.286630431583426</v>
      </c>
      <c r="P55" s="198"/>
    </row>
    <row r="58" spans="3:16" x14ac:dyDescent="0.25">
      <c r="J58" s="151" t="s">
        <v>315</v>
      </c>
      <c r="K58" s="125"/>
      <c r="L58" s="125"/>
      <c r="M58" s="125"/>
      <c r="N58" s="125"/>
      <c r="O58" s="125"/>
      <c r="P58" s="126"/>
    </row>
    <row r="59" spans="3:16" x14ac:dyDescent="0.25">
      <c r="J59" s="146"/>
      <c r="P59" s="130"/>
    </row>
    <row r="60" spans="3:16" x14ac:dyDescent="0.25">
      <c r="J60" s="146"/>
      <c r="K60" s="240" t="s">
        <v>451</v>
      </c>
      <c r="P60" s="130"/>
    </row>
    <row r="61" spans="3:16" x14ac:dyDescent="0.25">
      <c r="J61" s="146"/>
      <c r="L61" s="122" t="s">
        <v>116</v>
      </c>
      <c r="M61" s="240" t="s">
        <v>444</v>
      </c>
      <c r="O61" s="123" t="s">
        <v>316</v>
      </c>
      <c r="P61" s="130"/>
    </row>
    <row r="62" spans="3:16" x14ac:dyDescent="0.25">
      <c r="J62" s="146"/>
      <c r="K62" s="123" t="s">
        <v>223</v>
      </c>
      <c r="L62" s="196">
        <f>L29</f>
        <v>1.0421832061068705</v>
      </c>
      <c r="M62" s="147">
        <f>L62/$L$50</f>
        <v>2.6520208826584596E-2</v>
      </c>
      <c r="O62" s="123" t="s">
        <v>317</v>
      </c>
      <c r="P62" s="130"/>
    </row>
    <row r="63" spans="3:16" x14ac:dyDescent="0.25">
      <c r="J63" s="146"/>
      <c r="K63" s="123" t="s">
        <v>222</v>
      </c>
      <c r="L63" s="196">
        <f>L34</f>
        <v>5.6018746268656727</v>
      </c>
      <c r="M63" s="147">
        <f>L63/$L$50</f>
        <v>0.14254968229605969</v>
      </c>
      <c r="O63" s="123" t="s">
        <v>317</v>
      </c>
      <c r="P63" s="130"/>
    </row>
    <row r="64" spans="3:16" x14ac:dyDescent="0.25">
      <c r="J64" s="146"/>
      <c r="K64" s="123" t="s">
        <v>318</v>
      </c>
      <c r="L64" s="196">
        <f>L39</f>
        <v>11.096302555436061</v>
      </c>
      <c r="M64" s="147">
        <f>L64/$L$50</f>
        <v>0.28236519188637943</v>
      </c>
      <c r="O64" s="123" t="s">
        <v>256</v>
      </c>
      <c r="P64" s="130"/>
    </row>
    <row r="65" spans="10:16" x14ac:dyDescent="0.25">
      <c r="J65" s="146"/>
      <c r="K65" s="123" t="s">
        <v>220</v>
      </c>
      <c r="L65" s="196">
        <f>L44</f>
        <v>21.557339449541285</v>
      </c>
      <c r="M65" s="147">
        <f>L65/$L$50</f>
        <v>0.54856491699097643</v>
      </c>
      <c r="O65" s="123" t="s">
        <v>256</v>
      </c>
      <c r="P65" s="130"/>
    </row>
    <row r="66" spans="10:16" x14ac:dyDescent="0.25">
      <c r="J66" s="146"/>
      <c r="P66" s="130"/>
    </row>
    <row r="67" spans="10:16" x14ac:dyDescent="0.25">
      <c r="J67" s="146"/>
      <c r="P67" s="130"/>
    </row>
    <row r="68" spans="10:16" x14ac:dyDescent="0.25">
      <c r="J68" s="146"/>
      <c r="P68" s="130"/>
    </row>
    <row r="69" spans="10:16" x14ac:dyDescent="0.25">
      <c r="J69" s="146"/>
      <c r="K69" s="123" t="s">
        <v>137</v>
      </c>
      <c r="L69" s="123" t="s">
        <v>319</v>
      </c>
      <c r="M69" s="123" t="s">
        <v>320</v>
      </c>
      <c r="N69" s="123" t="s">
        <v>172</v>
      </c>
      <c r="O69" s="123" t="s">
        <v>173</v>
      </c>
      <c r="P69" s="130" t="s">
        <v>321</v>
      </c>
    </row>
    <row r="70" spans="10:16" x14ac:dyDescent="0.25">
      <c r="J70" s="146" t="s">
        <v>220</v>
      </c>
      <c r="M70" s="196">
        <f>L51</f>
        <v>4.5246489747494749</v>
      </c>
      <c r="N70" s="196">
        <f>SUM(L64:L65)</f>
        <v>32.653642004977343</v>
      </c>
      <c r="P70" s="130"/>
    </row>
    <row r="71" spans="10:16" x14ac:dyDescent="0.25">
      <c r="J71" s="146" t="s">
        <v>322</v>
      </c>
      <c r="P71" s="130"/>
    </row>
    <row r="72" spans="10:16" x14ac:dyDescent="0.25">
      <c r="J72" s="146" t="s">
        <v>325</v>
      </c>
      <c r="P72" s="130"/>
    </row>
    <row r="73" spans="10:16" x14ac:dyDescent="0.25">
      <c r="J73" s="146" t="s">
        <v>326</v>
      </c>
      <c r="P73" s="130"/>
    </row>
    <row r="74" spans="10:16" x14ac:dyDescent="0.25">
      <c r="J74" s="146" t="s">
        <v>327</v>
      </c>
      <c r="P74" s="130"/>
    </row>
    <row r="75" spans="10:16" x14ac:dyDescent="0.25">
      <c r="J75" s="146" t="s">
        <v>328</v>
      </c>
      <c r="N75" s="196">
        <f>SUM(L62:L63)</f>
        <v>6.6440578329725435</v>
      </c>
      <c r="P75" s="130"/>
    </row>
    <row r="76" spans="10:16" x14ac:dyDescent="0.25">
      <c r="J76" s="146" t="s">
        <v>329</v>
      </c>
      <c r="P76" s="130"/>
    </row>
    <row r="77" spans="10:16" x14ac:dyDescent="0.25">
      <c r="J77" s="146" t="s">
        <v>330</v>
      </c>
      <c r="P77" s="130"/>
    </row>
    <row r="78" spans="10:16" x14ac:dyDescent="0.25">
      <c r="J78" s="146" t="s">
        <v>331</v>
      </c>
      <c r="P78" s="130"/>
    </row>
    <row r="79" spans="10:16" x14ac:dyDescent="0.25">
      <c r="J79" s="148" t="s">
        <v>266</v>
      </c>
      <c r="K79" s="149"/>
      <c r="L79" s="149"/>
      <c r="M79" s="149"/>
      <c r="N79" s="149"/>
      <c r="O79" s="149"/>
      <c r="P79" s="150"/>
    </row>
    <row r="81" spans="1:17" x14ac:dyDescent="0.25">
      <c r="A81" s="122" t="s">
        <v>332</v>
      </c>
    </row>
    <row r="82" spans="1:17" x14ac:dyDescent="0.25">
      <c r="B82" s="242" t="s">
        <v>530</v>
      </c>
    </row>
    <row r="84" spans="1:17" x14ac:dyDescent="0.25">
      <c r="C84" s="122" t="s">
        <v>529</v>
      </c>
      <c r="E84" s="122"/>
      <c r="F84" s="122" t="s">
        <v>333</v>
      </c>
      <c r="G84" s="122"/>
      <c r="H84" s="122"/>
      <c r="I84" s="122"/>
      <c r="J84" s="122"/>
      <c r="K84" s="122"/>
      <c r="L84" s="273">
        <f>'Waterberg project'!N26*P84</f>
        <v>317.8590303780208</v>
      </c>
      <c r="P84" s="201">
        <v>18.503050620506183</v>
      </c>
      <c r="Q84" s="308" t="s">
        <v>609</v>
      </c>
    </row>
    <row r="85" spans="1:17" x14ac:dyDescent="0.25">
      <c r="C85" s="122" t="s">
        <v>531</v>
      </c>
      <c r="F85" s="122" t="s">
        <v>532</v>
      </c>
      <c r="L85" s="244">
        <f>'Waterberg project'!N25*P84</f>
        <v>1715.6368902773784</v>
      </c>
      <c r="Q85" s="308"/>
    </row>
    <row r="86" spans="1:17" x14ac:dyDescent="0.25">
      <c r="C86" s="122" t="s">
        <v>502</v>
      </c>
      <c r="D86" s="122"/>
      <c r="E86" s="122"/>
      <c r="F86" s="122" t="s">
        <v>503</v>
      </c>
      <c r="L86" s="123">
        <f>'Waterberg project'!L24</f>
        <v>45</v>
      </c>
    </row>
    <row r="103" spans="5:11" x14ac:dyDescent="0.25">
      <c r="E103" s="196"/>
      <c r="F103" s="196"/>
      <c r="G103" s="196"/>
      <c r="H103" s="196"/>
      <c r="I103" s="196"/>
      <c r="J103" s="196"/>
      <c r="K103" s="196"/>
    </row>
    <row r="104" spans="5:11" x14ac:dyDescent="0.25">
      <c r="E104" s="199"/>
      <c r="F104" s="199"/>
      <c r="G104" s="199"/>
      <c r="H104" s="199"/>
      <c r="I104" s="199"/>
      <c r="J104" s="199"/>
      <c r="K104" s="199"/>
    </row>
  </sheetData>
  <pageMargins left="0.7" right="0.7" top="0.75" bottom="0.75" header="0.3" footer="0.3"/>
  <pageSetup orientation="portrait" horizontalDpi="1200" verticalDpi="120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23E63F-12CB-4433-8E90-01B75D41B72D}">
  <sheetPr codeName="Sheet22"/>
  <dimension ref="B2:Y85"/>
  <sheetViews>
    <sheetView workbookViewId="0">
      <selection activeCell="W34" sqref="W34"/>
    </sheetView>
  </sheetViews>
  <sheetFormatPr defaultColWidth="8.85546875" defaultRowHeight="15" x14ac:dyDescent="0.25"/>
  <cols>
    <col min="1" max="1" width="8.85546875" style="123"/>
    <col min="2" max="2" width="13.140625" style="123" customWidth="1"/>
    <col min="3" max="3" width="8.85546875" style="123"/>
    <col min="4" max="4" width="14.7109375" style="123" customWidth="1"/>
    <col min="5" max="5" width="13" style="123" customWidth="1"/>
    <col min="6" max="7" width="8.85546875" style="123"/>
    <col min="8" max="8" width="12.140625" style="123" customWidth="1"/>
    <col min="9" max="9" width="14.140625" style="123" customWidth="1"/>
    <col min="10" max="22" width="8.85546875" style="123"/>
    <col min="23" max="23" width="19.7109375" style="123" customWidth="1"/>
    <col min="24" max="16384" width="8.85546875" style="123"/>
  </cols>
  <sheetData>
    <row r="2" spans="2:18" x14ac:dyDescent="0.25">
      <c r="B2" s="122" t="s">
        <v>181</v>
      </c>
    </row>
    <row r="3" spans="2:18" x14ac:dyDescent="0.25">
      <c r="B3" s="124"/>
      <c r="C3" s="125"/>
      <c r="D3" s="125"/>
      <c r="E3" s="125"/>
      <c r="F3" s="125"/>
      <c r="G3" s="125"/>
      <c r="H3" s="125"/>
      <c r="I3" s="125"/>
      <c r="J3" s="125"/>
      <c r="K3" s="125"/>
      <c r="L3" s="125"/>
      <c r="M3" s="125"/>
      <c r="N3" s="126"/>
    </row>
    <row r="4" spans="2:18" x14ac:dyDescent="0.25">
      <c r="B4" s="127" t="s">
        <v>182</v>
      </c>
      <c r="C4" s="128" t="s">
        <v>183</v>
      </c>
      <c r="D4" s="129"/>
      <c r="E4" s="129"/>
      <c r="F4" s="129"/>
      <c r="G4" s="129"/>
      <c r="H4" s="129"/>
      <c r="N4" s="130"/>
    </row>
    <row r="5" spans="2:18" x14ac:dyDescent="0.25">
      <c r="B5" s="131"/>
      <c r="C5" s="132"/>
      <c r="D5" s="133">
        <v>2013</v>
      </c>
      <c r="E5" s="133">
        <v>2014</v>
      </c>
      <c r="F5" s="133">
        <v>2015</v>
      </c>
      <c r="G5" s="133">
        <v>2016</v>
      </c>
      <c r="H5" s="134">
        <v>2017</v>
      </c>
      <c r="I5" s="122" t="s">
        <v>184</v>
      </c>
      <c r="N5" s="130"/>
    </row>
    <row r="6" spans="2:18" x14ac:dyDescent="0.25">
      <c r="B6" s="135" t="s">
        <v>137</v>
      </c>
      <c r="C6" s="136" t="s">
        <v>185</v>
      </c>
      <c r="D6" s="137">
        <v>255019489</v>
      </c>
      <c r="E6" s="137">
        <v>260642387</v>
      </c>
      <c r="F6" s="137">
        <v>252176473</v>
      </c>
      <c r="G6" s="137">
        <v>250566445</v>
      </c>
      <c r="H6" s="138">
        <v>252347846</v>
      </c>
      <c r="I6" s="139">
        <f>H6</f>
        <v>252347846</v>
      </c>
      <c r="N6" s="130"/>
    </row>
    <row r="7" spans="2:18" x14ac:dyDescent="0.25">
      <c r="B7" s="135" t="s">
        <v>186</v>
      </c>
      <c r="C7" s="136" t="s">
        <v>185</v>
      </c>
      <c r="D7" s="137">
        <v>1294</v>
      </c>
      <c r="E7" s="137">
        <v>1332</v>
      </c>
      <c r="F7" s="137">
        <v>1362</v>
      </c>
      <c r="G7" s="137">
        <v>1101</v>
      </c>
      <c r="H7" s="138">
        <v>1062</v>
      </c>
      <c r="I7" s="139"/>
      <c r="N7" s="130"/>
    </row>
    <row r="8" spans="2:18" x14ac:dyDescent="0.25">
      <c r="B8" s="135" t="s">
        <v>187</v>
      </c>
      <c r="C8" s="136" t="s">
        <v>185</v>
      </c>
      <c r="D8" s="137">
        <v>80821</v>
      </c>
      <c r="E8" s="137">
        <v>78697</v>
      </c>
      <c r="F8" s="137">
        <v>77360</v>
      </c>
      <c r="G8" s="137">
        <v>65257</v>
      </c>
      <c r="H8" s="138">
        <v>65502</v>
      </c>
      <c r="I8" s="139"/>
      <c r="N8" s="130"/>
    </row>
    <row r="9" spans="2:18" x14ac:dyDescent="0.25">
      <c r="B9" s="135" t="s">
        <v>188</v>
      </c>
      <c r="C9" s="136" t="s">
        <v>185</v>
      </c>
      <c r="D9" s="137">
        <v>13652883</v>
      </c>
      <c r="E9" s="137">
        <v>14037722</v>
      </c>
      <c r="F9" s="137">
        <v>15655661</v>
      </c>
      <c r="G9" s="137">
        <v>14707518</v>
      </c>
      <c r="H9" s="138">
        <v>16573021</v>
      </c>
      <c r="I9" s="139">
        <f>H9</f>
        <v>16573021</v>
      </c>
      <c r="N9" s="130"/>
    </row>
    <row r="10" spans="2:18" x14ac:dyDescent="0.25">
      <c r="B10" s="135" t="s">
        <v>189</v>
      </c>
      <c r="C10" s="136" t="s">
        <v>190</v>
      </c>
      <c r="D10" s="137">
        <v>8143256</v>
      </c>
      <c r="E10" s="137">
        <v>8046050</v>
      </c>
      <c r="F10" s="137">
        <v>8232734</v>
      </c>
      <c r="G10" s="137">
        <v>8304587</v>
      </c>
      <c r="H10" s="138">
        <v>9698038</v>
      </c>
      <c r="I10" s="139"/>
      <c r="N10" s="130"/>
      <c r="Q10" s="123" t="s">
        <v>191</v>
      </c>
    </row>
    <row r="11" spans="2:18" x14ac:dyDescent="0.25">
      <c r="B11" s="135" t="s">
        <v>192</v>
      </c>
      <c r="C11" s="136" t="s">
        <v>193</v>
      </c>
      <c r="D11" s="137">
        <v>159472</v>
      </c>
      <c r="E11" s="137">
        <v>149634</v>
      </c>
      <c r="F11" s="137">
        <v>144504</v>
      </c>
      <c r="G11" s="137">
        <v>142091</v>
      </c>
      <c r="H11" s="138">
        <v>137133</v>
      </c>
      <c r="I11" s="139">
        <f>H11/J11</f>
        <v>17141625</v>
      </c>
      <c r="J11" s="140">
        <f>8/1000</f>
        <v>8.0000000000000002E-3</v>
      </c>
      <c r="K11" s="123" t="s">
        <v>194</v>
      </c>
      <c r="N11" s="130"/>
      <c r="Q11" s="123" t="s">
        <v>195</v>
      </c>
    </row>
    <row r="12" spans="2:18" x14ac:dyDescent="0.25">
      <c r="B12" s="135" t="s">
        <v>196</v>
      </c>
      <c r="C12" s="136" t="s">
        <v>193</v>
      </c>
      <c r="D12" s="137">
        <v>264188</v>
      </c>
      <c r="E12" s="137">
        <v>188444</v>
      </c>
      <c r="F12" s="137">
        <v>275515</v>
      </c>
      <c r="G12" s="137">
        <v>263653</v>
      </c>
      <c r="H12" s="138">
        <v>260264</v>
      </c>
      <c r="I12" s="139">
        <f>H12/J12</f>
        <v>65066000</v>
      </c>
      <c r="J12" s="140">
        <f>Q12/1000</f>
        <v>4.0000000000000001E-3</v>
      </c>
      <c r="K12" s="123" t="s">
        <v>194</v>
      </c>
      <c r="N12" s="130"/>
      <c r="Q12" s="123">
        <v>4</v>
      </c>
      <c r="R12" s="123" t="s">
        <v>197</v>
      </c>
    </row>
    <row r="13" spans="2:18" x14ac:dyDescent="0.25">
      <c r="B13" s="135" t="s">
        <v>198</v>
      </c>
      <c r="C13" s="136" t="s">
        <v>185</v>
      </c>
      <c r="D13" s="137">
        <v>51208</v>
      </c>
      <c r="E13" s="137">
        <v>54956</v>
      </c>
      <c r="F13" s="137">
        <v>56689</v>
      </c>
      <c r="G13" s="137">
        <v>48994</v>
      </c>
      <c r="H13" s="138">
        <v>48383</v>
      </c>
      <c r="I13" s="139"/>
      <c r="N13" s="130"/>
    </row>
    <row r="14" spans="2:18" x14ac:dyDescent="0.25">
      <c r="B14" s="135" t="s">
        <v>199</v>
      </c>
      <c r="C14" s="136" t="s">
        <v>185</v>
      </c>
      <c r="D14" s="137">
        <v>41848</v>
      </c>
      <c r="E14" s="137">
        <v>29348</v>
      </c>
      <c r="F14" s="137">
        <v>34573</v>
      </c>
      <c r="G14" s="137">
        <v>39344</v>
      </c>
      <c r="H14" s="138">
        <v>48150</v>
      </c>
      <c r="I14" s="139"/>
      <c r="N14" s="130"/>
    </row>
    <row r="15" spans="2:18" x14ac:dyDescent="0.25">
      <c r="B15" s="135" t="s">
        <v>200</v>
      </c>
      <c r="C15" s="136" t="s">
        <v>185</v>
      </c>
      <c r="D15" s="137">
        <v>11055658</v>
      </c>
      <c r="E15" s="137">
        <v>14051244</v>
      </c>
      <c r="F15" s="137">
        <v>11033717</v>
      </c>
      <c r="G15" s="137">
        <v>10805809</v>
      </c>
      <c r="H15" s="138">
        <v>14143794</v>
      </c>
      <c r="I15" s="139">
        <f>H15</f>
        <v>14143794</v>
      </c>
      <c r="N15" s="130"/>
    </row>
    <row r="16" spans="2:18" x14ac:dyDescent="0.25">
      <c r="B16" s="135" t="s">
        <v>201</v>
      </c>
      <c r="C16" s="136" t="s">
        <v>185</v>
      </c>
      <c r="D16" s="137">
        <v>71533814</v>
      </c>
      <c r="E16" s="137">
        <v>80759334</v>
      </c>
      <c r="F16" s="137">
        <v>72805534</v>
      </c>
      <c r="G16" s="137">
        <v>66455868</v>
      </c>
      <c r="H16" s="138">
        <v>74857447</v>
      </c>
      <c r="I16" s="139">
        <f>H16</f>
        <v>74857447</v>
      </c>
      <c r="N16" s="130"/>
    </row>
    <row r="17" spans="2:14" x14ac:dyDescent="0.25">
      <c r="B17" s="141" t="s">
        <v>202</v>
      </c>
      <c r="C17" s="142" t="s">
        <v>185</v>
      </c>
      <c r="D17" s="143">
        <v>30145</v>
      </c>
      <c r="E17" s="143">
        <v>26141</v>
      </c>
      <c r="F17" s="143">
        <v>29040</v>
      </c>
      <c r="G17" s="143">
        <v>26695</v>
      </c>
      <c r="H17" s="144">
        <v>30778</v>
      </c>
      <c r="I17" s="139"/>
      <c r="K17" s="145"/>
      <c r="L17" s="145"/>
      <c r="N17" s="130"/>
    </row>
    <row r="18" spans="2:14" x14ac:dyDescent="0.25">
      <c r="B18" s="146"/>
      <c r="I18" s="139"/>
      <c r="N18" s="130"/>
    </row>
    <row r="19" spans="2:14" x14ac:dyDescent="0.25">
      <c r="B19" s="146"/>
      <c r="I19" s="139">
        <f>SUM(I6:I17)</f>
        <v>440129733</v>
      </c>
      <c r="N19" s="130"/>
    </row>
    <row r="20" spans="2:14" x14ac:dyDescent="0.25">
      <c r="B20" s="146"/>
      <c r="N20" s="130"/>
    </row>
    <row r="21" spans="2:14" x14ac:dyDescent="0.25">
      <c r="B21" s="146"/>
      <c r="E21" s="123" t="s">
        <v>203</v>
      </c>
      <c r="N21" s="130"/>
    </row>
    <row r="22" spans="2:14" x14ac:dyDescent="0.25">
      <c r="B22" s="146"/>
      <c r="C22" s="123" t="s">
        <v>137</v>
      </c>
      <c r="E22" s="139">
        <f>H6</f>
        <v>252347846</v>
      </c>
      <c r="F22" s="147">
        <f t="shared" ref="F22:F27" si="0">E22/$E$27</f>
        <v>0.57334878123310062</v>
      </c>
      <c r="N22" s="130"/>
    </row>
    <row r="23" spans="2:14" x14ac:dyDescent="0.25">
      <c r="B23" s="146"/>
      <c r="C23" s="123" t="s">
        <v>204</v>
      </c>
      <c r="E23" s="139">
        <f>I11+I12</f>
        <v>82207625</v>
      </c>
      <c r="F23" s="147">
        <f t="shared" si="0"/>
        <v>0.18678043957552851</v>
      </c>
      <c r="N23" s="130"/>
    </row>
    <row r="24" spans="2:14" x14ac:dyDescent="0.25">
      <c r="B24" s="146"/>
      <c r="C24" s="123" t="s">
        <v>205</v>
      </c>
      <c r="E24" s="139">
        <f>H9</f>
        <v>16573021</v>
      </c>
      <c r="F24" s="147">
        <f t="shared" si="0"/>
        <v>3.7654854369950051E-2</v>
      </c>
      <c r="N24" s="130"/>
    </row>
    <row r="25" spans="2:14" x14ac:dyDescent="0.25">
      <c r="B25" s="146"/>
      <c r="C25" s="123" t="s">
        <v>200</v>
      </c>
      <c r="E25" s="139">
        <f>H15</f>
        <v>14143794</v>
      </c>
      <c r="F25" s="147">
        <f t="shared" si="0"/>
        <v>3.2135511281170363E-2</v>
      </c>
      <c r="N25" s="130"/>
    </row>
    <row r="26" spans="2:14" x14ac:dyDescent="0.25">
      <c r="B26" s="146"/>
      <c r="C26" s="123" t="s">
        <v>206</v>
      </c>
      <c r="E26" s="139">
        <f>H16</f>
        <v>74857447</v>
      </c>
      <c r="F26" s="147">
        <f t="shared" si="0"/>
        <v>0.17008041354025041</v>
      </c>
      <c r="N26" s="130"/>
    </row>
    <row r="27" spans="2:14" x14ac:dyDescent="0.25">
      <c r="B27" s="146"/>
      <c r="E27" s="139">
        <f>SUM(E22:E26)</f>
        <v>440129733</v>
      </c>
      <c r="F27" s="147">
        <f t="shared" si="0"/>
        <v>1</v>
      </c>
      <c r="N27" s="130"/>
    </row>
    <row r="28" spans="2:14" x14ac:dyDescent="0.25">
      <c r="B28" s="146"/>
      <c r="N28" s="130"/>
    </row>
    <row r="29" spans="2:14" x14ac:dyDescent="0.25">
      <c r="B29" s="146"/>
      <c r="N29" s="130"/>
    </row>
    <row r="30" spans="2:14" x14ac:dyDescent="0.25">
      <c r="B30" s="148"/>
      <c r="C30" s="149"/>
      <c r="D30" s="149"/>
      <c r="E30" s="149"/>
      <c r="F30" s="149"/>
      <c r="G30" s="149"/>
      <c r="H30" s="149"/>
      <c r="I30" s="149"/>
      <c r="J30" s="149"/>
      <c r="K30" s="149"/>
      <c r="L30" s="149"/>
      <c r="M30" s="149"/>
      <c r="N30" s="150"/>
    </row>
    <row r="32" spans="2:14" x14ac:dyDescent="0.25">
      <c r="B32" s="151" t="s">
        <v>207</v>
      </c>
      <c r="C32" s="125"/>
      <c r="D32" s="125"/>
      <c r="E32" s="125"/>
      <c r="F32" s="125"/>
      <c r="G32" s="125"/>
      <c r="H32" s="125"/>
      <c r="I32" s="125"/>
      <c r="J32" s="125"/>
      <c r="K32" s="125"/>
      <c r="L32" s="125"/>
      <c r="M32" s="125"/>
      <c r="N32" s="126"/>
    </row>
    <row r="33" spans="2:25" x14ac:dyDescent="0.25">
      <c r="B33" s="146"/>
      <c r="N33" s="130"/>
    </row>
    <row r="34" spans="2:25" x14ac:dyDescent="0.25">
      <c r="B34" s="146" t="s">
        <v>208</v>
      </c>
      <c r="N34" s="130"/>
    </row>
    <row r="35" spans="2:25" ht="43.5" customHeight="1" x14ac:dyDescent="0.25">
      <c r="B35" s="152" t="s">
        <v>209</v>
      </c>
      <c r="C35" s="153" t="s">
        <v>210</v>
      </c>
      <c r="D35" s="154" t="s">
        <v>211</v>
      </c>
      <c r="N35" s="130"/>
    </row>
    <row r="36" spans="2:25" ht="45" x14ac:dyDescent="0.25">
      <c r="B36" s="155" t="s">
        <v>212</v>
      </c>
      <c r="C36" s="156">
        <v>161.69999999999999</v>
      </c>
      <c r="D36" s="156">
        <v>54.2</v>
      </c>
      <c r="N36" s="130"/>
    </row>
    <row r="37" spans="2:25" ht="30" x14ac:dyDescent="0.25">
      <c r="B37" s="155" t="s">
        <v>213</v>
      </c>
      <c r="C37" s="156">
        <v>68.400000000000006</v>
      </c>
      <c r="D37" s="156">
        <v>22.9</v>
      </c>
      <c r="N37" s="130"/>
    </row>
    <row r="38" spans="2:25" ht="30" x14ac:dyDescent="0.25">
      <c r="B38" s="155" t="s">
        <v>214</v>
      </c>
      <c r="C38" s="156">
        <v>47.5</v>
      </c>
      <c r="D38" s="156">
        <v>15.9</v>
      </c>
      <c r="N38" s="130"/>
    </row>
    <row r="39" spans="2:25" x14ac:dyDescent="0.25">
      <c r="B39" s="155" t="s">
        <v>215</v>
      </c>
      <c r="C39" s="156">
        <v>20.8</v>
      </c>
      <c r="D39" s="157">
        <v>7</v>
      </c>
      <c r="N39" s="130"/>
    </row>
    <row r="40" spans="2:25" x14ac:dyDescent="0.25">
      <c r="B40" s="155" t="s">
        <v>216</v>
      </c>
      <c r="C40" s="158">
        <v>299</v>
      </c>
      <c r="D40" s="158">
        <v>100</v>
      </c>
      <c r="O40" s="125"/>
      <c r="P40" s="125"/>
      <c r="Q40" s="125"/>
      <c r="R40" s="125"/>
      <c r="S40" s="125"/>
      <c r="T40" s="125"/>
      <c r="U40" s="125"/>
      <c r="V40" s="125"/>
      <c r="W40" s="125"/>
      <c r="X40" s="125"/>
      <c r="Y40" s="126"/>
    </row>
    <row r="41" spans="2:25" x14ac:dyDescent="0.25">
      <c r="B41" s="146"/>
      <c r="Y41" s="130"/>
    </row>
    <row r="42" spans="2:25" x14ac:dyDescent="0.25">
      <c r="B42" s="146"/>
      <c r="Y42" s="130"/>
    </row>
    <row r="43" spans="2:25" x14ac:dyDescent="0.25">
      <c r="B43" s="146"/>
      <c r="Y43" s="130"/>
    </row>
    <row r="44" spans="2:25" x14ac:dyDescent="0.25">
      <c r="B44" s="146"/>
      <c r="Y44" s="130"/>
    </row>
    <row r="45" spans="2:25" x14ac:dyDescent="0.25">
      <c r="B45" s="146"/>
      <c r="Y45" s="130"/>
    </row>
    <row r="46" spans="2:25" x14ac:dyDescent="0.25">
      <c r="B46" s="146"/>
      <c r="R46" s="123" t="s">
        <v>217</v>
      </c>
      <c r="Y46" s="130"/>
    </row>
    <row r="47" spans="2:25" x14ac:dyDescent="0.25">
      <c r="B47" s="146"/>
      <c r="Q47" s="122" t="s">
        <v>218</v>
      </c>
      <c r="Y47" s="130"/>
    </row>
    <row r="48" spans="2:25" ht="14.45" customHeight="1" x14ac:dyDescent="0.25">
      <c r="B48" s="146"/>
      <c r="Y48" s="130"/>
    </row>
    <row r="49" spans="2:25" ht="30" x14ac:dyDescent="0.25">
      <c r="B49" s="146"/>
      <c r="Q49" s="159" t="s">
        <v>219</v>
      </c>
      <c r="R49" s="160" t="s">
        <v>220</v>
      </c>
      <c r="S49" s="160" t="s">
        <v>221</v>
      </c>
      <c r="T49" s="160" t="s">
        <v>222</v>
      </c>
      <c r="U49" s="161" t="s">
        <v>223</v>
      </c>
      <c r="W49" s="161" t="s">
        <v>224</v>
      </c>
      <c r="Y49" s="130"/>
    </row>
    <row r="50" spans="2:25" ht="14.45" customHeight="1" x14ac:dyDescent="0.25">
      <c r="B50" s="146"/>
      <c r="Q50" s="322"/>
      <c r="R50" s="322"/>
      <c r="S50" s="322"/>
      <c r="T50" s="322"/>
      <c r="U50" s="322"/>
      <c r="V50" s="322"/>
      <c r="W50" s="322"/>
      <c r="Y50" s="130"/>
    </row>
    <row r="51" spans="2:25" x14ac:dyDescent="0.25">
      <c r="B51" s="146"/>
      <c r="Q51" s="322"/>
      <c r="R51" s="322"/>
      <c r="S51" s="322"/>
      <c r="T51" s="322"/>
      <c r="U51" s="322"/>
      <c r="V51" s="322"/>
      <c r="W51" s="322"/>
      <c r="X51" s="322"/>
      <c r="Y51" s="323"/>
    </row>
    <row r="52" spans="2:25" ht="30" x14ac:dyDescent="0.25">
      <c r="B52" s="146"/>
      <c r="Q52" s="162" t="s">
        <v>172</v>
      </c>
      <c r="R52" s="163">
        <v>0.82899999999999996</v>
      </c>
      <c r="S52" s="163">
        <v>0.998</v>
      </c>
      <c r="T52" s="163">
        <v>0.71299999999999997</v>
      </c>
      <c r="U52" s="324">
        <v>0.34</v>
      </c>
      <c r="V52" s="325"/>
      <c r="W52" s="324">
        <v>0.21</v>
      </c>
      <c r="X52" s="326"/>
      <c r="Y52" s="327"/>
    </row>
    <row r="53" spans="2:25" x14ac:dyDescent="0.25">
      <c r="B53" s="146"/>
      <c r="Q53" s="164" t="s">
        <v>137</v>
      </c>
      <c r="R53" s="165" t="s">
        <v>225</v>
      </c>
      <c r="S53" s="165" t="s">
        <v>225</v>
      </c>
      <c r="T53" s="166">
        <v>0.252</v>
      </c>
      <c r="U53" s="328">
        <v>0.64100000000000001</v>
      </c>
      <c r="V53" s="329"/>
      <c r="W53" s="328">
        <v>0.78</v>
      </c>
      <c r="X53" s="330"/>
      <c r="Y53" s="331"/>
    </row>
    <row r="54" spans="2:25" ht="30" x14ac:dyDescent="0.25">
      <c r="B54" s="146"/>
      <c r="Q54" s="164" t="s">
        <v>226</v>
      </c>
      <c r="R54" s="166">
        <v>0.17100000000000001</v>
      </c>
      <c r="S54" s="165" t="s">
        <v>225</v>
      </c>
      <c r="T54" s="167">
        <v>2.99E-3</v>
      </c>
      <c r="U54" s="314">
        <v>1.9099999999999999E-2</v>
      </c>
      <c r="V54" s="315"/>
      <c r="W54" s="314">
        <v>0.01</v>
      </c>
      <c r="X54" s="316"/>
      <c r="Y54" s="317"/>
    </row>
    <row r="55" spans="2:25" x14ac:dyDescent="0.25">
      <c r="B55" s="146"/>
      <c r="Q55" s="164" t="s">
        <v>173</v>
      </c>
      <c r="R55" s="165" t="s">
        <v>225</v>
      </c>
      <c r="S55" s="167">
        <v>1.7700000000000001E-3</v>
      </c>
      <c r="T55" s="168">
        <v>3.1300000000000001E-2</v>
      </c>
      <c r="U55" s="318" t="s">
        <v>225</v>
      </c>
      <c r="V55" s="319"/>
      <c r="W55" s="318" t="s">
        <v>225</v>
      </c>
      <c r="X55" s="320"/>
      <c r="Y55" s="321"/>
    </row>
    <row r="56" spans="2:25" x14ac:dyDescent="0.25">
      <c r="B56" s="146"/>
      <c r="Y56" s="130"/>
    </row>
    <row r="57" spans="2:25" ht="31.5" x14ac:dyDescent="0.25">
      <c r="B57" s="146"/>
      <c r="Q57" s="169" t="s">
        <v>227</v>
      </c>
      <c r="Y57" s="130"/>
    </row>
    <row r="58" spans="2:25" x14ac:dyDescent="0.25">
      <c r="B58" s="146"/>
      <c r="Y58" s="130"/>
    </row>
    <row r="59" spans="2:25" x14ac:dyDescent="0.25">
      <c r="B59" s="146"/>
      <c r="Q59" s="170" t="s">
        <v>228</v>
      </c>
      <c r="R59" s="171" t="s">
        <v>229</v>
      </c>
      <c r="S59" s="170" t="s">
        <v>43</v>
      </c>
      <c r="Y59" s="130"/>
    </row>
    <row r="60" spans="2:25" x14ac:dyDescent="0.25">
      <c r="B60" s="146"/>
      <c r="Q60" s="172" t="s">
        <v>220</v>
      </c>
      <c r="R60" s="173">
        <v>0.3</v>
      </c>
      <c r="S60" s="172" t="s">
        <v>230</v>
      </c>
      <c r="Y60" s="130"/>
    </row>
    <row r="61" spans="2:25" x14ac:dyDescent="0.25">
      <c r="B61" s="146"/>
      <c r="Q61" s="172" t="s">
        <v>221</v>
      </c>
      <c r="R61" s="173">
        <v>0.15</v>
      </c>
      <c r="S61" s="172" t="s">
        <v>231</v>
      </c>
      <c r="Y61" s="130"/>
    </row>
    <row r="62" spans="2:25" x14ac:dyDescent="0.25">
      <c r="B62" s="146"/>
      <c r="Q62" s="172" t="s">
        <v>222</v>
      </c>
      <c r="R62" s="157">
        <v>4.53</v>
      </c>
      <c r="S62" s="172" t="s">
        <v>232</v>
      </c>
      <c r="Y62" s="130"/>
    </row>
    <row r="63" spans="2:25" x14ac:dyDescent="0.25">
      <c r="B63" s="146"/>
      <c r="Q63" s="172" t="s">
        <v>223</v>
      </c>
      <c r="R63" s="157">
        <v>1.77</v>
      </c>
      <c r="S63" s="172" t="s">
        <v>232</v>
      </c>
      <c r="Y63" s="130"/>
    </row>
    <row r="64" spans="2:25" x14ac:dyDescent="0.25">
      <c r="B64" s="146"/>
      <c r="Q64" s="172" t="s">
        <v>233</v>
      </c>
      <c r="R64" s="157">
        <v>3.13</v>
      </c>
      <c r="S64" s="172" t="s">
        <v>234</v>
      </c>
      <c r="Y64" s="130"/>
    </row>
    <row r="65" spans="2:25" x14ac:dyDescent="0.25">
      <c r="B65" s="146"/>
      <c r="Y65" s="130"/>
    </row>
    <row r="66" spans="2:25" x14ac:dyDescent="0.25">
      <c r="B66" s="146"/>
      <c r="Y66" s="130"/>
    </row>
    <row r="67" spans="2:25" x14ac:dyDescent="0.25">
      <c r="B67" s="146"/>
      <c r="Y67" s="130"/>
    </row>
    <row r="68" spans="2:25" x14ac:dyDescent="0.25">
      <c r="B68" s="148"/>
      <c r="C68" s="149"/>
      <c r="D68" s="149"/>
      <c r="E68" s="149"/>
      <c r="F68" s="149"/>
      <c r="G68" s="149"/>
      <c r="H68" s="149"/>
      <c r="I68" s="149"/>
      <c r="J68" s="149"/>
      <c r="K68" s="149"/>
      <c r="L68" s="149"/>
      <c r="M68" s="149"/>
      <c r="N68" s="149"/>
      <c r="O68" s="149"/>
      <c r="P68" s="149"/>
      <c r="Q68" s="149"/>
      <c r="R68" s="149"/>
      <c r="S68" s="149"/>
      <c r="T68" s="149"/>
      <c r="U68" s="149"/>
      <c r="V68" s="149"/>
      <c r="W68" s="149"/>
      <c r="X68" s="149"/>
      <c r="Y68" s="150"/>
    </row>
    <row r="77" spans="2:25" x14ac:dyDescent="0.25">
      <c r="B77" s="149" t="s">
        <v>235</v>
      </c>
      <c r="C77" s="149"/>
      <c r="D77" s="149"/>
      <c r="E77" s="149"/>
      <c r="F77" s="149"/>
      <c r="G77" s="149"/>
      <c r="H77" s="149"/>
      <c r="I77" s="149"/>
      <c r="J77" s="149"/>
      <c r="K77" s="149"/>
    </row>
    <row r="80" spans="2:25" x14ac:dyDescent="0.25">
      <c r="I80" s="174" t="s">
        <v>236</v>
      </c>
      <c r="J80" s="174" t="s">
        <v>237</v>
      </c>
    </row>
    <row r="81" spans="9:10" x14ac:dyDescent="0.25">
      <c r="I81" s="174" t="s">
        <v>238</v>
      </c>
      <c r="J81" s="175">
        <v>3.0000000000000001E-6</v>
      </c>
    </row>
    <row r="82" spans="9:10" x14ac:dyDescent="0.25">
      <c r="I82" s="174" t="s">
        <v>239</v>
      </c>
      <c r="J82" s="175">
        <v>1.4999999999999999E-4</v>
      </c>
    </row>
    <row r="83" spans="9:10" x14ac:dyDescent="0.25">
      <c r="I83" s="174" t="s">
        <v>240</v>
      </c>
      <c r="J83" s="175">
        <v>2E-3</v>
      </c>
    </row>
    <row r="84" spans="9:10" x14ac:dyDescent="0.25">
      <c r="I84" s="174" t="s">
        <v>241</v>
      </c>
      <c r="J84" s="175">
        <v>0.5</v>
      </c>
    </row>
    <row r="85" spans="9:10" x14ac:dyDescent="0.25">
      <c r="I85" s="174" t="s">
        <v>242</v>
      </c>
      <c r="J85" s="175">
        <v>0.99950000000000006</v>
      </c>
    </row>
  </sheetData>
  <mergeCells count="10">
    <mergeCell ref="U54:V54"/>
    <mergeCell ref="W54:Y54"/>
    <mergeCell ref="U55:V55"/>
    <mergeCell ref="W55:Y55"/>
    <mergeCell ref="Q50:W50"/>
    <mergeCell ref="Q51:Y51"/>
    <mergeCell ref="U52:V52"/>
    <mergeCell ref="W52:Y52"/>
    <mergeCell ref="U53:V53"/>
    <mergeCell ref="W53:Y53"/>
  </mergeCells>
  <pageMargins left="0.7" right="0.7" top="0.75" bottom="0.75" header="0.3" footer="0.3"/>
  <pageSetup orientation="portrait" horizontalDpi="1200" verticalDpi="120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44F0B-A485-4D5A-822B-74959A562279}">
  <sheetPr codeName="Sheet23"/>
  <dimension ref="B2:S71"/>
  <sheetViews>
    <sheetView workbookViewId="0">
      <selection activeCell="K18" sqref="K18"/>
    </sheetView>
  </sheetViews>
  <sheetFormatPr defaultColWidth="8.85546875" defaultRowHeight="15" x14ac:dyDescent="0.25"/>
  <cols>
    <col min="1" max="1" width="8.85546875" style="123"/>
    <col min="2" max="2" width="13.7109375" style="123" customWidth="1"/>
    <col min="3" max="3" width="40.85546875" style="123" customWidth="1"/>
    <col min="4" max="4" width="14.28515625" style="123" bestFit="1" customWidth="1"/>
    <col min="5" max="5" width="16.85546875" style="123" customWidth="1"/>
    <col min="6" max="6" width="16" style="123" bestFit="1" customWidth="1"/>
    <col min="7" max="7" width="13.7109375" style="123" customWidth="1"/>
    <col min="8" max="13" width="8.85546875" style="123"/>
    <col min="14" max="14" width="11.7109375" style="123" bestFit="1" customWidth="1"/>
    <col min="15" max="15" width="16.85546875" style="123" bestFit="1" customWidth="1"/>
    <col min="16" max="16384" width="8.85546875" style="123"/>
  </cols>
  <sheetData>
    <row r="2" spans="2:16" x14ac:dyDescent="0.25">
      <c r="C2" s="122" t="s">
        <v>243</v>
      </c>
      <c r="D2" s="122"/>
      <c r="E2" s="122"/>
      <c r="F2" s="122" t="s">
        <v>244</v>
      </c>
    </row>
    <row r="3" spans="2:16" ht="18.75" x14ac:dyDescent="0.25">
      <c r="C3" s="123" t="s">
        <v>245</v>
      </c>
      <c r="F3" s="176" t="s">
        <v>246</v>
      </c>
      <c r="H3" s="123" t="s">
        <v>247</v>
      </c>
    </row>
    <row r="4" spans="2:16" ht="18.75" x14ac:dyDescent="0.25">
      <c r="C4" s="123" t="s">
        <v>248</v>
      </c>
      <c r="F4" s="176" t="s">
        <v>249</v>
      </c>
    </row>
    <row r="9" spans="2:16" x14ac:dyDescent="0.25">
      <c r="B9" s="122" t="s">
        <v>250</v>
      </c>
    </row>
    <row r="10" spans="2:16" x14ac:dyDescent="0.25">
      <c r="B10" s="151"/>
      <c r="C10" s="125"/>
      <c r="D10" s="125"/>
      <c r="E10" s="125"/>
      <c r="F10" s="125"/>
      <c r="G10" s="125"/>
      <c r="H10" s="125"/>
      <c r="I10" s="126"/>
    </row>
    <row r="11" spans="2:16" x14ac:dyDescent="0.25">
      <c r="B11" s="146"/>
      <c r="D11" s="177" t="s">
        <v>251</v>
      </c>
      <c r="E11" s="177" t="s">
        <v>252</v>
      </c>
      <c r="F11" s="177" t="s">
        <v>253</v>
      </c>
      <c r="G11" s="177" t="s">
        <v>254</v>
      </c>
      <c r="I11" s="130"/>
      <c r="N11" s="123">
        <v>2016</v>
      </c>
      <c r="O11" s="123">
        <v>2017</v>
      </c>
    </row>
    <row r="12" spans="2:16" x14ac:dyDescent="0.25">
      <c r="B12" s="146">
        <v>2016</v>
      </c>
      <c r="C12" s="178" t="s">
        <v>255</v>
      </c>
      <c r="D12" s="177">
        <v>863035304</v>
      </c>
      <c r="E12" s="177">
        <v>967878764</v>
      </c>
      <c r="F12" s="177">
        <v>929673728</v>
      </c>
      <c r="G12" s="177">
        <v>956038426</v>
      </c>
      <c r="I12" s="130"/>
      <c r="M12" s="123" t="s">
        <v>256</v>
      </c>
      <c r="N12" s="179">
        <f>D12*3.6/1000000000</f>
        <v>3.1069270944</v>
      </c>
      <c r="O12" s="179">
        <f>D14*3.6/1000000000</f>
        <v>3.0410626572000004</v>
      </c>
      <c r="P12" s="123" t="s">
        <v>116</v>
      </c>
    </row>
    <row r="13" spans="2:16" x14ac:dyDescent="0.25">
      <c r="B13" s="146">
        <v>2016</v>
      </c>
      <c r="C13" s="178" t="s">
        <v>257</v>
      </c>
      <c r="D13" s="177">
        <v>77151379</v>
      </c>
      <c r="E13" s="177">
        <v>70689988</v>
      </c>
      <c r="F13" s="177">
        <v>74940175</v>
      </c>
      <c r="G13" s="177">
        <v>81060692</v>
      </c>
      <c r="I13" s="130"/>
      <c r="M13" s="123" t="s">
        <v>223</v>
      </c>
      <c r="N13" s="179">
        <f>D13*3.6/1000000000</f>
        <v>0.27774496440000002</v>
      </c>
      <c r="O13" s="179">
        <f>D15*3.6/1000000000</f>
        <v>0.29322263879999999</v>
      </c>
      <c r="P13" s="123" t="s">
        <v>116</v>
      </c>
    </row>
    <row r="14" spans="2:16" x14ac:dyDescent="0.25">
      <c r="B14" s="146">
        <v>2017</v>
      </c>
      <c r="C14" s="178" t="s">
        <v>255</v>
      </c>
      <c r="D14" s="177">
        <v>844739627</v>
      </c>
      <c r="I14" s="130"/>
      <c r="O14" s="179">
        <f>SUM(O12:O13)</f>
        <v>3.3342852960000005</v>
      </c>
    </row>
    <row r="15" spans="2:16" x14ac:dyDescent="0.25">
      <c r="B15" s="148">
        <v>2017</v>
      </c>
      <c r="C15" s="149" t="s">
        <v>257</v>
      </c>
      <c r="D15" s="180">
        <v>81450733</v>
      </c>
      <c r="E15" s="149"/>
      <c r="F15" s="149"/>
      <c r="G15" s="149"/>
      <c r="H15" s="149"/>
      <c r="I15" s="150"/>
    </row>
    <row r="21" spans="2:11" x14ac:dyDescent="0.25">
      <c r="B21" s="123" t="s">
        <v>217</v>
      </c>
    </row>
    <row r="22" spans="2:11" x14ac:dyDescent="0.25">
      <c r="B22" s="151"/>
      <c r="C22" s="125"/>
      <c r="D22" s="125"/>
      <c r="E22" s="125"/>
      <c r="F22" s="125"/>
      <c r="G22" s="125"/>
      <c r="H22" s="125"/>
      <c r="I22" s="125"/>
      <c r="J22" s="125"/>
      <c r="K22" s="126"/>
    </row>
    <row r="23" spans="2:11" x14ac:dyDescent="0.25">
      <c r="B23" s="146"/>
      <c r="C23" s="122" t="s">
        <v>218</v>
      </c>
      <c r="K23" s="130"/>
    </row>
    <row r="24" spans="2:11" x14ac:dyDescent="0.25">
      <c r="B24" s="146"/>
      <c r="K24" s="130"/>
    </row>
    <row r="25" spans="2:11" ht="60" x14ac:dyDescent="0.25">
      <c r="B25" s="146"/>
      <c r="C25" s="159" t="s">
        <v>219</v>
      </c>
      <c r="D25" s="160" t="s">
        <v>220</v>
      </c>
      <c r="E25" s="160" t="s">
        <v>221</v>
      </c>
      <c r="F25" s="160" t="s">
        <v>222</v>
      </c>
      <c r="G25" s="161" t="s">
        <v>223</v>
      </c>
      <c r="I25" s="161" t="s">
        <v>224</v>
      </c>
      <c r="K25" s="130"/>
    </row>
    <row r="26" spans="2:11" x14ac:dyDescent="0.25">
      <c r="B26" s="146"/>
      <c r="C26" s="322"/>
      <c r="D26" s="322"/>
      <c r="E26" s="322"/>
      <c r="F26" s="322"/>
      <c r="G26" s="322"/>
      <c r="H26" s="322"/>
      <c r="I26" s="322"/>
      <c r="K26" s="130"/>
    </row>
    <row r="27" spans="2:11" x14ac:dyDescent="0.25">
      <c r="B27" s="146"/>
      <c r="C27" s="322"/>
      <c r="D27" s="322"/>
      <c r="E27" s="322"/>
      <c r="F27" s="322"/>
      <c r="G27" s="322"/>
      <c r="H27" s="322"/>
      <c r="I27" s="322"/>
      <c r="J27" s="322"/>
      <c r="K27" s="323"/>
    </row>
    <row r="28" spans="2:11" x14ac:dyDescent="0.25">
      <c r="B28" s="146"/>
      <c r="C28" s="162" t="s">
        <v>172</v>
      </c>
      <c r="D28" s="163">
        <v>0.82899999999999996</v>
      </c>
      <c r="E28" s="163">
        <v>0.998</v>
      </c>
      <c r="F28" s="163">
        <v>0.71299999999999997</v>
      </c>
      <c r="G28" s="324">
        <v>0.34</v>
      </c>
      <c r="H28" s="325"/>
      <c r="I28" s="324">
        <v>0.21</v>
      </c>
      <c r="J28" s="326"/>
      <c r="K28" s="327"/>
    </row>
    <row r="29" spans="2:11" x14ac:dyDescent="0.25">
      <c r="B29" s="146"/>
      <c r="C29" s="164" t="s">
        <v>137</v>
      </c>
      <c r="D29" s="165" t="s">
        <v>225</v>
      </c>
      <c r="E29" s="165" t="s">
        <v>225</v>
      </c>
      <c r="F29" s="166">
        <v>0.252</v>
      </c>
      <c r="G29" s="328">
        <v>0.64100000000000001</v>
      </c>
      <c r="H29" s="329"/>
      <c r="I29" s="328">
        <v>0.78</v>
      </c>
      <c r="J29" s="330"/>
      <c r="K29" s="331"/>
    </row>
    <row r="30" spans="2:11" x14ac:dyDescent="0.25">
      <c r="B30" s="146"/>
      <c r="C30" s="164" t="s">
        <v>226</v>
      </c>
      <c r="D30" s="166">
        <v>0.17100000000000001</v>
      </c>
      <c r="E30" s="165" t="s">
        <v>225</v>
      </c>
      <c r="F30" s="167">
        <v>2.99E-3</v>
      </c>
      <c r="G30" s="314">
        <v>1.9099999999999999E-2</v>
      </c>
      <c r="H30" s="315"/>
      <c r="I30" s="314">
        <v>0.01</v>
      </c>
      <c r="J30" s="316"/>
      <c r="K30" s="317"/>
    </row>
    <row r="31" spans="2:11" x14ac:dyDescent="0.25">
      <c r="B31" s="146"/>
      <c r="C31" s="164" t="s">
        <v>173</v>
      </c>
      <c r="D31" s="165" t="s">
        <v>225</v>
      </c>
      <c r="E31" s="167">
        <v>1.7700000000000001E-3</v>
      </c>
      <c r="F31" s="168">
        <v>3.1300000000000001E-2</v>
      </c>
      <c r="G31" s="318" t="s">
        <v>225</v>
      </c>
      <c r="H31" s="319"/>
      <c r="I31" s="318" t="s">
        <v>225</v>
      </c>
      <c r="J31" s="320"/>
      <c r="K31" s="321"/>
    </row>
    <row r="32" spans="2:11" x14ac:dyDescent="0.25">
      <c r="B32" s="146"/>
      <c r="K32" s="130"/>
    </row>
    <row r="33" spans="2:19" ht="15.75" x14ac:dyDescent="0.25">
      <c r="B33" s="146"/>
      <c r="C33" s="169" t="s">
        <v>227</v>
      </c>
      <c r="K33" s="130"/>
    </row>
    <row r="34" spans="2:19" x14ac:dyDescent="0.25">
      <c r="B34" s="146"/>
      <c r="K34" s="130"/>
    </row>
    <row r="35" spans="2:19" x14ac:dyDescent="0.25">
      <c r="B35" s="146"/>
      <c r="C35" s="170" t="s">
        <v>228</v>
      </c>
      <c r="D35" s="171" t="s">
        <v>229</v>
      </c>
      <c r="E35" s="170" t="s">
        <v>43</v>
      </c>
      <c r="K35" s="130"/>
    </row>
    <row r="36" spans="2:19" x14ac:dyDescent="0.25">
      <c r="B36" s="146"/>
      <c r="C36" s="172" t="s">
        <v>220</v>
      </c>
      <c r="D36" s="173">
        <v>0.3</v>
      </c>
      <c r="E36" s="172" t="s">
        <v>230</v>
      </c>
      <c r="K36" s="130"/>
    </row>
    <row r="37" spans="2:19" x14ac:dyDescent="0.25">
      <c r="B37" s="146"/>
      <c r="C37" s="172" t="s">
        <v>221</v>
      </c>
      <c r="D37" s="173">
        <v>0.15</v>
      </c>
      <c r="E37" s="172" t="s">
        <v>231</v>
      </c>
      <c r="K37" s="130"/>
    </row>
    <row r="38" spans="2:19" x14ac:dyDescent="0.25">
      <c r="B38" s="146"/>
      <c r="C38" s="172" t="s">
        <v>222</v>
      </c>
      <c r="D38" s="157">
        <v>4.53</v>
      </c>
      <c r="E38" s="172" t="s">
        <v>232</v>
      </c>
      <c r="K38" s="130"/>
    </row>
    <row r="39" spans="2:19" x14ac:dyDescent="0.25">
      <c r="B39" s="146"/>
      <c r="C39" s="172" t="s">
        <v>223</v>
      </c>
      <c r="D39" s="157">
        <v>1.77</v>
      </c>
      <c r="E39" s="172" t="s">
        <v>232</v>
      </c>
      <c r="K39" s="130"/>
    </row>
    <row r="40" spans="2:19" x14ac:dyDescent="0.25">
      <c r="B40" s="146"/>
      <c r="C40" s="172" t="s">
        <v>233</v>
      </c>
      <c r="D40" s="157">
        <v>3.13</v>
      </c>
      <c r="E40" s="172" t="s">
        <v>234</v>
      </c>
      <c r="K40" s="130"/>
    </row>
    <row r="41" spans="2:19" x14ac:dyDescent="0.25">
      <c r="B41" s="146"/>
      <c r="K41" s="130"/>
    </row>
    <row r="42" spans="2:19" ht="15.75" x14ac:dyDescent="0.25">
      <c r="B42" s="148"/>
      <c r="C42" s="149"/>
      <c r="D42" s="149"/>
      <c r="E42" s="149"/>
      <c r="F42" s="149"/>
      <c r="G42" s="149"/>
      <c r="H42" s="149"/>
      <c r="I42" s="149"/>
      <c r="J42" s="149"/>
      <c r="K42" s="150"/>
      <c r="P42" s="181">
        <v>277777777.77778</v>
      </c>
    </row>
    <row r="45" spans="2:19" x14ac:dyDescent="0.25">
      <c r="C45" s="123" t="s">
        <v>258</v>
      </c>
      <c r="N45" s="123" t="s">
        <v>259</v>
      </c>
    </row>
    <row r="46" spans="2:19" x14ac:dyDescent="0.25">
      <c r="C46" s="151" t="s">
        <v>260</v>
      </c>
      <c r="D46" s="125"/>
      <c r="E46" s="125"/>
      <c r="F46" s="125"/>
      <c r="G46" s="125"/>
      <c r="H46" s="125"/>
      <c r="I46" s="125"/>
      <c r="J46" s="125"/>
      <c r="K46" s="126"/>
      <c r="N46" s="182"/>
      <c r="O46" s="182" t="s">
        <v>261</v>
      </c>
      <c r="P46" s="182" t="s">
        <v>116</v>
      </c>
    </row>
    <row r="47" spans="2:19" x14ac:dyDescent="0.25">
      <c r="C47" s="183"/>
      <c r="D47" s="177" t="s">
        <v>251</v>
      </c>
      <c r="E47" s="177" t="s">
        <v>252</v>
      </c>
      <c r="F47" s="177" t="s">
        <v>253</v>
      </c>
      <c r="G47" s="177" t="s">
        <v>254</v>
      </c>
      <c r="K47" s="130"/>
      <c r="N47" s="182" t="s">
        <v>262</v>
      </c>
      <c r="O47" s="184">
        <f>SUM(D48:D64)</f>
        <v>2413339600.237287</v>
      </c>
      <c r="P47" s="185">
        <f>O47/$P$42</f>
        <v>8.6880225608541632</v>
      </c>
    </row>
    <row r="48" spans="2:19" x14ac:dyDescent="0.25">
      <c r="C48" s="186" t="s">
        <v>263</v>
      </c>
      <c r="D48" s="177">
        <v>290958558.63728684</v>
      </c>
      <c r="E48" s="177">
        <v>307300126.21666473</v>
      </c>
      <c r="F48" s="177">
        <v>300404853.85631663</v>
      </c>
      <c r="G48" s="177">
        <v>300811071</v>
      </c>
      <c r="K48" s="130"/>
      <c r="L48" s="123" t="s">
        <v>137</v>
      </c>
      <c r="N48" s="182" t="s">
        <v>264</v>
      </c>
      <c r="O48" s="187">
        <f>SUMIFS($D$48:$D$64,$L$48:$L$64,S48)</f>
        <v>290958558.63728684</v>
      </c>
      <c r="P48" s="185">
        <f>O48/$P$42</f>
        <v>1.0474508110942242</v>
      </c>
      <c r="S48" s="123" t="s">
        <v>137</v>
      </c>
    </row>
    <row r="49" spans="3:19" x14ac:dyDescent="0.25">
      <c r="C49" s="186" t="s">
        <v>265</v>
      </c>
      <c r="D49" s="177">
        <v>942148435</v>
      </c>
      <c r="E49" s="177">
        <v>940526069</v>
      </c>
      <c r="F49" s="177">
        <v>946923701</v>
      </c>
      <c r="G49" s="177">
        <v>912788983</v>
      </c>
      <c r="K49" s="130"/>
      <c r="L49" s="123" t="s">
        <v>266</v>
      </c>
      <c r="N49" s="182" t="s">
        <v>267</v>
      </c>
      <c r="O49" s="187">
        <f>SUMIFS($D$48:$D$64,$L$48:$L$64,S49)</f>
        <v>863035304</v>
      </c>
      <c r="P49" s="185">
        <f>O49/$P$42</f>
        <v>3.1069270943999752</v>
      </c>
      <c r="S49" s="123" t="s">
        <v>267</v>
      </c>
    </row>
    <row r="50" spans="3:19" x14ac:dyDescent="0.25">
      <c r="C50" s="186" t="s">
        <v>268</v>
      </c>
      <c r="D50" s="177">
        <v>58784544</v>
      </c>
      <c r="E50" s="177">
        <v>59558914</v>
      </c>
      <c r="F50" s="177">
        <v>59049206</v>
      </c>
      <c r="G50" s="177">
        <v>58832346</v>
      </c>
      <c r="K50" s="130"/>
      <c r="L50" s="123" t="s">
        <v>266</v>
      </c>
      <c r="N50" s="182" t="s">
        <v>269</v>
      </c>
      <c r="O50" s="187">
        <f>SUMIFS($D$48:$D$64,$L$48:$L$64,S50)</f>
        <v>1259345737.5999999</v>
      </c>
      <c r="P50" s="185">
        <f>O50/$P$42</f>
        <v>4.5336446553599634</v>
      </c>
      <c r="S50" s="123" t="s">
        <v>266</v>
      </c>
    </row>
    <row r="51" spans="3:19" x14ac:dyDescent="0.25">
      <c r="C51" s="186" t="s">
        <v>270</v>
      </c>
      <c r="D51" s="177">
        <v>31486182</v>
      </c>
      <c r="E51" s="177">
        <v>39590433</v>
      </c>
      <c r="F51" s="177">
        <v>37837112</v>
      </c>
      <c r="G51" s="177">
        <v>40365514</v>
      </c>
      <c r="K51" s="130"/>
      <c r="L51" s="123" t="s">
        <v>266</v>
      </c>
    </row>
    <row r="52" spans="3:19" x14ac:dyDescent="0.25">
      <c r="C52" s="186" t="s">
        <v>271</v>
      </c>
      <c r="D52" s="177">
        <v>34320667</v>
      </c>
      <c r="E52" s="177">
        <v>53727308</v>
      </c>
      <c r="F52" s="177">
        <v>50108407</v>
      </c>
      <c r="G52" s="177">
        <v>48374517</v>
      </c>
      <c r="K52" s="130"/>
      <c r="L52" s="123" t="s">
        <v>266</v>
      </c>
    </row>
    <row r="53" spans="3:19" x14ac:dyDescent="0.25">
      <c r="C53" s="186" t="s">
        <v>272</v>
      </c>
      <c r="D53" s="177">
        <v>10363943</v>
      </c>
      <c r="E53" s="177">
        <v>13315404</v>
      </c>
      <c r="F53" s="177">
        <v>13850195</v>
      </c>
      <c r="G53" s="177">
        <v>13388812</v>
      </c>
      <c r="K53" s="130"/>
      <c r="L53" s="123" t="s">
        <v>266</v>
      </c>
    </row>
    <row r="54" spans="3:19" x14ac:dyDescent="0.25">
      <c r="C54" s="186" t="s">
        <v>255</v>
      </c>
      <c r="D54" s="177">
        <v>863035304</v>
      </c>
      <c r="E54" s="177">
        <v>967878764</v>
      </c>
      <c r="F54" s="177">
        <v>929673728</v>
      </c>
      <c r="G54" s="177">
        <v>956038426</v>
      </c>
      <c r="K54" s="130"/>
      <c r="L54" s="123" t="s">
        <v>267</v>
      </c>
    </row>
    <row r="55" spans="3:19" x14ac:dyDescent="0.25">
      <c r="C55" s="186" t="s">
        <v>273</v>
      </c>
      <c r="D55" s="177">
        <v>48766283</v>
      </c>
      <c r="E55" s="177">
        <v>50577412</v>
      </c>
      <c r="F55" s="177">
        <v>48372115</v>
      </c>
      <c r="G55" s="177">
        <v>49344049</v>
      </c>
      <c r="K55" s="130"/>
      <c r="L55" s="123" t="s">
        <v>266</v>
      </c>
    </row>
    <row r="56" spans="3:19" x14ac:dyDescent="0.25">
      <c r="C56" s="186" t="s">
        <v>274</v>
      </c>
      <c r="D56" s="177">
        <v>655170</v>
      </c>
      <c r="E56" s="177">
        <v>1325639</v>
      </c>
      <c r="F56" s="177">
        <v>1266372</v>
      </c>
      <c r="G56" s="177">
        <v>1410950</v>
      </c>
      <c r="K56" s="130"/>
      <c r="L56" s="123" t="s">
        <v>266</v>
      </c>
    </row>
    <row r="57" spans="3:19" x14ac:dyDescent="0.25">
      <c r="C57" s="186" t="s">
        <v>275</v>
      </c>
      <c r="D57" s="177">
        <v>16637826</v>
      </c>
      <c r="E57" s="177">
        <v>15000837</v>
      </c>
      <c r="F57" s="177">
        <v>18411136</v>
      </c>
      <c r="G57" s="177">
        <v>17394938</v>
      </c>
      <c r="K57" s="130"/>
      <c r="L57" s="123" t="s">
        <v>266</v>
      </c>
    </row>
    <row r="58" spans="3:19" x14ac:dyDescent="0.25">
      <c r="C58" s="186" t="s">
        <v>276</v>
      </c>
      <c r="D58" s="177">
        <v>5977601</v>
      </c>
      <c r="E58" s="177">
        <v>10768248</v>
      </c>
      <c r="F58" s="177">
        <v>10013225</v>
      </c>
      <c r="G58" s="177">
        <v>10151367</v>
      </c>
      <c r="K58" s="130"/>
      <c r="L58" s="123" t="s">
        <v>266</v>
      </c>
    </row>
    <row r="59" spans="3:19" x14ac:dyDescent="0.25">
      <c r="C59" s="186" t="s">
        <v>277</v>
      </c>
      <c r="D59" s="177">
        <v>71912357.599999994</v>
      </c>
      <c r="E59" s="177">
        <v>71645252</v>
      </c>
      <c r="F59" s="177">
        <v>74266196</v>
      </c>
      <c r="G59" s="177">
        <v>76749795</v>
      </c>
      <c r="K59" s="130"/>
      <c r="L59" s="123" t="s">
        <v>266</v>
      </c>
    </row>
    <row r="60" spans="3:19" x14ac:dyDescent="0.25">
      <c r="C60" s="186" t="s">
        <v>278</v>
      </c>
      <c r="D60" s="177">
        <v>282526</v>
      </c>
      <c r="E60" s="177">
        <v>376025</v>
      </c>
      <c r="F60" s="177">
        <v>306719</v>
      </c>
      <c r="G60" s="177">
        <v>452546</v>
      </c>
      <c r="K60" s="130"/>
      <c r="L60" s="123" t="s">
        <v>266</v>
      </c>
    </row>
    <row r="61" spans="3:19" x14ac:dyDescent="0.25">
      <c r="C61" s="186" t="s">
        <v>279</v>
      </c>
      <c r="D61" s="177">
        <v>4997806</v>
      </c>
      <c r="E61" s="177">
        <v>5769662</v>
      </c>
      <c r="F61" s="177">
        <v>6194621</v>
      </c>
      <c r="G61" s="177">
        <v>6228754</v>
      </c>
      <c r="K61" s="130"/>
      <c r="L61" s="123" t="s">
        <v>266</v>
      </c>
    </row>
    <row r="62" spans="3:19" x14ac:dyDescent="0.25">
      <c r="C62" s="186" t="s">
        <v>280</v>
      </c>
      <c r="D62" s="177">
        <v>3065886</v>
      </c>
      <c r="E62" s="177">
        <v>3498255</v>
      </c>
      <c r="F62" s="177">
        <v>2528054</v>
      </c>
      <c r="G62" s="177">
        <v>2988641</v>
      </c>
      <c r="K62" s="130"/>
      <c r="L62" s="123" t="s">
        <v>266</v>
      </c>
    </row>
    <row r="63" spans="3:19" x14ac:dyDescent="0.25">
      <c r="C63" s="186" t="s">
        <v>281</v>
      </c>
      <c r="D63" s="177">
        <v>29134952</v>
      </c>
      <c r="E63" s="177">
        <v>28663927</v>
      </c>
      <c r="F63" s="177">
        <v>30973663</v>
      </c>
      <c r="G63" s="177">
        <v>31624878</v>
      </c>
      <c r="K63" s="130"/>
      <c r="L63" s="123" t="s">
        <v>266</v>
      </c>
    </row>
    <row r="64" spans="3:19" x14ac:dyDescent="0.25">
      <c r="C64" s="186" t="s">
        <v>282</v>
      </c>
      <c r="D64" s="177">
        <v>811559</v>
      </c>
      <c r="E64" s="177">
        <v>791226</v>
      </c>
      <c r="F64" s="177">
        <v>691350</v>
      </c>
      <c r="G64" s="177">
        <v>795809</v>
      </c>
      <c r="K64" s="130"/>
      <c r="L64" s="123" t="s">
        <v>266</v>
      </c>
    </row>
    <row r="65" spans="3:11" x14ac:dyDescent="0.25">
      <c r="C65" s="146"/>
      <c r="K65" s="130"/>
    </row>
    <row r="66" spans="3:11" x14ac:dyDescent="0.25">
      <c r="C66" s="146"/>
      <c r="K66" s="130"/>
    </row>
    <row r="67" spans="3:11" x14ac:dyDescent="0.25">
      <c r="C67" s="183"/>
      <c r="D67" s="177" t="s">
        <v>251</v>
      </c>
      <c r="E67" s="177" t="s">
        <v>252</v>
      </c>
      <c r="F67" s="177" t="s">
        <v>253</v>
      </c>
      <c r="G67" s="177" t="s">
        <v>254</v>
      </c>
      <c r="K67" s="130"/>
    </row>
    <row r="68" spans="3:11" x14ac:dyDescent="0.25">
      <c r="C68" s="186" t="s">
        <v>257</v>
      </c>
      <c r="D68" s="177">
        <v>77151379</v>
      </c>
      <c r="E68" s="177">
        <v>70689988</v>
      </c>
      <c r="F68" s="177">
        <v>74940175</v>
      </c>
      <c r="G68" s="177">
        <v>81060692</v>
      </c>
      <c r="K68" s="130"/>
    </row>
    <row r="69" spans="3:11" x14ac:dyDescent="0.25">
      <c r="C69" s="186" t="s">
        <v>283</v>
      </c>
      <c r="D69" s="177">
        <v>40561</v>
      </c>
      <c r="E69" s="177">
        <v>48254</v>
      </c>
      <c r="F69" s="177">
        <v>45347</v>
      </c>
      <c r="G69" s="177">
        <v>45369</v>
      </c>
      <c r="K69" s="130"/>
    </row>
    <row r="70" spans="3:11" x14ac:dyDescent="0.25">
      <c r="C70" s="146"/>
      <c r="K70" s="130"/>
    </row>
    <row r="71" spans="3:11" x14ac:dyDescent="0.25">
      <c r="C71" s="148"/>
      <c r="D71" s="149"/>
      <c r="E71" s="149"/>
      <c r="F71" s="149"/>
      <c r="G71" s="149"/>
      <c r="H71" s="149"/>
      <c r="I71" s="149"/>
      <c r="J71" s="149"/>
      <c r="K71" s="150"/>
    </row>
  </sheetData>
  <mergeCells count="10">
    <mergeCell ref="G30:H30"/>
    <mergeCell ref="I30:K30"/>
    <mergeCell ref="G31:H31"/>
    <mergeCell ref="I31:K31"/>
    <mergeCell ref="C26:I26"/>
    <mergeCell ref="C27:K27"/>
    <mergeCell ref="G28:H28"/>
    <mergeCell ref="I28:K28"/>
    <mergeCell ref="G29:H29"/>
    <mergeCell ref="I29:K29"/>
  </mergeCells>
  <dataValidations count="1">
    <dataValidation type="list" allowBlank="1" showInputMessage="1" sqref="D11:G11 D47:G47 D67:G67" xr:uid="{9BFA345B-410F-46B4-A7A4-63F330269537}">
      <formula1>"..."</formula1>
    </dataValidation>
  </dataValidations>
  <pageMargins left="0.7" right="0.7" top="0.75" bottom="0.75" header="0.3" footer="0.3"/>
  <pageSetup orientation="portrait" horizontalDpi="1200" verticalDpi="1200"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178350-17D8-4D5F-86C2-D2FB3973A594}">
  <sheetPr codeName="Sheet24"/>
  <dimension ref="C5:G17"/>
  <sheetViews>
    <sheetView workbookViewId="0"/>
  </sheetViews>
  <sheetFormatPr defaultColWidth="8.85546875" defaultRowHeight="15" x14ac:dyDescent="0.25"/>
  <cols>
    <col min="1" max="16384" width="8.85546875" style="123"/>
  </cols>
  <sheetData>
    <row r="5" spans="3:7" x14ac:dyDescent="0.25">
      <c r="C5" s="332" t="s">
        <v>284</v>
      </c>
      <c r="D5" s="332"/>
      <c r="E5" s="332"/>
      <c r="F5" s="332"/>
      <c r="G5" s="332"/>
    </row>
    <row r="6" spans="3:7" x14ac:dyDescent="0.25">
      <c r="C6" s="174" t="s">
        <v>285</v>
      </c>
      <c r="D6" s="174" t="s">
        <v>286</v>
      </c>
      <c r="E6" s="174" t="s">
        <v>221</v>
      </c>
      <c r="F6" s="174" t="s">
        <v>222</v>
      </c>
      <c r="G6" s="174" t="s">
        <v>223</v>
      </c>
    </row>
    <row r="7" spans="3:7" x14ac:dyDescent="0.25">
      <c r="C7" s="174" t="s">
        <v>287</v>
      </c>
      <c r="D7" s="175">
        <v>0.82912844036697242</v>
      </c>
      <c r="E7" s="175">
        <v>0.99823321554770317</v>
      </c>
      <c r="F7" s="175">
        <v>0.71343283582089556</v>
      </c>
      <c r="G7" s="175">
        <v>0.33969465648854968</v>
      </c>
    </row>
    <row r="8" spans="3:7" x14ac:dyDescent="0.25">
      <c r="C8" s="174" t="s">
        <v>288</v>
      </c>
      <c r="D8" s="188" t="s">
        <v>225</v>
      </c>
      <c r="E8" s="188" t="s">
        <v>225</v>
      </c>
      <c r="F8" s="175">
        <v>0.25223880597014925</v>
      </c>
      <c r="G8" s="175">
        <v>0.6412213740458016</v>
      </c>
    </row>
    <row r="9" spans="3:7" x14ac:dyDescent="0.25">
      <c r="C9" s="174" t="s">
        <v>289</v>
      </c>
      <c r="D9" s="175">
        <v>0.1708715596330275</v>
      </c>
      <c r="E9" s="188" t="s">
        <v>225</v>
      </c>
      <c r="F9" s="175">
        <v>2.9850746268656717E-3</v>
      </c>
      <c r="G9" s="175">
        <v>1.9083969465648859E-2</v>
      </c>
    </row>
    <row r="10" spans="3:7" x14ac:dyDescent="0.25">
      <c r="C10" s="174" t="s">
        <v>290</v>
      </c>
      <c r="D10" s="188" t="s">
        <v>225</v>
      </c>
      <c r="E10" s="175">
        <v>1.7667844522968198E-3</v>
      </c>
      <c r="F10" s="175">
        <v>3.134328358208955E-2</v>
      </c>
      <c r="G10" s="188" t="s">
        <v>225</v>
      </c>
    </row>
    <row r="11" spans="3:7" x14ac:dyDescent="0.25">
      <c r="C11" s="189"/>
      <c r="D11" s="189"/>
      <c r="E11" s="189"/>
      <c r="F11" s="189"/>
      <c r="G11" s="189"/>
    </row>
    <row r="12" spans="3:7" x14ac:dyDescent="0.25">
      <c r="C12" s="332" t="s">
        <v>291</v>
      </c>
      <c r="D12" s="332"/>
      <c r="E12" s="332"/>
      <c r="F12" s="189"/>
      <c r="G12" s="189"/>
    </row>
    <row r="13" spans="3:7" x14ac:dyDescent="0.25">
      <c r="C13" s="174"/>
      <c r="D13" s="174" t="s">
        <v>229</v>
      </c>
      <c r="E13" s="174" t="s">
        <v>43</v>
      </c>
      <c r="F13" s="189"/>
      <c r="G13" s="189"/>
    </row>
    <row r="14" spans="3:7" x14ac:dyDescent="0.25">
      <c r="C14" s="174" t="s">
        <v>220</v>
      </c>
      <c r="D14" s="174">
        <v>0.3</v>
      </c>
      <c r="E14" s="174" t="s">
        <v>230</v>
      </c>
      <c r="F14" s="189"/>
      <c r="G14" s="189"/>
    </row>
    <row r="15" spans="3:7" x14ac:dyDescent="0.25">
      <c r="C15" s="174" t="s">
        <v>221</v>
      </c>
      <c r="D15" s="174">
        <v>0.15</v>
      </c>
      <c r="E15" s="174" t="s">
        <v>231</v>
      </c>
      <c r="F15" s="189"/>
      <c r="G15" s="189"/>
    </row>
    <row r="16" spans="3:7" x14ac:dyDescent="0.25">
      <c r="C16" s="174" t="s">
        <v>222</v>
      </c>
      <c r="D16" s="174">
        <v>4.53</v>
      </c>
      <c r="E16" s="174" t="s">
        <v>232</v>
      </c>
      <c r="F16" s="189"/>
      <c r="G16" s="189"/>
    </row>
    <row r="17" spans="3:7" x14ac:dyDescent="0.25">
      <c r="C17" s="174" t="s">
        <v>223</v>
      </c>
      <c r="D17" s="174">
        <v>1.77</v>
      </c>
      <c r="E17" s="174" t="s">
        <v>232</v>
      </c>
      <c r="F17" s="189"/>
      <c r="G17" s="189"/>
    </row>
  </sheetData>
  <mergeCells count="2">
    <mergeCell ref="C5:G5"/>
    <mergeCell ref="C12:E12"/>
  </mergeCells>
  <pageMargins left="0.7" right="0.7" top="0.75" bottom="0.75" header="0.3" footer="0.3"/>
  <drawing r:id="rId1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885DD5-56F9-4503-BCD2-E8D533BF5B91}">
  <sheetPr codeName="Sheet25"/>
  <dimension ref="A1:AC65"/>
  <sheetViews>
    <sheetView workbookViewId="0"/>
  </sheetViews>
  <sheetFormatPr defaultColWidth="8.85546875" defaultRowHeight="15" x14ac:dyDescent="0.25"/>
  <cols>
    <col min="1" max="16384" width="8.85546875" style="123"/>
  </cols>
  <sheetData>
    <row r="1" spans="1:27" x14ac:dyDescent="0.25">
      <c r="A1" s="123" t="s">
        <v>292</v>
      </c>
      <c r="C1" s="123" t="s">
        <v>293</v>
      </c>
    </row>
    <row r="15" spans="1:27" x14ac:dyDescent="0.25">
      <c r="AA15" s="123" t="s">
        <v>294</v>
      </c>
    </row>
    <row r="16" spans="1:27" x14ac:dyDescent="0.25">
      <c r="V16" s="122" t="s">
        <v>295</v>
      </c>
      <c r="W16" s="122" t="s">
        <v>296</v>
      </c>
      <c r="X16" s="122"/>
      <c r="Y16" s="122" t="s">
        <v>297</v>
      </c>
    </row>
    <row r="17" spans="21:27" x14ac:dyDescent="0.25">
      <c r="U17" s="122" t="s">
        <v>298</v>
      </c>
      <c r="V17" s="190">
        <v>0.372</v>
      </c>
      <c r="W17" s="190">
        <f>1-V17</f>
        <v>0.628</v>
      </c>
      <c r="Y17" s="123">
        <v>255</v>
      </c>
      <c r="AA17" s="123">
        <f>Y17*W17</f>
        <v>160.14000000000001</v>
      </c>
    </row>
    <row r="18" spans="21:27" x14ac:dyDescent="0.25">
      <c r="U18" s="122" t="s">
        <v>299</v>
      </c>
      <c r="V18" s="191">
        <v>0.29099999999999998</v>
      </c>
      <c r="W18" s="190">
        <f>1-V18</f>
        <v>0.70900000000000007</v>
      </c>
      <c r="Y18" s="123">
        <v>168</v>
      </c>
      <c r="AA18" s="123">
        <f>Y18*W18</f>
        <v>119.11200000000001</v>
      </c>
    </row>
    <row r="19" spans="21:27" x14ac:dyDescent="0.25">
      <c r="U19" s="122" t="s">
        <v>215</v>
      </c>
      <c r="V19" s="191">
        <v>7.9000000000000001E-2</v>
      </c>
      <c r="W19" s="190">
        <f>1-V19</f>
        <v>0.92100000000000004</v>
      </c>
      <c r="Y19" s="123">
        <v>226</v>
      </c>
      <c r="AA19" s="123">
        <f>Y19*W19</f>
        <v>208.14600000000002</v>
      </c>
    </row>
    <row r="20" spans="21:27" x14ac:dyDescent="0.25">
      <c r="U20" s="122" t="s">
        <v>300</v>
      </c>
      <c r="V20" s="191">
        <v>0.23599999999999999</v>
      </c>
      <c r="W20" s="190">
        <f>1-V20</f>
        <v>0.76400000000000001</v>
      </c>
      <c r="Y20" s="192">
        <f>AVERAGE(Y17:Y19)</f>
        <v>216.33333333333334</v>
      </c>
      <c r="Z20" s="123" t="s">
        <v>301</v>
      </c>
      <c r="AA20" s="123">
        <f>Y20*W20</f>
        <v>165.27866666666668</v>
      </c>
    </row>
    <row r="22" spans="21:27" x14ac:dyDescent="0.25">
      <c r="Y22" s="123">
        <f>AVERAGE(Y17:Y20)</f>
        <v>216.33333333333334</v>
      </c>
      <c r="AA22" s="123">
        <f>AVERAGE(AA17:AA20)</f>
        <v>163.16916666666668</v>
      </c>
    </row>
    <row r="57" spans="21:29" x14ac:dyDescent="0.25">
      <c r="W57" s="193"/>
      <c r="X57" s="193"/>
      <c r="Y57" s="193"/>
      <c r="Z57" s="193"/>
      <c r="AA57" s="193"/>
    </row>
    <row r="58" spans="21:29" x14ac:dyDescent="0.25">
      <c r="V58" s="123" t="s">
        <v>302</v>
      </c>
      <c r="W58" s="123" t="s">
        <v>303</v>
      </c>
      <c r="X58" s="123" t="s">
        <v>304</v>
      </c>
      <c r="Y58" s="123" t="s">
        <v>305</v>
      </c>
      <c r="Z58" s="123" t="s">
        <v>192</v>
      </c>
      <c r="AA58" s="123" t="s">
        <v>306</v>
      </c>
    </row>
    <row r="59" spans="21:29" x14ac:dyDescent="0.25">
      <c r="U59" s="122" t="s">
        <v>307</v>
      </c>
      <c r="V59" s="122">
        <v>90.13</v>
      </c>
      <c r="W59" s="122">
        <v>163.5</v>
      </c>
      <c r="X59" s="122">
        <v>102.8</v>
      </c>
      <c r="Y59" s="122">
        <v>19.47</v>
      </c>
      <c r="Z59" s="122">
        <v>5</v>
      </c>
      <c r="AA59" s="122">
        <f>SUM(W59:Z59)</f>
        <v>290.77</v>
      </c>
    </row>
    <row r="60" spans="21:29" x14ac:dyDescent="0.25">
      <c r="U60" s="123" t="s">
        <v>308</v>
      </c>
      <c r="V60" s="123">
        <v>2</v>
      </c>
      <c r="W60" s="123">
        <v>2.7759999999999998</v>
      </c>
      <c r="X60" s="123">
        <v>2.3149999999999999</v>
      </c>
      <c r="Y60" s="123">
        <v>0.25</v>
      </c>
      <c r="AA60" s="123">
        <f>SUM(W60:Z60)</f>
        <v>5.3409999999999993</v>
      </c>
    </row>
    <row r="61" spans="21:29" x14ac:dyDescent="0.25">
      <c r="U61" s="123" t="s">
        <v>309</v>
      </c>
      <c r="V61" s="123">
        <v>1</v>
      </c>
      <c r="W61" s="123">
        <v>3.919</v>
      </c>
      <c r="X61" s="123">
        <v>13.17</v>
      </c>
      <c r="AA61" s="123">
        <f>SUM(W61:Z61)</f>
        <v>17.088999999999999</v>
      </c>
    </row>
    <row r="62" spans="21:29" x14ac:dyDescent="0.25">
      <c r="U62" s="123" t="s">
        <v>310</v>
      </c>
      <c r="V62" s="123">
        <v>4.7320000000000002</v>
      </c>
      <c r="W62" s="123">
        <v>0.6</v>
      </c>
      <c r="X62" s="123">
        <v>7.327</v>
      </c>
      <c r="Z62" s="123">
        <v>0.58199999999999996</v>
      </c>
      <c r="AA62" s="123">
        <f>SUM(W62:Z62)</f>
        <v>8.5090000000000003</v>
      </c>
    </row>
    <row r="64" spans="21:29" x14ac:dyDescent="0.25">
      <c r="U64" s="122" t="s">
        <v>311</v>
      </c>
      <c r="V64" s="122">
        <f t="shared" ref="V64:AA64" si="0">V59-SUM(V60:V62)</f>
        <v>82.397999999999996</v>
      </c>
      <c r="W64" s="122">
        <f>W59-SUM(W60:W62)</f>
        <v>156.20500000000001</v>
      </c>
      <c r="X64" s="122">
        <f t="shared" si="0"/>
        <v>79.988</v>
      </c>
      <c r="Y64" s="122">
        <f t="shared" si="0"/>
        <v>19.22</v>
      </c>
      <c r="Z64" s="122">
        <f t="shared" si="0"/>
        <v>4.4180000000000001</v>
      </c>
      <c r="AA64" s="122">
        <f t="shared" si="0"/>
        <v>259.83099999999996</v>
      </c>
      <c r="AC64" s="194">
        <f>AA64/AA59</f>
        <v>0.89359631323726652</v>
      </c>
    </row>
    <row r="65" spans="21:27" x14ac:dyDescent="0.25">
      <c r="U65" s="122"/>
      <c r="V65" s="122"/>
      <c r="W65" s="195">
        <f>W64/$AA$64</f>
        <v>0.60117922803668555</v>
      </c>
      <c r="X65" s="195">
        <f>X64/$AA$64</f>
        <v>0.30784625391119619</v>
      </c>
      <c r="Y65" s="195">
        <f>Y64/$AA$64</f>
        <v>7.3971158175891255E-2</v>
      </c>
      <c r="Z65" s="195">
        <f>Z64/$AA$64</f>
        <v>1.7003359876227243E-2</v>
      </c>
      <c r="AA65" s="122"/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941959-FA8C-460D-8273-6BE90A393496}">
  <sheetPr codeName="Sheet26"/>
  <dimension ref="D3:P11"/>
  <sheetViews>
    <sheetView workbookViewId="0"/>
  </sheetViews>
  <sheetFormatPr defaultRowHeight="12.75" x14ac:dyDescent="0.2"/>
  <cols>
    <col min="5" max="5" width="13.140625" customWidth="1"/>
  </cols>
  <sheetData>
    <row r="3" spans="4:16" x14ac:dyDescent="0.2">
      <c r="F3">
        <v>12.9</v>
      </c>
      <c r="G3" t="s">
        <v>540</v>
      </c>
    </row>
    <row r="7" spans="4:16" x14ac:dyDescent="0.2">
      <c r="D7" t="s">
        <v>178</v>
      </c>
      <c r="E7" t="s">
        <v>333</v>
      </c>
      <c r="G7">
        <v>38.2376</v>
      </c>
      <c r="H7">
        <v>43.173499999999997</v>
      </c>
      <c r="I7">
        <v>36.427999999999997</v>
      </c>
      <c r="J7">
        <v>44.294600000000003</v>
      </c>
      <c r="K7">
        <v>48.563400000000001</v>
      </c>
    </row>
    <row r="8" spans="4:16" x14ac:dyDescent="0.2">
      <c r="D8" t="s">
        <v>538</v>
      </c>
      <c r="E8" t="s">
        <v>333</v>
      </c>
      <c r="N8">
        <v>114.2076</v>
      </c>
      <c r="O8">
        <v>116.9778</v>
      </c>
      <c r="P8">
        <v>115.4318</v>
      </c>
    </row>
    <row r="10" spans="4:16" x14ac:dyDescent="0.2">
      <c r="E10" t="s">
        <v>541</v>
      </c>
      <c r="G10">
        <f>G7/$F$3</f>
        <v>2.96415503875969</v>
      </c>
      <c r="H10">
        <f t="shared" ref="H10:O10" si="0">H7/$F$3</f>
        <v>3.3467829457364338</v>
      </c>
      <c r="I10">
        <f t="shared" si="0"/>
        <v>2.8238759689922479</v>
      </c>
      <c r="J10">
        <f t="shared" si="0"/>
        <v>3.4336899224806201</v>
      </c>
      <c r="K10">
        <f t="shared" si="0"/>
        <v>3.7646046511627906</v>
      </c>
      <c r="L10">
        <f t="shared" si="0"/>
        <v>0</v>
      </c>
      <c r="M10">
        <f t="shared" si="0"/>
        <v>0</v>
      </c>
      <c r="N10">
        <f t="shared" si="0"/>
        <v>0</v>
      </c>
      <c r="O10">
        <f t="shared" si="0"/>
        <v>0</v>
      </c>
      <c r="P10">
        <f>P8/$F$3</f>
        <v>8.948201550387596</v>
      </c>
    </row>
    <row r="11" spans="4:16" x14ac:dyDescent="0.2">
      <c r="E11" t="s">
        <v>539</v>
      </c>
      <c r="G11">
        <f>G10*29</f>
        <v>85.96049612403101</v>
      </c>
      <c r="H11">
        <f t="shared" ref="H11:P11" si="1">H10*29</f>
        <v>97.056705426356572</v>
      </c>
      <c r="I11">
        <f t="shared" si="1"/>
        <v>81.892403100775184</v>
      </c>
      <c r="J11">
        <f t="shared" si="1"/>
        <v>99.577007751937984</v>
      </c>
      <c r="K11">
        <f t="shared" si="1"/>
        <v>109.17353488372093</v>
      </c>
      <c r="L11">
        <f t="shared" si="1"/>
        <v>0</v>
      </c>
      <c r="M11">
        <f t="shared" si="1"/>
        <v>0</v>
      </c>
      <c r="N11">
        <f t="shared" si="1"/>
        <v>0</v>
      </c>
      <c r="O11">
        <f t="shared" si="1"/>
        <v>0</v>
      </c>
      <c r="P11">
        <f t="shared" si="1"/>
        <v>259.49784496124028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9EC88E-DC5C-4582-A0BA-246715114C7C}">
  <sheetPr codeName="Sheet27"/>
  <dimension ref="B2:P110"/>
  <sheetViews>
    <sheetView workbookViewId="0"/>
  </sheetViews>
  <sheetFormatPr defaultRowHeight="12.75" x14ac:dyDescent="0.2"/>
  <cols>
    <col min="5" max="5" width="27.7109375" customWidth="1"/>
    <col min="6" max="6" width="26.140625" customWidth="1"/>
    <col min="7" max="7" width="24.28515625" customWidth="1"/>
    <col min="11" max="11" width="13.85546875" customWidth="1"/>
    <col min="12" max="13" width="8.85546875" customWidth="1"/>
    <col min="14" max="14" width="12.5703125" bestFit="1" customWidth="1"/>
    <col min="15" max="15" width="32" customWidth="1"/>
    <col min="16" max="16" width="21.28515625" customWidth="1"/>
    <col min="17" max="17" width="50.42578125" customWidth="1"/>
  </cols>
  <sheetData>
    <row r="2" spans="2:14" x14ac:dyDescent="0.2">
      <c r="B2" s="252" t="s">
        <v>456</v>
      </c>
    </row>
    <row r="9" spans="2:14" x14ac:dyDescent="0.2">
      <c r="M9" s="67" t="s">
        <v>515</v>
      </c>
    </row>
    <row r="10" spans="2:14" x14ac:dyDescent="0.2">
      <c r="L10" s="67" t="s">
        <v>507</v>
      </c>
      <c r="M10">
        <v>28.349</v>
      </c>
    </row>
    <row r="11" spans="2:14" x14ac:dyDescent="0.2">
      <c r="L11" s="67" t="s">
        <v>508</v>
      </c>
      <c r="M11">
        <v>31.103999999999999</v>
      </c>
    </row>
    <row r="15" spans="2:14" x14ac:dyDescent="0.2">
      <c r="N15" s="67"/>
    </row>
    <row r="20" spans="5:16" ht="15" x14ac:dyDescent="0.2">
      <c r="E20" s="254"/>
      <c r="F20" s="255" t="s">
        <v>475</v>
      </c>
      <c r="G20" s="255" t="s">
        <v>476</v>
      </c>
    </row>
    <row r="21" spans="5:16" ht="15" x14ac:dyDescent="0.2">
      <c r="E21" s="256" t="s">
        <v>477</v>
      </c>
      <c r="F21" s="257" t="s">
        <v>478</v>
      </c>
      <c r="G21" s="257" t="s">
        <v>479</v>
      </c>
      <c r="N21" s="67" t="s">
        <v>506</v>
      </c>
    </row>
    <row r="22" spans="5:16" ht="15" x14ac:dyDescent="0.2">
      <c r="E22" s="256" t="s">
        <v>480</v>
      </c>
      <c r="F22" s="258" t="s">
        <v>481</v>
      </c>
      <c r="G22" s="258" t="s">
        <v>482</v>
      </c>
      <c r="J22" s="67" t="s">
        <v>500</v>
      </c>
      <c r="L22">
        <v>19.5</v>
      </c>
      <c r="M22" s="67" t="s">
        <v>501</v>
      </c>
      <c r="N22" s="70">
        <f>L22*1000000*$M$10/1000000</f>
        <v>552.80550000000005</v>
      </c>
      <c r="O22" s="67" t="s">
        <v>203</v>
      </c>
    </row>
    <row r="23" spans="5:16" ht="15" x14ac:dyDescent="0.2">
      <c r="E23" s="256" t="s">
        <v>483</v>
      </c>
      <c r="F23" s="259" t="s">
        <v>484</v>
      </c>
      <c r="G23" s="257" t="s">
        <v>485</v>
      </c>
      <c r="J23" s="67" t="s">
        <v>504</v>
      </c>
      <c r="L23">
        <v>420000</v>
      </c>
      <c r="M23" s="67" t="s">
        <v>505</v>
      </c>
      <c r="N23" s="70">
        <f>L23*$M$10/1000000</f>
        <v>11.90658</v>
      </c>
      <c r="O23" s="67" t="s">
        <v>520</v>
      </c>
    </row>
    <row r="24" spans="5:16" ht="15" x14ac:dyDescent="0.2">
      <c r="E24" s="256" t="s">
        <v>486</v>
      </c>
      <c r="F24" s="257" t="s">
        <v>487</v>
      </c>
      <c r="G24" s="257" t="s">
        <v>488</v>
      </c>
      <c r="J24" s="67" t="s">
        <v>502</v>
      </c>
      <c r="L24">
        <v>45</v>
      </c>
      <c r="M24" s="67" t="s">
        <v>503</v>
      </c>
    </row>
    <row r="25" spans="5:16" ht="15" x14ac:dyDescent="0.2">
      <c r="E25" s="256" t="s">
        <v>489</v>
      </c>
      <c r="F25" s="258" t="s">
        <v>490</v>
      </c>
      <c r="G25" s="258" t="s">
        <v>491</v>
      </c>
      <c r="J25" s="264" t="s">
        <v>464</v>
      </c>
      <c r="K25" s="265"/>
      <c r="L25" s="265">
        <f>L45</f>
        <v>1104</v>
      </c>
      <c r="M25" s="264" t="s">
        <v>513</v>
      </c>
      <c r="N25" s="272">
        <f>L25/N23</f>
        <v>92.721839520668411</v>
      </c>
      <c r="O25" s="264" t="s">
        <v>514</v>
      </c>
    </row>
    <row r="26" spans="5:16" ht="15" x14ac:dyDescent="0.2">
      <c r="E26" s="256" t="s">
        <v>492</v>
      </c>
      <c r="F26" s="257" t="s">
        <v>493</v>
      </c>
      <c r="G26" s="257" t="s">
        <v>494</v>
      </c>
      <c r="J26" s="264" t="s">
        <v>527</v>
      </c>
      <c r="K26" s="265"/>
      <c r="L26" s="265"/>
      <c r="M26" s="264"/>
      <c r="N26" s="272">
        <f>(L58/M10)</f>
        <v>17.178736463367315</v>
      </c>
      <c r="O26" s="264" t="s">
        <v>528</v>
      </c>
      <c r="P26" s="67"/>
    </row>
    <row r="27" spans="5:16" ht="30" x14ac:dyDescent="0.2">
      <c r="E27" s="256" t="s">
        <v>495</v>
      </c>
      <c r="F27" s="258" t="s">
        <v>496</v>
      </c>
      <c r="G27" s="258" t="s">
        <v>497</v>
      </c>
    </row>
    <row r="28" spans="5:16" ht="31.5" x14ac:dyDescent="0.2">
      <c r="E28" s="260" t="s">
        <v>498</v>
      </c>
      <c r="F28" s="261">
        <v>216.57</v>
      </c>
      <c r="G28" s="262" t="s">
        <v>499</v>
      </c>
      <c r="N28" s="266"/>
      <c r="O28" s="67"/>
    </row>
    <row r="29" spans="5:16" x14ac:dyDescent="0.2">
      <c r="O29" s="67"/>
    </row>
    <row r="35" spans="10:15" ht="15.75" x14ac:dyDescent="0.25">
      <c r="K35" s="253" t="s">
        <v>464</v>
      </c>
    </row>
    <row r="36" spans="10:15" x14ac:dyDescent="0.2">
      <c r="J36" s="67"/>
    </row>
    <row r="37" spans="10:15" x14ac:dyDescent="0.2">
      <c r="L37" s="67" t="s">
        <v>459</v>
      </c>
    </row>
    <row r="38" spans="10:15" x14ac:dyDescent="0.2">
      <c r="K38" s="67" t="s">
        <v>457</v>
      </c>
      <c r="L38" s="1">
        <v>406</v>
      </c>
    </row>
    <row r="39" spans="10:15" x14ac:dyDescent="0.2">
      <c r="K39" s="67" t="s">
        <v>458</v>
      </c>
      <c r="L39" s="1">
        <v>172</v>
      </c>
    </row>
    <row r="40" spans="10:15" x14ac:dyDescent="0.2">
      <c r="K40" s="67" t="s">
        <v>460</v>
      </c>
      <c r="L40" s="1">
        <f>SUM(M41:M43)</f>
        <v>143</v>
      </c>
    </row>
    <row r="41" spans="10:15" x14ac:dyDescent="0.2">
      <c r="M41">
        <v>45</v>
      </c>
      <c r="N41" s="268" t="s">
        <v>461</v>
      </c>
    </row>
    <row r="42" spans="10:15" x14ac:dyDescent="0.2">
      <c r="M42">
        <v>82</v>
      </c>
      <c r="N42" s="268" t="s">
        <v>462</v>
      </c>
    </row>
    <row r="43" spans="10:15" x14ac:dyDescent="0.2">
      <c r="M43">
        <v>16</v>
      </c>
      <c r="N43" s="268" t="s">
        <v>463</v>
      </c>
    </row>
    <row r="45" spans="10:15" x14ac:dyDescent="0.2">
      <c r="K45" s="263" t="s">
        <v>512</v>
      </c>
      <c r="L45" s="1">
        <v>1104</v>
      </c>
      <c r="N45" s="70"/>
      <c r="O45" s="67"/>
    </row>
    <row r="56" spans="11:14" ht="15.75" x14ac:dyDescent="0.25">
      <c r="K56" s="253" t="s">
        <v>465</v>
      </c>
    </row>
    <row r="57" spans="11:14" x14ac:dyDescent="0.2">
      <c r="L57" s="1" t="s">
        <v>474</v>
      </c>
    </row>
    <row r="58" spans="11:14" x14ac:dyDescent="0.2">
      <c r="K58" s="67" t="s">
        <v>466</v>
      </c>
      <c r="L58">
        <v>487</v>
      </c>
    </row>
    <row r="59" spans="11:14" x14ac:dyDescent="0.2">
      <c r="K59" s="67" t="s">
        <v>467</v>
      </c>
      <c r="L59">
        <v>302</v>
      </c>
      <c r="N59" s="67" t="s">
        <v>509</v>
      </c>
    </row>
    <row r="60" spans="11:14" x14ac:dyDescent="0.2">
      <c r="K60" s="67" t="s">
        <v>469</v>
      </c>
      <c r="L60">
        <v>88</v>
      </c>
    </row>
    <row r="61" spans="11:14" x14ac:dyDescent="0.2">
      <c r="K61" s="67" t="s">
        <v>468</v>
      </c>
      <c r="L61">
        <v>-236</v>
      </c>
    </row>
    <row r="63" spans="11:14" x14ac:dyDescent="0.2">
      <c r="K63" s="67" t="s">
        <v>470</v>
      </c>
      <c r="L63">
        <v>94</v>
      </c>
    </row>
    <row r="64" spans="11:14" x14ac:dyDescent="0.2">
      <c r="K64" s="67" t="s">
        <v>471</v>
      </c>
      <c r="L64">
        <v>34</v>
      </c>
    </row>
    <row r="66" spans="11:13" x14ac:dyDescent="0.2">
      <c r="K66" s="1" t="s">
        <v>472</v>
      </c>
      <c r="L66" s="1">
        <f>SUM(L58:L64)</f>
        <v>769</v>
      </c>
      <c r="M66" s="67" t="s">
        <v>516</v>
      </c>
    </row>
    <row r="67" spans="11:13" x14ac:dyDescent="0.2">
      <c r="K67" s="67" t="s">
        <v>473</v>
      </c>
      <c r="L67">
        <f>L66-L59</f>
        <v>467</v>
      </c>
    </row>
    <row r="82" spans="2:15" x14ac:dyDescent="0.2">
      <c r="B82" s="67"/>
      <c r="C82" s="67" t="s">
        <v>220</v>
      </c>
    </row>
    <row r="83" spans="2:15" x14ac:dyDescent="0.2">
      <c r="B83" s="67"/>
      <c r="C83" s="67" t="s">
        <v>318</v>
      </c>
    </row>
    <row r="84" spans="2:15" x14ac:dyDescent="0.2">
      <c r="C84" s="67" t="s">
        <v>222</v>
      </c>
    </row>
    <row r="85" spans="2:15" x14ac:dyDescent="0.2">
      <c r="C85" s="67" t="s">
        <v>223</v>
      </c>
    </row>
    <row r="92" spans="2:15" x14ac:dyDescent="0.2">
      <c r="N92" s="67" t="s">
        <v>511</v>
      </c>
      <c r="O92" s="67" t="s">
        <v>510</v>
      </c>
    </row>
    <row r="93" spans="2:15" x14ac:dyDescent="0.2">
      <c r="M93">
        <v>2020</v>
      </c>
      <c r="O93">
        <v>-30</v>
      </c>
    </row>
    <row r="94" spans="2:15" x14ac:dyDescent="0.2">
      <c r="M94">
        <v>2021</v>
      </c>
      <c r="O94">
        <v>-60</v>
      </c>
    </row>
    <row r="95" spans="2:15" x14ac:dyDescent="0.2">
      <c r="M95">
        <v>2022</v>
      </c>
      <c r="O95">
        <v>-200</v>
      </c>
    </row>
    <row r="96" spans="2:15" x14ac:dyDescent="0.2">
      <c r="M96">
        <v>2023</v>
      </c>
      <c r="O96">
        <v>-290</v>
      </c>
    </row>
    <row r="97" spans="13:16" x14ac:dyDescent="0.2">
      <c r="M97">
        <v>2024</v>
      </c>
      <c r="N97">
        <v>-75</v>
      </c>
      <c r="O97">
        <v>-200</v>
      </c>
    </row>
    <row r="98" spans="13:16" x14ac:dyDescent="0.2">
      <c r="M98">
        <v>2025</v>
      </c>
      <c r="N98">
        <v>-75</v>
      </c>
      <c r="O98">
        <v>-300</v>
      </c>
    </row>
    <row r="99" spans="13:16" x14ac:dyDescent="0.2">
      <c r="O99" s="1">
        <f>SUM(O93:O98)</f>
        <v>-1080</v>
      </c>
    </row>
    <row r="103" spans="13:16" x14ac:dyDescent="0.2">
      <c r="N103" s="67" t="s">
        <v>526</v>
      </c>
      <c r="O103" s="67" t="s">
        <v>510</v>
      </c>
    </row>
    <row r="104" spans="13:16" x14ac:dyDescent="0.2">
      <c r="M104">
        <v>2020</v>
      </c>
      <c r="N104">
        <v>-90</v>
      </c>
      <c r="O104">
        <v>-130</v>
      </c>
      <c r="P104">
        <v>-100</v>
      </c>
    </row>
    <row r="105" spans="13:16" x14ac:dyDescent="0.2">
      <c r="M105">
        <v>2021</v>
      </c>
    </row>
    <row r="106" spans="13:16" x14ac:dyDescent="0.2">
      <c r="M106">
        <v>2022</v>
      </c>
    </row>
    <row r="107" spans="13:16" x14ac:dyDescent="0.2">
      <c r="M107">
        <v>2023</v>
      </c>
    </row>
    <row r="108" spans="13:16" x14ac:dyDescent="0.2">
      <c r="M108">
        <v>2024</v>
      </c>
    </row>
    <row r="109" spans="13:16" x14ac:dyDescent="0.2">
      <c r="M109">
        <v>2025</v>
      </c>
    </row>
    <row r="110" spans="13:16" x14ac:dyDescent="0.2">
      <c r="O110" s="1"/>
    </row>
  </sheetData>
  <hyperlinks>
    <hyperlink ref="B2" r:id="rId1" xr:uid="{E909C7CF-E6CF-40F6-B858-C6597822A107}"/>
  </hyperlinks>
  <pageMargins left="0.7" right="0.7" top="0.75" bottom="0.75" header="0.3" footer="0.3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51742D-B968-4513-838F-39D28A598FDE}">
  <sheetPr codeName="Sheet32"/>
  <dimension ref="B3:AH187"/>
  <sheetViews>
    <sheetView workbookViewId="0"/>
  </sheetViews>
  <sheetFormatPr defaultColWidth="8.85546875" defaultRowHeight="15" x14ac:dyDescent="0.25"/>
  <cols>
    <col min="1" max="1" width="8.85546875" style="123"/>
    <col min="2" max="2" width="15.85546875" style="123" customWidth="1"/>
    <col min="3" max="3" width="11.5703125" style="123" bestFit="1" customWidth="1"/>
    <col min="4" max="4" width="8.85546875" style="123"/>
    <col min="5" max="6" width="14.28515625" style="123" bestFit="1" customWidth="1"/>
    <col min="7" max="7" width="8.85546875" style="123"/>
    <col min="8" max="8" width="18.5703125" style="123" customWidth="1"/>
    <col min="9" max="14" width="8.85546875" style="123"/>
    <col min="15" max="15" width="10.5703125" style="123" bestFit="1" customWidth="1"/>
    <col min="16" max="23" width="8.85546875" style="123"/>
    <col min="24" max="24" width="11.5703125" style="123" bestFit="1" customWidth="1"/>
    <col min="25" max="16384" width="8.85546875" style="123"/>
  </cols>
  <sheetData>
    <row r="3" spans="2:33" x14ac:dyDescent="0.25">
      <c r="B3" s="123" t="s">
        <v>334</v>
      </c>
    </row>
    <row r="4" spans="2:33" x14ac:dyDescent="0.25">
      <c r="H4" s="123" t="s">
        <v>335</v>
      </c>
      <c r="S4" s="122" t="s">
        <v>336</v>
      </c>
      <c r="T4" s="123" t="s">
        <v>337</v>
      </c>
      <c r="U4" s="123" t="s">
        <v>338</v>
      </c>
    </row>
    <row r="5" spans="2:33" x14ac:dyDescent="0.25">
      <c r="B5" s="123" t="s">
        <v>339</v>
      </c>
      <c r="C5" s="123" t="s">
        <v>340</v>
      </c>
      <c r="E5" s="123" t="s">
        <v>341</v>
      </c>
      <c r="H5" s="151"/>
      <c r="I5" s="200" t="s">
        <v>342</v>
      </c>
      <c r="J5" s="200" t="s">
        <v>313</v>
      </c>
      <c r="K5" s="126"/>
      <c r="S5" s="123" t="s">
        <v>172</v>
      </c>
      <c r="T5" s="201">
        <f>((U5/100)/3.6)*1000</f>
        <v>233.61805555555554</v>
      </c>
      <c r="U5" s="123">
        <f>X23*3/12+AD23*9/12</f>
        <v>84.102499999999992</v>
      </c>
    </row>
    <row r="6" spans="2:33" x14ac:dyDescent="0.25">
      <c r="B6" s="123" t="s">
        <v>172</v>
      </c>
      <c r="C6" s="202"/>
      <c r="E6" s="201">
        <f>T5</f>
        <v>233.61805555555554</v>
      </c>
      <c r="F6" s="203"/>
      <c r="H6" s="146" t="s">
        <v>343</v>
      </c>
      <c r="I6" s="123" t="s">
        <v>344</v>
      </c>
      <c r="J6" s="123" t="s">
        <v>345</v>
      </c>
      <c r="K6" s="130" t="s">
        <v>346</v>
      </c>
      <c r="O6" s="123" t="s">
        <v>347</v>
      </c>
      <c r="S6" s="123" t="s">
        <v>174</v>
      </c>
      <c r="T6" s="201">
        <f>W8*1000/100</f>
        <v>380.52631578947364</v>
      </c>
      <c r="W6" s="123">
        <v>1446</v>
      </c>
      <c r="X6" s="123" t="s">
        <v>348</v>
      </c>
      <c r="Y6" s="123" t="s">
        <v>349</v>
      </c>
    </row>
    <row r="7" spans="2:33" x14ac:dyDescent="0.25">
      <c r="B7" s="123" t="s">
        <v>174</v>
      </c>
      <c r="C7" s="202"/>
      <c r="E7" s="201">
        <f>T6</f>
        <v>380.52631578947364</v>
      </c>
      <c r="F7" s="203"/>
      <c r="H7" s="204">
        <v>44339</v>
      </c>
      <c r="I7" s="123">
        <v>39129.07</v>
      </c>
      <c r="J7" s="123">
        <v>37398.39</v>
      </c>
      <c r="K7" s="130">
        <v>38224.99</v>
      </c>
      <c r="L7" s="123">
        <f>YEAR(H7)</f>
        <v>2021</v>
      </c>
      <c r="N7" s="123">
        <v>2016</v>
      </c>
      <c r="O7" s="202">
        <f>AVERAGEIFS($K$7:$K$186,$L$7:$L$186,N7)</f>
        <v>32757.693157894741</v>
      </c>
      <c r="S7" s="123" t="s">
        <v>137</v>
      </c>
      <c r="T7" s="201">
        <f>W10/W11</f>
        <v>22.192307692307693</v>
      </c>
      <c r="W7" s="123">
        <v>38</v>
      </c>
      <c r="X7" s="123" t="s">
        <v>350</v>
      </c>
    </row>
    <row r="8" spans="2:33" x14ac:dyDescent="0.25">
      <c r="B8" s="123" t="s">
        <v>137</v>
      </c>
      <c r="C8" s="202"/>
      <c r="E8" s="201">
        <f>T7</f>
        <v>22.192307692307693</v>
      </c>
      <c r="F8" s="203"/>
      <c r="H8" s="204">
        <v>44329</v>
      </c>
      <c r="I8" s="123">
        <v>40254.18</v>
      </c>
      <c r="J8" s="123">
        <v>37557.699999999997</v>
      </c>
      <c r="K8" s="130">
        <v>37679.870000000003</v>
      </c>
      <c r="L8" s="123">
        <f t="shared" ref="L8:L71" si="0">YEAR(H8)</f>
        <v>2021</v>
      </c>
      <c r="N8" s="123">
        <v>2017</v>
      </c>
      <c r="O8" s="202">
        <f>AVERAGEIFS($K$7:$K$186,$L$7:$L$186,N8)</f>
        <v>30609.431081081093</v>
      </c>
      <c r="S8" s="123" t="s">
        <v>173</v>
      </c>
      <c r="T8" s="201"/>
      <c r="W8" s="123">
        <f>W6/W7</f>
        <v>38.05263157894737</v>
      </c>
      <c r="X8" s="123" t="s">
        <v>351</v>
      </c>
    </row>
    <row r="9" spans="2:33" x14ac:dyDescent="0.25">
      <c r="B9" s="123" t="s">
        <v>173</v>
      </c>
      <c r="C9" s="202"/>
      <c r="E9" s="201">
        <f>T8</f>
        <v>0</v>
      </c>
      <c r="F9" s="203"/>
      <c r="H9" s="204">
        <v>44319</v>
      </c>
      <c r="I9" s="123">
        <v>41169.51</v>
      </c>
      <c r="J9" s="123">
        <v>38421.75</v>
      </c>
      <c r="K9" s="130">
        <v>39164.43</v>
      </c>
      <c r="L9" s="123">
        <f t="shared" si="0"/>
        <v>2021</v>
      </c>
      <c r="N9" s="123">
        <v>2018</v>
      </c>
      <c r="O9" s="202">
        <f>AVERAGEIFS($K$7:$K$186,$L$7:$L$186,N9)</f>
        <v>28111.978888888887</v>
      </c>
    </row>
    <row r="10" spans="2:33" x14ac:dyDescent="0.25">
      <c r="F10" s="203"/>
      <c r="H10" s="204">
        <v>44309</v>
      </c>
      <c r="I10" s="123">
        <v>40485.67</v>
      </c>
      <c r="J10" s="123">
        <v>37871.01</v>
      </c>
      <c r="K10" s="130">
        <v>38694.230000000003</v>
      </c>
      <c r="L10" s="123">
        <f t="shared" si="0"/>
        <v>2021</v>
      </c>
      <c r="N10" s="123">
        <v>2019</v>
      </c>
      <c r="O10" s="202">
        <f>AVERAGEIFS($K$7:$K$186,$L$7:$L$186,N10)</f>
        <v>27902.301351351351</v>
      </c>
      <c r="Q10" s="123">
        <v>16</v>
      </c>
      <c r="W10" s="123">
        <v>577</v>
      </c>
      <c r="X10" s="123" t="s">
        <v>352</v>
      </c>
      <c r="Y10" s="123" t="s">
        <v>353</v>
      </c>
    </row>
    <row r="11" spans="2:33" x14ac:dyDescent="0.25">
      <c r="B11" s="123" t="s">
        <v>354</v>
      </c>
      <c r="E11" s="202">
        <f>SUMPRODUCT(E6:E9,C6:C9)</f>
        <v>0</v>
      </c>
      <c r="H11" s="204">
        <v>44299</v>
      </c>
      <c r="I11" s="123">
        <v>39606.83</v>
      </c>
      <c r="J11" s="123">
        <v>37173.339999999997</v>
      </c>
      <c r="K11" s="130">
        <v>38818.01</v>
      </c>
      <c r="L11" s="123">
        <f t="shared" si="0"/>
        <v>2021</v>
      </c>
      <c r="N11" s="123">
        <v>2020</v>
      </c>
      <c r="O11" s="202">
        <f>AVERAGEIFS($K$7:$K$186,$L$7:$L$186,N11)</f>
        <v>28529.826944444452</v>
      </c>
      <c r="W11" s="123">
        <v>26</v>
      </c>
      <c r="X11" s="123" t="s">
        <v>340</v>
      </c>
    </row>
    <row r="12" spans="2:33" x14ac:dyDescent="0.25">
      <c r="B12" s="123" t="s">
        <v>355</v>
      </c>
      <c r="E12" s="202">
        <f>E11/1000</f>
        <v>0</v>
      </c>
      <c r="F12" s="123" t="s">
        <v>356</v>
      </c>
      <c r="H12" s="204">
        <v>44289</v>
      </c>
      <c r="I12" s="123">
        <v>40120.76</v>
      </c>
      <c r="J12" s="123">
        <v>37582.94</v>
      </c>
      <c r="K12" s="130">
        <v>37638.879999999997</v>
      </c>
      <c r="L12" s="123">
        <f t="shared" si="0"/>
        <v>2021</v>
      </c>
    </row>
    <row r="13" spans="2:33" x14ac:dyDescent="0.25">
      <c r="H13" s="204">
        <v>44279</v>
      </c>
      <c r="I13" s="123">
        <v>39065.410000000003</v>
      </c>
      <c r="J13" s="123">
        <v>36808.75</v>
      </c>
      <c r="K13" s="130">
        <v>39008.019999999997</v>
      </c>
      <c r="L13" s="123">
        <f t="shared" si="0"/>
        <v>2021</v>
      </c>
    </row>
    <row r="14" spans="2:33" x14ac:dyDescent="0.25">
      <c r="E14" s="202"/>
      <c r="H14" s="204">
        <v>44269</v>
      </c>
      <c r="I14" s="123">
        <v>39825.93</v>
      </c>
      <c r="J14" s="123">
        <v>37410.769999999997</v>
      </c>
      <c r="K14" s="130">
        <v>37520.730000000003</v>
      </c>
      <c r="L14" s="123">
        <f t="shared" si="0"/>
        <v>2021</v>
      </c>
      <c r="T14" s="123" t="s">
        <v>357</v>
      </c>
    </row>
    <row r="15" spans="2:33" x14ac:dyDescent="0.25">
      <c r="B15" s="123" t="s">
        <v>358</v>
      </c>
      <c r="E15" s="205">
        <f>X35</f>
        <v>413490.66572736879</v>
      </c>
      <c r="H15" s="204">
        <v>44259</v>
      </c>
      <c r="I15" s="123">
        <v>39532.239999999998</v>
      </c>
      <c r="J15" s="123">
        <v>35722.21</v>
      </c>
      <c r="K15" s="130">
        <v>38830.22</v>
      </c>
      <c r="L15" s="123">
        <f t="shared" si="0"/>
        <v>2021</v>
      </c>
    </row>
    <row r="16" spans="2:33" x14ac:dyDescent="0.25">
      <c r="B16" s="206" t="s">
        <v>359</v>
      </c>
      <c r="C16" s="206"/>
      <c r="D16" s="206"/>
      <c r="E16" s="207">
        <f>E15-E12</f>
        <v>413490.66572736879</v>
      </c>
      <c r="H16" s="204">
        <v>44249</v>
      </c>
      <c r="I16" s="123">
        <v>41905.769999999997</v>
      </c>
      <c r="J16" s="123">
        <v>37275.25</v>
      </c>
      <c r="K16" s="130">
        <v>37419.769999999997</v>
      </c>
      <c r="L16" s="123">
        <f t="shared" si="0"/>
        <v>2021</v>
      </c>
      <c r="U16" s="123" t="s">
        <v>360</v>
      </c>
      <c r="AG16" s="123" t="s">
        <v>361</v>
      </c>
    </row>
    <row r="17" spans="8:34" x14ac:dyDescent="0.25">
      <c r="H17" s="204">
        <v>44239</v>
      </c>
      <c r="I17" s="123">
        <v>43085.22</v>
      </c>
      <c r="J17" s="123">
        <v>38966.870000000003</v>
      </c>
      <c r="K17" s="130">
        <v>41445.53</v>
      </c>
      <c r="L17" s="123">
        <f t="shared" si="0"/>
        <v>2021</v>
      </c>
      <c r="U17" s="123" t="s">
        <v>362</v>
      </c>
      <c r="AA17" s="123" t="s">
        <v>363</v>
      </c>
    </row>
    <row r="18" spans="8:34" x14ac:dyDescent="0.25">
      <c r="H18" s="204">
        <v>44229</v>
      </c>
      <c r="I18" s="123">
        <v>40949.599999999999</v>
      </c>
      <c r="J18" s="123">
        <v>34683.1</v>
      </c>
      <c r="K18" s="130">
        <v>39714.21</v>
      </c>
      <c r="L18" s="123">
        <f t="shared" si="0"/>
        <v>2021</v>
      </c>
      <c r="T18" s="123" t="s">
        <v>364</v>
      </c>
      <c r="U18" s="123" t="s">
        <v>365</v>
      </c>
      <c r="W18" s="123" t="s">
        <v>366</v>
      </c>
      <c r="Y18" s="123" t="s">
        <v>367</v>
      </c>
      <c r="AA18" s="123" t="s">
        <v>365</v>
      </c>
      <c r="AC18" s="123" t="s">
        <v>366</v>
      </c>
      <c r="AE18" s="123" t="s">
        <v>367</v>
      </c>
    </row>
    <row r="19" spans="8:34" x14ac:dyDescent="0.25">
      <c r="H19" s="204">
        <v>44219</v>
      </c>
      <c r="I19" s="123">
        <v>36477.75</v>
      </c>
      <c r="J19" s="123">
        <v>33844.769999999997</v>
      </c>
      <c r="K19" s="130">
        <v>36156.730000000003</v>
      </c>
      <c r="L19" s="123">
        <f t="shared" si="0"/>
        <v>2021</v>
      </c>
      <c r="V19" s="123" t="s">
        <v>368</v>
      </c>
      <c r="X19" s="123" t="s">
        <v>368</v>
      </c>
      <c r="Z19" s="123" t="s">
        <v>368</v>
      </c>
      <c r="AB19" s="123" t="s">
        <v>368</v>
      </c>
      <c r="AD19" s="123" t="s">
        <v>368</v>
      </c>
      <c r="AF19" s="123" t="s">
        <v>368</v>
      </c>
      <c r="AH19" s="123" t="s">
        <v>368</v>
      </c>
    </row>
    <row r="20" spans="8:34" x14ac:dyDescent="0.25">
      <c r="H20" s="204">
        <v>44209</v>
      </c>
      <c r="I20" s="123">
        <v>37172.370000000003</v>
      </c>
      <c r="J20" s="123">
        <v>34213.379999999997</v>
      </c>
      <c r="K20" s="130">
        <v>35481.89</v>
      </c>
      <c r="L20" s="123">
        <f t="shared" si="0"/>
        <v>2021</v>
      </c>
      <c r="S20" s="123" t="s">
        <v>369</v>
      </c>
      <c r="T20" s="123" t="s">
        <v>370</v>
      </c>
      <c r="U20" s="123">
        <v>333.51</v>
      </c>
      <c r="V20" s="123">
        <v>383.54</v>
      </c>
      <c r="W20" s="123">
        <v>101.47</v>
      </c>
      <c r="X20" s="123">
        <v>116.69</v>
      </c>
      <c r="Y20" s="123">
        <v>55.41</v>
      </c>
      <c r="Z20" s="123">
        <v>63.72</v>
      </c>
      <c r="AA20" s="123">
        <v>109.21</v>
      </c>
      <c r="AB20" s="123">
        <v>125.59</v>
      </c>
      <c r="AC20" s="123">
        <v>75.36</v>
      </c>
      <c r="AD20" s="123">
        <v>86.66</v>
      </c>
      <c r="AE20" s="123">
        <v>48.04</v>
      </c>
      <c r="AF20" s="123">
        <v>55.25</v>
      </c>
      <c r="AG20" s="208">
        <v>9.5399999999999991</v>
      </c>
      <c r="AH20" s="208">
        <v>10.97</v>
      </c>
    </row>
    <row r="21" spans="8:34" x14ac:dyDescent="0.25">
      <c r="H21" s="204">
        <v>44199</v>
      </c>
      <c r="I21" s="123">
        <v>36413.29</v>
      </c>
      <c r="J21" s="123">
        <v>32477.08</v>
      </c>
      <c r="K21" s="130">
        <v>34673.78</v>
      </c>
      <c r="L21" s="123">
        <f t="shared" si="0"/>
        <v>2021</v>
      </c>
      <c r="T21" s="123" t="s">
        <v>371</v>
      </c>
      <c r="U21" s="123">
        <v>328.28</v>
      </c>
      <c r="V21" s="123">
        <v>377.52</v>
      </c>
      <c r="W21" s="123">
        <v>99.45</v>
      </c>
      <c r="X21" s="123">
        <v>114.37</v>
      </c>
      <c r="Y21" s="123">
        <v>54.01</v>
      </c>
      <c r="Z21" s="123">
        <v>62.11</v>
      </c>
      <c r="AA21" s="123">
        <v>107.07</v>
      </c>
      <c r="AB21" s="123">
        <v>123.13</v>
      </c>
      <c r="AC21" s="123">
        <v>73.709999999999994</v>
      </c>
      <c r="AD21" s="123">
        <v>84.77</v>
      </c>
      <c r="AE21" s="123">
        <v>46.76</v>
      </c>
      <c r="AF21" s="123">
        <v>53.77</v>
      </c>
      <c r="AG21" s="208">
        <v>8.7200000000000006</v>
      </c>
      <c r="AH21" s="208">
        <v>10.029999999999999</v>
      </c>
    </row>
    <row r="22" spans="8:34" x14ac:dyDescent="0.25">
      <c r="H22" s="204">
        <v>44189</v>
      </c>
      <c r="I22" s="123">
        <v>34863.949999999997</v>
      </c>
      <c r="J22" s="123">
        <v>32711.78</v>
      </c>
      <c r="K22" s="130">
        <v>34387.800000000003</v>
      </c>
      <c r="L22" s="123">
        <f t="shared" si="0"/>
        <v>2020</v>
      </c>
      <c r="T22" s="123" t="s">
        <v>372</v>
      </c>
      <c r="U22" s="123">
        <v>317.88</v>
      </c>
      <c r="V22" s="123">
        <v>365.56</v>
      </c>
      <c r="W22" s="123">
        <v>96.29</v>
      </c>
      <c r="X22" s="123">
        <v>110.73</v>
      </c>
      <c r="Y22" s="123">
        <v>52.3</v>
      </c>
      <c r="Z22" s="123">
        <v>60.15</v>
      </c>
      <c r="AA22" s="123">
        <v>103.71</v>
      </c>
      <c r="AB22" s="123">
        <v>119.27</v>
      </c>
      <c r="AC22" s="123">
        <v>71.36</v>
      </c>
      <c r="AD22" s="123">
        <v>82.06</v>
      </c>
      <c r="AE22" s="123">
        <v>45.29</v>
      </c>
      <c r="AF22" s="123">
        <v>52.08</v>
      </c>
      <c r="AG22" s="208">
        <v>8.49</v>
      </c>
      <c r="AH22" s="208">
        <v>9.76</v>
      </c>
    </row>
    <row r="23" spans="8:34" x14ac:dyDescent="0.25">
      <c r="H23" s="204">
        <v>44179</v>
      </c>
      <c r="I23" s="123">
        <v>34086.699999999997</v>
      </c>
      <c r="J23" s="123">
        <v>30092.62</v>
      </c>
      <c r="K23" s="130">
        <v>32729.46</v>
      </c>
      <c r="L23" s="123">
        <f t="shared" si="0"/>
        <v>2020</v>
      </c>
      <c r="T23" s="123" t="s">
        <v>373</v>
      </c>
      <c r="U23" s="123">
        <v>299.60000000000002</v>
      </c>
      <c r="V23" s="123">
        <v>344.54</v>
      </c>
      <c r="W23" s="123">
        <v>90.75</v>
      </c>
      <c r="X23" s="123">
        <v>104.36</v>
      </c>
      <c r="Y23" s="123">
        <v>49.29</v>
      </c>
      <c r="Z23" s="123">
        <v>56.68</v>
      </c>
      <c r="AA23" s="123">
        <v>97.76</v>
      </c>
      <c r="AB23" s="123">
        <v>112.42</v>
      </c>
      <c r="AC23" s="123">
        <v>67.260000000000005</v>
      </c>
      <c r="AD23" s="123">
        <v>77.349999999999994</v>
      </c>
      <c r="AE23" s="123">
        <v>42.68</v>
      </c>
      <c r="AF23" s="123">
        <v>49.08</v>
      </c>
      <c r="AG23" s="208">
        <v>10.73</v>
      </c>
      <c r="AH23" s="208">
        <v>12.34</v>
      </c>
    </row>
    <row r="24" spans="8:34" x14ac:dyDescent="0.25">
      <c r="H24" s="204">
        <v>44169</v>
      </c>
      <c r="I24" s="123">
        <v>34785.980000000003</v>
      </c>
      <c r="J24" s="123">
        <v>31973.599999999999</v>
      </c>
      <c r="K24" s="130">
        <v>32793.760000000002</v>
      </c>
      <c r="L24" s="123">
        <f t="shared" si="0"/>
        <v>2020</v>
      </c>
      <c r="S24" s="123" t="s">
        <v>374</v>
      </c>
      <c r="T24" s="123" t="s">
        <v>370</v>
      </c>
      <c r="U24" s="123">
        <v>336.24</v>
      </c>
      <c r="V24" s="123">
        <v>386.68</v>
      </c>
      <c r="W24" s="123">
        <v>101.88</v>
      </c>
      <c r="X24" s="123">
        <v>117.16</v>
      </c>
      <c r="Y24" s="123">
        <v>55.31</v>
      </c>
      <c r="Z24" s="123">
        <v>63.61</v>
      </c>
      <c r="AA24" s="123">
        <v>109.69</v>
      </c>
      <c r="AB24" s="123">
        <v>126.14</v>
      </c>
      <c r="AC24" s="123">
        <v>75.52</v>
      </c>
      <c r="AD24" s="123">
        <v>86.85</v>
      </c>
      <c r="AE24" s="123">
        <v>47.91</v>
      </c>
      <c r="AF24" s="123">
        <v>55.1</v>
      </c>
      <c r="AG24" s="208">
        <v>9.61</v>
      </c>
      <c r="AH24" s="208">
        <v>11.05</v>
      </c>
    </row>
    <row r="25" spans="8:34" x14ac:dyDescent="0.25">
      <c r="H25" s="204">
        <v>44159</v>
      </c>
      <c r="I25" s="123">
        <v>33359.61</v>
      </c>
      <c r="J25" s="123">
        <v>29740.73</v>
      </c>
      <c r="K25" s="130">
        <v>33094.53</v>
      </c>
      <c r="L25" s="123">
        <f t="shared" si="0"/>
        <v>2020</v>
      </c>
      <c r="T25" s="123" t="s">
        <v>371</v>
      </c>
      <c r="U25" s="123">
        <v>331.56</v>
      </c>
      <c r="V25" s="123">
        <v>381.29</v>
      </c>
      <c r="W25" s="123">
        <v>100.43</v>
      </c>
      <c r="X25" s="123">
        <v>115.49</v>
      </c>
      <c r="Y25" s="123">
        <v>54.54</v>
      </c>
      <c r="Z25" s="123">
        <v>62.72</v>
      </c>
      <c r="AA25" s="123">
        <v>108.17</v>
      </c>
      <c r="AB25" s="123">
        <v>124.4</v>
      </c>
      <c r="AC25" s="123">
        <v>74.44</v>
      </c>
      <c r="AD25" s="123">
        <v>85.61</v>
      </c>
      <c r="AE25" s="123">
        <v>47.22</v>
      </c>
      <c r="AF25" s="123">
        <v>54.3</v>
      </c>
      <c r="AG25" s="208">
        <v>8.8000000000000007</v>
      </c>
      <c r="AH25" s="208">
        <v>10.119999999999999</v>
      </c>
    </row>
    <row r="26" spans="8:34" x14ac:dyDescent="0.25">
      <c r="H26" s="204">
        <v>44149</v>
      </c>
      <c r="I26" s="123">
        <v>31019.68</v>
      </c>
      <c r="J26" s="123">
        <v>28608.06</v>
      </c>
      <c r="K26" s="130">
        <v>30007.9</v>
      </c>
      <c r="L26" s="123">
        <f t="shared" si="0"/>
        <v>2020</v>
      </c>
      <c r="T26" s="123" t="s">
        <v>372</v>
      </c>
      <c r="U26" s="123">
        <v>321.01</v>
      </c>
      <c r="V26" s="123">
        <v>369.16</v>
      </c>
      <c r="W26" s="123">
        <v>97.23</v>
      </c>
      <c r="X26" s="123">
        <v>111.81</v>
      </c>
      <c r="Y26" s="123">
        <v>52.79</v>
      </c>
      <c r="Z26" s="123">
        <v>60.71</v>
      </c>
      <c r="AA26" s="123">
        <v>104.71</v>
      </c>
      <c r="AB26" s="123">
        <v>120.42</v>
      </c>
      <c r="AC26" s="123">
        <v>72.069999999999993</v>
      </c>
      <c r="AD26" s="123">
        <v>82.88</v>
      </c>
      <c r="AE26" s="123">
        <v>45.72</v>
      </c>
      <c r="AF26" s="123">
        <v>52.58</v>
      </c>
      <c r="AG26" s="208">
        <v>8.5500000000000007</v>
      </c>
      <c r="AH26" s="208">
        <v>9.83</v>
      </c>
    </row>
    <row r="27" spans="8:34" x14ac:dyDescent="0.25">
      <c r="H27" s="204">
        <v>44139</v>
      </c>
      <c r="I27" s="123">
        <v>29421.15</v>
      </c>
      <c r="J27" s="123">
        <v>27331.03</v>
      </c>
      <c r="K27" s="130">
        <v>28755.31</v>
      </c>
      <c r="L27" s="123">
        <f t="shared" si="0"/>
        <v>2020</v>
      </c>
      <c r="T27" s="123" t="s">
        <v>373</v>
      </c>
      <c r="U27" s="123">
        <v>302.60000000000002</v>
      </c>
      <c r="V27" s="123">
        <v>347.99</v>
      </c>
      <c r="W27" s="123">
        <v>91.68</v>
      </c>
      <c r="X27" s="123">
        <v>105.43</v>
      </c>
      <c r="Y27" s="123">
        <v>49.75</v>
      </c>
      <c r="Z27" s="123">
        <v>57.21</v>
      </c>
      <c r="AA27" s="123">
        <v>98.69</v>
      </c>
      <c r="AB27" s="123">
        <v>113.49</v>
      </c>
      <c r="AC27" s="123">
        <v>67.92</v>
      </c>
      <c r="AD27" s="123">
        <v>78.11</v>
      </c>
      <c r="AE27" s="123">
        <v>43.08</v>
      </c>
      <c r="AF27" s="123">
        <v>49.54</v>
      </c>
      <c r="AG27" s="208">
        <v>10.83</v>
      </c>
      <c r="AH27" s="208">
        <v>12.45</v>
      </c>
    </row>
    <row r="28" spans="8:34" x14ac:dyDescent="0.25">
      <c r="H28" s="204">
        <v>44129</v>
      </c>
      <c r="I28" s="123">
        <v>29331.13</v>
      </c>
      <c r="J28" s="123">
        <v>27037.97</v>
      </c>
      <c r="K28" s="130">
        <v>28240.57</v>
      </c>
      <c r="L28" s="123">
        <f t="shared" si="0"/>
        <v>2020</v>
      </c>
    </row>
    <row r="29" spans="8:34" x14ac:dyDescent="0.25">
      <c r="H29" s="204">
        <v>44119</v>
      </c>
      <c r="I29" s="123">
        <v>29592.03</v>
      </c>
      <c r="J29" s="123">
        <v>27108.22</v>
      </c>
      <c r="K29" s="130">
        <v>29214.58</v>
      </c>
      <c r="L29" s="123">
        <f t="shared" si="0"/>
        <v>2020</v>
      </c>
    </row>
    <row r="30" spans="8:34" x14ac:dyDescent="0.25">
      <c r="H30" s="204">
        <v>44109</v>
      </c>
      <c r="I30" s="123">
        <v>29074.720000000001</v>
      </c>
      <c r="J30" s="123">
        <v>27378.77</v>
      </c>
      <c r="K30" s="130">
        <v>27661.7</v>
      </c>
      <c r="L30" s="123">
        <f t="shared" si="0"/>
        <v>2020</v>
      </c>
      <c r="Q30" s="123" t="s">
        <v>375</v>
      </c>
    </row>
    <row r="31" spans="8:34" x14ac:dyDescent="0.25">
      <c r="H31" s="204">
        <v>44099</v>
      </c>
      <c r="I31" s="123">
        <v>29325.82</v>
      </c>
      <c r="J31" s="123">
        <v>26865.65</v>
      </c>
      <c r="K31" s="130">
        <v>28490.38</v>
      </c>
      <c r="L31" s="123">
        <f t="shared" si="0"/>
        <v>2020</v>
      </c>
    </row>
    <row r="32" spans="8:34" x14ac:dyDescent="0.25">
      <c r="H32" s="204">
        <v>44089</v>
      </c>
      <c r="I32" s="123">
        <v>31614.79</v>
      </c>
      <c r="J32" s="123">
        <v>26634.48</v>
      </c>
      <c r="K32" s="130">
        <v>27375.88</v>
      </c>
      <c r="L32" s="123">
        <f t="shared" si="0"/>
        <v>2020</v>
      </c>
    </row>
    <row r="33" spans="8:25" x14ac:dyDescent="0.25">
      <c r="H33" s="204">
        <v>44079</v>
      </c>
      <c r="I33" s="123">
        <v>30911.93</v>
      </c>
      <c r="J33" s="123">
        <v>28681.200000000001</v>
      </c>
      <c r="K33" s="130">
        <v>30873.56</v>
      </c>
      <c r="L33" s="123">
        <f t="shared" si="0"/>
        <v>2020</v>
      </c>
    </row>
    <row r="34" spans="8:25" x14ac:dyDescent="0.25">
      <c r="H34" s="204">
        <v>44069</v>
      </c>
      <c r="I34" s="123">
        <v>30957.95</v>
      </c>
      <c r="J34" s="123">
        <v>28469.49</v>
      </c>
      <c r="K34" s="130">
        <v>29163.94</v>
      </c>
      <c r="L34" s="123">
        <f t="shared" si="0"/>
        <v>2020</v>
      </c>
      <c r="X34" s="123">
        <v>11739</v>
      </c>
      <c r="Y34" s="123" t="s">
        <v>376</v>
      </c>
    </row>
    <row r="35" spans="8:25" x14ac:dyDescent="0.25">
      <c r="H35" s="204">
        <v>44059</v>
      </c>
      <c r="I35" s="123">
        <v>31393.599999999999</v>
      </c>
      <c r="J35" s="123">
        <v>28834.560000000001</v>
      </c>
      <c r="K35" s="130">
        <v>29995.52</v>
      </c>
      <c r="L35" s="123">
        <f t="shared" si="0"/>
        <v>2020</v>
      </c>
      <c r="X35" s="202">
        <f>(X34/28.39)*1000</f>
        <v>413490.66572736879</v>
      </c>
      <c r="Y35" s="123" t="s">
        <v>377</v>
      </c>
    </row>
    <row r="36" spans="8:25" x14ac:dyDescent="0.25">
      <c r="H36" s="204">
        <v>44049</v>
      </c>
      <c r="I36" s="123">
        <v>32486.880000000001</v>
      </c>
      <c r="J36" s="123">
        <v>29500.560000000001</v>
      </c>
      <c r="K36" s="130">
        <v>30427.31</v>
      </c>
      <c r="L36" s="123">
        <f t="shared" si="0"/>
        <v>2020</v>
      </c>
    </row>
    <row r="37" spans="8:25" x14ac:dyDescent="0.25">
      <c r="H37" s="204">
        <v>44039</v>
      </c>
      <c r="I37" s="123">
        <v>31659.64</v>
      </c>
      <c r="J37" s="123">
        <v>28360.5</v>
      </c>
      <c r="K37" s="130">
        <v>31120.959999999999</v>
      </c>
      <c r="L37" s="123">
        <f t="shared" si="0"/>
        <v>2020</v>
      </c>
    </row>
    <row r="38" spans="8:25" x14ac:dyDescent="0.25">
      <c r="H38" s="204">
        <v>44029</v>
      </c>
      <c r="I38" s="123">
        <v>30030.57</v>
      </c>
      <c r="J38" s="123">
        <v>26438.68</v>
      </c>
      <c r="K38" s="130">
        <v>29950.19</v>
      </c>
      <c r="L38" s="123">
        <f t="shared" si="0"/>
        <v>2020</v>
      </c>
    </row>
    <row r="39" spans="8:25" x14ac:dyDescent="0.25">
      <c r="H39" s="204">
        <v>44019</v>
      </c>
      <c r="I39" s="123">
        <v>27722.95</v>
      </c>
      <c r="J39" s="123">
        <v>26238.87</v>
      </c>
      <c r="K39" s="130">
        <v>26499.93</v>
      </c>
      <c r="L39" s="123">
        <f t="shared" si="0"/>
        <v>2020</v>
      </c>
    </row>
    <row r="40" spans="8:25" x14ac:dyDescent="0.25">
      <c r="H40" s="204">
        <v>44009</v>
      </c>
      <c r="I40" s="123">
        <v>26955.03</v>
      </c>
      <c r="J40" s="123">
        <v>25815.119999999999</v>
      </c>
      <c r="K40" s="130">
        <v>26593.49</v>
      </c>
      <c r="L40" s="123">
        <f t="shared" si="0"/>
        <v>2020</v>
      </c>
    </row>
    <row r="41" spans="8:25" x14ac:dyDescent="0.25">
      <c r="H41" s="204">
        <v>43999</v>
      </c>
      <c r="I41" s="123">
        <v>27015.63</v>
      </c>
      <c r="J41" s="123">
        <v>25458.57</v>
      </c>
      <c r="K41" s="130">
        <v>26082.61</v>
      </c>
      <c r="L41" s="123">
        <f t="shared" si="0"/>
        <v>2020</v>
      </c>
    </row>
    <row r="42" spans="8:25" x14ac:dyDescent="0.25">
      <c r="H42" s="204">
        <v>43989</v>
      </c>
      <c r="I42" s="123">
        <v>27277.98</v>
      </c>
      <c r="J42" s="123">
        <v>25363.88</v>
      </c>
      <c r="K42" s="130">
        <v>26611.17</v>
      </c>
      <c r="L42" s="123">
        <f t="shared" si="0"/>
        <v>2020</v>
      </c>
    </row>
    <row r="43" spans="8:25" x14ac:dyDescent="0.25">
      <c r="H43" s="204">
        <v>43979</v>
      </c>
      <c r="I43" s="123">
        <v>27792.55</v>
      </c>
      <c r="J43" s="123">
        <v>25966.39</v>
      </c>
      <c r="K43" s="130">
        <v>26389.17</v>
      </c>
      <c r="L43" s="123">
        <f t="shared" si="0"/>
        <v>2020</v>
      </c>
    </row>
    <row r="44" spans="8:25" x14ac:dyDescent="0.25">
      <c r="H44" s="204">
        <v>43969</v>
      </c>
      <c r="I44" s="123">
        <v>27726.799999999999</v>
      </c>
      <c r="J44" s="123">
        <v>25868.73</v>
      </c>
      <c r="K44" s="130">
        <v>26984.12</v>
      </c>
      <c r="L44" s="123">
        <f t="shared" si="0"/>
        <v>2020</v>
      </c>
    </row>
    <row r="45" spans="8:25" x14ac:dyDescent="0.25">
      <c r="H45" s="204">
        <v>43959</v>
      </c>
      <c r="I45" s="123">
        <v>26234.16</v>
      </c>
      <c r="J45" s="123">
        <v>24143.599999999999</v>
      </c>
      <c r="K45" s="130">
        <v>26021.05</v>
      </c>
      <c r="L45" s="123">
        <f t="shared" si="0"/>
        <v>2020</v>
      </c>
    </row>
    <row r="46" spans="8:25" x14ac:dyDescent="0.25">
      <c r="H46" s="204">
        <v>43949</v>
      </c>
      <c r="I46" s="123">
        <v>25665.46</v>
      </c>
      <c r="J46" s="123">
        <v>24059.85</v>
      </c>
      <c r="K46" s="130">
        <v>24690.17</v>
      </c>
      <c r="L46" s="123">
        <f t="shared" si="0"/>
        <v>2020</v>
      </c>
    </row>
    <row r="47" spans="8:25" x14ac:dyDescent="0.25">
      <c r="H47" s="204">
        <v>43939</v>
      </c>
      <c r="I47" s="123">
        <v>25328.36</v>
      </c>
      <c r="J47" s="123">
        <v>22918.5</v>
      </c>
      <c r="K47" s="130">
        <v>24509.58</v>
      </c>
      <c r="L47" s="123">
        <f t="shared" si="0"/>
        <v>2020</v>
      </c>
    </row>
    <row r="48" spans="8:25" x14ac:dyDescent="0.25">
      <c r="H48" s="204">
        <v>43929</v>
      </c>
      <c r="I48" s="123">
        <v>25657.9</v>
      </c>
      <c r="J48" s="123">
        <v>23346.1</v>
      </c>
      <c r="K48" s="130">
        <v>24965.05</v>
      </c>
      <c r="L48" s="123">
        <f t="shared" si="0"/>
        <v>2020</v>
      </c>
    </row>
    <row r="49" spans="8:12" x14ac:dyDescent="0.25">
      <c r="H49" s="204">
        <v>43919</v>
      </c>
      <c r="I49" s="123">
        <v>24134.33</v>
      </c>
      <c r="J49" s="123">
        <v>22633.48</v>
      </c>
      <c r="K49" s="130">
        <v>23801.68</v>
      </c>
      <c r="L49" s="123">
        <f t="shared" si="0"/>
        <v>2020</v>
      </c>
    </row>
    <row r="50" spans="8:12" x14ac:dyDescent="0.25">
      <c r="H50" s="204">
        <v>43909</v>
      </c>
      <c r="I50" s="123">
        <v>24330.5</v>
      </c>
      <c r="J50" s="123">
        <v>18825.79</v>
      </c>
      <c r="K50" s="130">
        <v>24019.98</v>
      </c>
      <c r="L50" s="123">
        <f t="shared" si="0"/>
        <v>2020</v>
      </c>
    </row>
    <row r="51" spans="8:12" x14ac:dyDescent="0.25">
      <c r="H51" s="204">
        <v>43899</v>
      </c>
      <c r="I51" s="123">
        <v>28982.85</v>
      </c>
      <c r="J51" s="123">
        <v>18379.259999999998</v>
      </c>
      <c r="K51" s="130">
        <v>20658.14</v>
      </c>
      <c r="L51" s="123">
        <f t="shared" si="0"/>
        <v>2020</v>
      </c>
    </row>
    <row r="52" spans="8:12" x14ac:dyDescent="0.25">
      <c r="H52" s="204">
        <v>43889</v>
      </c>
      <c r="I52" s="123">
        <v>29460.13</v>
      </c>
      <c r="J52" s="123">
        <v>27317.360000000001</v>
      </c>
      <c r="K52" s="130">
        <v>28907.62</v>
      </c>
      <c r="L52" s="123">
        <f t="shared" si="0"/>
        <v>2020</v>
      </c>
    </row>
    <row r="53" spans="8:12" x14ac:dyDescent="0.25">
      <c r="H53" s="204">
        <v>43879</v>
      </c>
      <c r="I53" s="123">
        <v>32754.86</v>
      </c>
      <c r="J53" s="123">
        <v>28893.88</v>
      </c>
      <c r="K53" s="130">
        <v>29051.09</v>
      </c>
      <c r="L53" s="123">
        <f t="shared" si="0"/>
        <v>2020</v>
      </c>
    </row>
    <row r="54" spans="8:12" x14ac:dyDescent="0.25">
      <c r="H54" s="204">
        <v>43869</v>
      </c>
      <c r="I54" s="123">
        <v>31411.439999999999</v>
      </c>
      <c r="J54" s="123">
        <v>30682.74</v>
      </c>
      <c r="K54" s="130">
        <v>31218.21</v>
      </c>
      <c r="L54" s="123">
        <f t="shared" si="0"/>
        <v>2020</v>
      </c>
    </row>
    <row r="55" spans="8:12" x14ac:dyDescent="0.25">
      <c r="H55" s="204">
        <v>43859</v>
      </c>
      <c r="I55" s="123">
        <v>32070.53</v>
      </c>
      <c r="J55" s="123">
        <v>30610.89</v>
      </c>
      <c r="K55" s="130">
        <v>31126.1</v>
      </c>
      <c r="L55" s="123">
        <f t="shared" si="0"/>
        <v>2020</v>
      </c>
    </row>
    <row r="56" spans="8:12" x14ac:dyDescent="0.25">
      <c r="H56" s="204">
        <v>43849</v>
      </c>
      <c r="I56" s="123">
        <v>33145.33</v>
      </c>
      <c r="J56" s="123">
        <v>31535.86</v>
      </c>
      <c r="K56" s="130">
        <v>31761.72</v>
      </c>
      <c r="L56" s="123">
        <f t="shared" si="0"/>
        <v>2020</v>
      </c>
    </row>
    <row r="57" spans="8:12" x14ac:dyDescent="0.25">
      <c r="H57" s="204">
        <v>43839</v>
      </c>
      <c r="I57" s="123">
        <v>33492.720000000001</v>
      </c>
      <c r="J57" s="123">
        <v>30486.46</v>
      </c>
      <c r="K57" s="130">
        <v>32899.54</v>
      </c>
      <c r="L57" s="123">
        <f t="shared" si="0"/>
        <v>2020</v>
      </c>
    </row>
    <row r="58" spans="8:12" x14ac:dyDescent="0.25">
      <c r="H58" s="204">
        <v>43829</v>
      </c>
      <c r="I58" s="123">
        <v>32013.3</v>
      </c>
      <c r="J58" s="123">
        <v>30483.73</v>
      </c>
      <c r="K58" s="130">
        <v>30739.81</v>
      </c>
      <c r="L58" s="123">
        <f t="shared" si="0"/>
        <v>2019</v>
      </c>
    </row>
    <row r="59" spans="8:12" x14ac:dyDescent="0.25">
      <c r="H59" s="204">
        <v>43819</v>
      </c>
      <c r="I59" s="123">
        <v>30929.5</v>
      </c>
      <c r="J59" s="123">
        <v>29241.1</v>
      </c>
      <c r="K59" s="130">
        <v>30538.39</v>
      </c>
      <c r="L59" s="123">
        <f t="shared" si="0"/>
        <v>2019</v>
      </c>
    </row>
    <row r="60" spans="8:12" x14ac:dyDescent="0.25">
      <c r="H60" s="204">
        <v>43809</v>
      </c>
      <c r="I60" s="123">
        <v>30512.67</v>
      </c>
      <c r="J60" s="123">
        <v>28758.2</v>
      </c>
      <c r="K60" s="130">
        <v>30051.46</v>
      </c>
      <c r="L60" s="123">
        <f t="shared" si="0"/>
        <v>2019</v>
      </c>
    </row>
    <row r="61" spans="8:12" x14ac:dyDescent="0.25">
      <c r="H61" s="204">
        <v>43799</v>
      </c>
      <c r="I61" s="123">
        <v>29457.48</v>
      </c>
      <c r="J61" s="123">
        <v>28436.37</v>
      </c>
      <c r="K61" s="130">
        <v>28773.31</v>
      </c>
      <c r="L61" s="123">
        <f t="shared" si="0"/>
        <v>2019</v>
      </c>
    </row>
    <row r="62" spans="8:12" x14ac:dyDescent="0.25">
      <c r="H62" s="204">
        <v>43789</v>
      </c>
      <c r="I62" s="123">
        <v>29810.82</v>
      </c>
      <c r="J62" s="123">
        <v>28489.58</v>
      </c>
      <c r="K62" s="130">
        <v>28815.59</v>
      </c>
      <c r="L62" s="123">
        <f t="shared" si="0"/>
        <v>2019</v>
      </c>
    </row>
    <row r="63" spans="8:12" x14ac:dyDescent="0.25">
      <c r="H63" s="204">
        <v>43779</v>
      </c>
      <c r="I63" s="123">
        <v>29344.95</v>
      </c>
      <c r="J63" s="123">
        <v>27844.31</v>
      </c>
      <c r="K63" s="130">
        <v>29272.77</v>
      </c>
      <c r="L63" s="123">
        <f t="shared" si="0"/>
        <v>2019</v>
      </c>
    </row>
    <row r="64" spans="8:12" x14ac:dyDescent="0.25">
      <c r="H64" s="204">
        <v>43769</v>
      </c>
      <c r="I64" s="123">
        <v>30730.01</v>
      </c>
      <c r="J64" s="123">
        <v>28517.87</v>
      </c>
      <c r="K64" s="130">
        <v>28530.57</v>
      </c>
      <c r="L64" s="123">
        <f t="shared" si="0"/>
        <v>2019</v>
      </c>
    </row>
    <row r="65" spans="8:12" x14ac:dyDescent="0.25">
      <c r="H65" s="204">
        <v>43759</v>
      </c>
      <c r="I65" s="123">
        <v>30189.55</v>
      </c>
      <c r="J65" s="123">
        <v>28439.43</v>
      </c>
      <c r="K65" s="130">
        <v>29717.9</v>
      </c>
      <c r="L65" s="123">
        <f t="shared" si="0"/>
        <v>2019</v>
      </c>
    </row>
    <row r="66" spans="8:12" x14ac:dyDescent="0.25">
      <c r="H66" s="204">
        <v>43749</v>
      </c>
      <c r="I66" s="123">
        <v>29116.68</v>
      </c>
      <c r="J66" s="123">
        <v>28170.48</v>
      </c>
      <c r="K66" s="130">
        <v>28660.14</v>
      </c>
      <c r="L66" s="123">
        <f t="shared" si="0"/>
        <v>2019</v>
      </c>
    </row>
    <row r="67" spans="8:12" x14ac:dyDescent="0.25">
      <c r="H67" s="204">
        <v>43739</v>
      </c>
      <c r="I67" s="123">
        <v>29048.52</v>
      </c>
      <c r="J67" s="123">
        <v>27993.66</v>
      </c>
      <c r="K67" s="130">
        <v>28915.74</v>
      </c>
      <c r="L67" s="123">
        <f t="shared" si="0"/>
        <v>2019</v>
      </c>
    </row>
    <row r="68" spans="8:12" x14ac:dyDescent="0.25">
      <c r="H68" s="204">
        <v>43729</v>
      </c>
      <c r="I68" s="123">
        <v>30975.32</v>
      </c>
      <c r="J68" s="123">
        <v>28144.76</v>
      </c>
      <c r="K68" s="130">
        <v>28506.62</v>
      </c>
      <c r="L68" s="123">
        <f t="shared" si="0"/>
        <v>2019</v>
      </c>
    </row>
    <row r="69" spans="8:12" x14ac:dyDescent="0.25">
      <c r="H69" s="204">
        <v>43719</v>
      </c>
      <c r="I69" s="123">
        <v>31012.29</v>
      </c>
      <c r="J69" s="123">
        <v>29630.29</v>
      </c>
      <c r="K69" s="130">
        <v>30414.61</v>
      </c>
      <c r="L69" s="123">
        <f t="shared" si="0"/>
        <v>2019</v>
      </c>
    </row>
    <row r="70" spans="8:12" x14ac:dyDescent="0.25">
      <c r="H70" s="204">
        <v>43709</v>
      </c>
      <c r="I70" s="123">
        <v>32082.59</v>
      </c>
      <c r="J70" s="123">
        <v>29733.17</v>
      </c>
      <c r="K70" s="130">
        <v>29977.52</v>
      </c>
      <c r="L70" s="123">
        <f t="shared" si="0"/>
        <v>2019</v>
      </c>
    </row>
    <row r="71" spans="8:12" x14ac:dyDescent="0.25">
      <c r="H71" s="204">
        <v>43699</v>
      </c>
      <c r="I71" s="123">
        <v>30300.63</v>
      </c>
      <c r="J71" s="123">
        <v>27229.19</v>
      </c>
      <c r="K71" s="130">
        <v>30060.14</v>
      </c>
      <c r="L71" s="123">
        <f t="shared" si="0"/>
        <v>2019</v>
      </c>
    </row>
    <row r="72" spans="8:12" x14ac:dyDescent="0.25">
      <c r="H72" s="204">
        <v>43689</v>
      </c>
      <c r="I72" s="123">
        <v>27930.080000000002</v>
      </c>
      <c r="J72" s="123">
        <v>26823.21</v>
      </c>
      <c r="K72" s="130">
        <v>27479.56</v>
      </c>
      <c r="L72" s="123">
        <f t="shared" ref="L72:L135" si="1">YEAR(H72)</f>
        <v>2019</v>
      </c>
    </row>
    <row r="73" spans="8:12" x14ac:dyDescent="0.25">
      <c r="H73" s="204">
        <v>43679</v>
      </c>
      <c r="I73" s="123">
        <v>28025</v>
      </c>
      <c r="J73" s="123">
        <v>27132.18</v>
      </c>
      <c r="K73" s="130">
        <v>27749.39</v>
      </c>
      <c r="L73" s="123">
        <f t="shared" si="1"/>
        <v>2019</v>
      </c>
    </row>
    <row r="74" spans="8:12" x14ac:dyDescent="0.25">
      <c r="H74" s="204">
        <v>43669</v>
      </c>
      <c r="I74" s="123">
        <v>28534.59</v>
      </c>
      <c r="J74" s="123">
        <v>27137.8</v>
      </c>
      <c r="K74" s="130">
        <v>27494.6</v>
      </c>
      <c r="L74" s="123">
        <f t="shared" si="1"/>
        <v>2019</v>
      </c>
    </row>
    <row r="75" spans="8:12" x14ac:dyDescent="0.25">
      <c r="H75" s="204">
        <v>43659</v>
      </c>
      <c r="I75" s="123">
        <v>27759.439999999999</v>
      </c>
      <c r="J75" s="123">
        <v>26711.8</v>
      </c>
      <c r="K75" s="130">
        <v>27294.78</v>
      </c>
      <c r="L75" s="123">
        <f t="shared" si="1"/>
        <v>2019</v>
      </c>
    </row>
    <row r="76" spans="8:12" x14ac:dyDescent="0.25">
      <c r="H76" s="204">
        <v>43649</v>
      </c>
      <c r="I76" s="123">
        <v>27193.42</v>
      </c>
      <c r="J76" s="123">
        <v>25923.79</v>
      </c>
      <c r="K76" s="130">
        <v>26776.11</v>
      </c>
      <c r="L76" s="123">
        <f t="shared" si="1"/>
        <v>2019</v>
      </c>
    </row>
    <row r="77" spans="8:12" x14ac:dyDescent="0.25">
      <c r="H77" s="204">
        <v>43639</v>
      </c>
      <c r="I77" s="123">
        <v>27302.9</v>
      </c>
      <c r="J77" s="123">
        <v>25870.98</v>
      </c>
      <c r="K77" s="130">
        <v>26868.86</v>
      </c>
      <c r="L77" s="123">
        <f t="shared" si="1"/>
        <v>2019</v>
      </c>
    </row>
    <row r="78" spans="8:12" x14ac:dyDescent="0.25">
      <c r="H78" s="204">
        <v>43629</v>
      </c>
      <c r="I78" s="123">
        <v>26509.98</v>
      </c>
      <c r="J78" s="123">
        <v>25440.16</v>
      </c>
      <c r="K78" s="130">
        <v>26038.09</v>
      </c>
      <c r="L78" s="123">
        <f t="shared" si="1"/>
        <v>2019</v>
      </c>
    </row>
    <row r="79" spans="8:12" x14ac:dyDescent="0.25">
      <c r="H79" s="204">
        <v>43619</v>
      </c>
      <c r="I79" s="123">
        <v>26792.66</v>
      </c>
      <c r="J79" s="123">
        <v>25570.61</v>
      </c>
      <c r="K79" s="130">
        <v>26099.57</v>
      </c>
      <c r="L79" s="123">
        <f t="shared" si="1"/>
        <v>2019</v>
      </c>
    </row>
    <row r="80" spans="8:12" x14ac:dyDescent="0.25">
      <c r="H80" s="204">
        <v>43609</v>
      </c>
      <c r="I80" s="123">
        <v>26281.31</v>
      </c>
      <c r="J80" s="123">
        <v>25374.41</v>
      </c>
      <c r="K80" s="130">
        <v>25581.71</v>
      </c>
      <c r="L80" s="123">
        <f t="shared" si="1"/>
        <v>2019</v>
      </c>
    </row>
    <row r="81" spans="8:12" x14ac:dyDescent="0.25">
      <c r="H81" s="204">
        <v>43599</v>
      </c>
      <c r="I81" s="123">
        <v>27849.62</v>
      </c>
      <c r="J81" s="123">
        <v>25610</v>
      </c>
      <c r="K81" s="130">
        <v>25762.47</v>
      </c>
      <c r="L81" s="123">
        <f t="shared" si="1"/>
        <v>2019</v>
      </c>
    </row>
    <row r="82" spans="8:12" x14ac:dyDescent="0.25">
      <c r="H82" s="204">
        <v>43589</v>
      </c>
      <c r="I82" s="123">
        <v>28436.61</v>
      </c>
      <c r="J82" s="123">
        <v>27234.33</v>
      </c>
      <c r="K82" s="130">
        <v>27620.95</v>
      </c>
      <c r="L82" s="123">
        <f t="shared" si="1"/>
        <v>2019</v>
      </c>
    </row>
    <row r="83" spans="8:12" x14ac:dyDescent="0.25">
      <c r="H83" s="204">
        <v>43579</v>
      </c>
      <c r="I83" s="123">
        <v>28965.33</v>
      </c>
      <c r="J83" s="123">
        <v>27152.27</v>
      </c>
      <c r="K83" s="130">
        <v>28031.91</v>
      </c>
      <c r="L83" s="123">
        <f t="shared" si="1"/>
        <v>2019</v>
      </c>
    </row>
    <row r="84" spans="8:12" x14ac:dyDescent="0.25">
      <c r="H84" s="204">
        <v>43569</v>
      </c>
      <c r="I84" s="123">
        <v>29354.36</v>
      </c>
      <c r="J84" s="123">
        <v>28197.57</v>
      </c>
      <c r="K84" s="130">
        <v>28585.31</v>
      </c>
      <c r="L84" s="123">
        <f t="shared" si="1"/>
        <v>2019</v>
      </c>
    </row>
    <row r="85" spans="8:12" x14ac:dyDescent="0.25">
      <c r="H85" s="204">
        <v>43559</v>
      </c>
      <c r="I85" s="123">
        <v>29436.66</v>
      </c>
      <c r="J85" s="123">
        <v>27979.67</v>
      </c>
      <c r="K85" s="130">
        <v>28647.759999999998</v>
      </c>
      <c r="L85" s="123">
        <f t="shared" si="1"/>
        <v>2019</v>
      </c>
    </row>
    <row r="86" spans="8:12" x14ac:dyDescent="0.25">
      <c r="H86" s="204">
        <v>43549</v>
      </c>
      <c r="I86" s="123">
        <v>28054.34</v>
      </c>
      <c r="J86" s="123">
        <v>26816.86</v>
      </c>
      <c r="K86" s="130">
        <v>28005.31</v>
      </c>
      <c r="L86" s="123">
        <f t="shared" si="1"/>
        <v>2019</v>
      </c>
    </row>
    <row r="87" spans="8:12" x14ac:dyDescent="0.25">
      <c r="H87" s="204">
        <v>43539</v>
      </c>
      <c r="I87" s="123">
        <v>28154.49</v>
      </c>
      <c r="J87" s="123">
        <v>26475.98</v>
      </c>
      <c r="K87" s="130">
        <v>27143.51</v>
      </c>
      <c r="L87" s="123">
        <f t="shared" si="1"/>
        <v>2019</v>
      </c>
    </row>
    <row r="88" spans="8:12" x14ac:dyDescent="0.25">
      <c r="H88" s="204">
        <v>43529</v>
      </c>
      <c r="I88" s="123">
        <v>27279.19</v>
      </c>
      <c r="J88" s="123">
        <v>26018.560000000001</v>
      </c>
      <c r="K88" s="130">
        <v>26498.48</v>
      </c>
      <c r="L88" s="123">
        <f t="shared" si="1"/>
        <v>2019</v>
      </c>
    </row>
    <row r="89" spans="8:12" x14ac:dyDescent="0.25">
      <c r="H89" s="204">
        <v>43519</v>
      </c>
      <c r="I89" s="123">
        <v>28200.3</v>
      </c>
      <c r="J89" s="123">
        <v>26858.65</v>
      </c>
      <c r="K89" s="130">
        <v>26974.560000000001</v>
      </c>
      <c r="L89" s="123">
        <f t="shared" si="1"/>
        <v>2019</v>
      </c>
    </row>
    <row r="90" spans="8:12" x14ac:dyDescent="0.25">
      <c r="H90" s="204">
        <v>43509</v>
      </c>
      <c r="I90" s="123">
        <v>27179.200000000001</v>
      </c>
      <c r="J90" s="123">
        <v>25083.77</v>
      </c>
      <c r="K90" s="130">
        <v>27103.32</v>
      </c>
      <c r="L90" s="123">
        <f t="shared" si="1"/>
        <v>2019</v>
      </c>
    </row>
    <row r="91" spans="8:12" x14ac:dyDescent="0.25">
      <c r="H91" s="204">
        <v>43499</v>
      </c>
      <c r="I91" s="123">
        <v>26556.2</v>
      </c>
      <c r="J91" s="123">
        <v>25222.58</v>
      </c>
      <c r="K91" s="130">
        <v>25481.88</v>
      </c>
      <c r="L91" s="123">
        <f t="shared" si="1"/>
        <v>2019</v>
      </c>
    </row>
    <row r="92" spans="8:12" x14ac:dyDescent="0.25">
      <c r="H92" s="204">
        <v>43489</v>
      </c>
      <c r="I92" s="123">
        <v>26778.36</v>
      </c>
      <c r="J92" s="123">
        <v>25420.47</v>
      </c>
      <c r="K92" s="130">
        <v>26499.53</v>
      </c>
      <c r="L92" s="123">
        <f t="shared" si="1"/>
        <v>2019</v>
      </c>
    </row>
    <row r="93" spans="8:12" x14ac:dyDescent="0.25">
      <c r="H93" s="204">
        <v>43479</v>
      </c>
      <c r="I93" s="123">
        <v>26246.5</v>
      </c>
      <c r="J93" s="123">
        <v>25317.19</v>
      </c>
      <c r="K93" s="130">
        <v>25591.27</v>
      </c>
      <c r="L93" s="123">
        <f t="shared" si="1"/>
        <v>2019</v>
      </c>
    </row>
    <row r="94" spans="8:12" x14ac:dyDescent="0.25">
      <c r="H94" s="204">
        <v>43469</v>
      </c>
      <c r="I94" s="123">
        <v>26723.54</v>
      </c>
      <c r="J94" s="123">
        <v>25628.25</v>
      </c>
      <c r="K94" s="130">
        <v>26081.65</v>
      </c>
      <c r="L94" s="123">
        <f t="shared" si="1"/>
        <v>2019</v>
      </c>
    </row>
    <row r="95" spans="8:12" x14ac:dyDescent="0.25">
      <c r="H95" s="204">
        <v>43459</v>
      </c>
      <c r="I95" s="123">
        <v>25800.57</v>
      </c>
      <c r="J95" s="123">
        <v>25199.19</v>
      </c>
      <c r="K95" s="130">
        <v>25705.89</v>
      </c>
      <c r="L95" s="123">
        <f t="shared" si="1"/>
        <v>2018</v>
      </c>
    </row>
    <row r="96" spans="8:12" x14ac:dyDescent="0.25">
      <c r="H96" s="204">
        <v>43449</v>
      </c>
      <c r="I96" s="123">
        <v>25690.46</v>
      </c>
      <c r="J96" s="123">
        <v>25178.54</v>
      </c>
      <c r="K96" s="130">
        <v>25265.18</v>
      </c>
      <c r="L96" s="123">
        <f t="shared" si="1"/>
        <v>2018</v>
      </c>
    </row>
    <row r="97" spans="8:12" x14ac:dyDescent="0.25">
      <c r="H97" s="204">
        <v>43439</v>
      </c>
      <c r="I97" s="123">
        <v>25975.87</v>
      </c>
      <c r="J97" s="123">
        <v>25032.41</v>
      </c>
      <c r="K97" s="130">
        <v>25313.81</v>
      </c>
      <c r="L97" s="123">
        <f t="shared" si="1"/>
        <v>2018</v>
      </c>
    </row>
    <row r="98" spans="8:12" x14ac:dyDescent="0.25">
      <c r="H98" s="204">
        <v>43429</v>
      </c>
      <c r="I98" s="123">
        <v>27306.67</v>
      </c>
      <c r="J98" s="123">
        <v>25643.68</v>
      </c>
      <c r="K98" s="130">
        <v>25827.5</v>
      </c>
      <c r="L98" s="123">
        <f t="shared" si="1"/>
        <v>2018</v>
      </c>
    </row>
    <row r="99" spans="8:12" x14ac:dyDescent="0.25">
      <c r="H99" s="204">
        <v>43419</v>
      </c>
      <c r="I99" s="123">
        <v>27510.99</v>
      </c>
      <c r="J99" s="123">
        <v>26696.45</v>
      </c>
      <c r="K99" s="130">
        <v>27127.919999999998</v>
      </c>
      <c r="L99" s="123">
        <f t="shared" si="1"/>
        <v>2018</v>
      </c>
    </row>
    <row r="100" spans="8:12" x14ac:dyDescent="0.25">
      <c r="H100" s="204">
        <v>43409</v>
      </c>
      <c r="I100" s="123">
        <v>28218.07</v>
      </c>
      <c r="J100" s="123">
        <v>26586.66</v>
      </c>
      <c r="K100" s="130">
        <v>26880.44</v>
      </c>
      <c r="L100" s="123">
        <f t="shared" si="1"/>
        <v>2018</v>
      </c>
    </row>
    <row r="101" spans="8:12" x14ac:dyDescent="0.25">
      <c r="H101" s="204">
        <v>43399</v>
      </c>
      <c r="I101" s="123">
        <v>28053.7</v>
      </c>
      <c r="J101" s="123">
        <v>26464.32</v>
      </c>
      <c r="K101" s="130">
        <v>27973.08</v>
      </c>
      <c r="L101" s="123">
        <f t="shared" si="1"/>
        <v>2018</v>
      </c>
    </row>
    <row r="102" spans="8:12" x14ac:dyDescent="0.25">
      <c r="H102" s="204">
        <v>43389</v>
      </c>
      <c r="I102" s="123">
        <v>27221.23</v>
      </c>
      <c r="J102" s="123">
        <v>26298.19</v>
      </c>
      <c r="K102" s="130">
        <v>26581.759999999998</v>
      </c>
      <c r="L102" s="123">
        <f t="shared" si="1"/>
        <v>2018</v>
      </c>
    </row>
    <row r="103" spans="8:12" x14ac:dyDescent="0.25">
      <c r="H103" s="204">
        <v>43379</v>
      </c>
      <c r="I103" s="123">
        <v>27353.05</v>
      </c>
      <c r="J103" s="123">
        <v>26037.93</v>
      </c>
      <c r="K103" s="130">
        <v>27104.37</v>
      </c>
      <c r="L103" s="123">
        <f t="shared" si="1"/>
        <v>2018</v>
      </c>
    </row>
    <row r="104" spans="8:12" x14ac:dyDescent="0.25">
      <c r="H104" s="204">
        <v>43369</v>
      </c>
      <c r="I104" s="123">
        <v>26901.17</v>
      </c>
      <c r="J104" s="123">
        <v>25946.3</v>
      </c>
      <c r="K104" s="130">
        <v>26433.54</v>
      </c>
      <c r="L104" s="123">
        <f t="shared" si="1"/>
        <v>2018</v>
      </c>
    </row>
    <row r="105" spans="8:12" x14ac:dyDescent="0.25">
      <c r="H105" s="204">
        <v>43359</v>
      </c>
      <c r="I105" s="123">
        <v>26981.23</v>
      </c>
      <c r="J105" s="123">
        <v>25474.639999999999</v>
      </c>
      <c r="K105" s="130">
        <v>26515.599999999999</v>
      </c>
      <c r="L105" s="123">
        <f t="shared" si="1"/>
        <v>2018</v>
      </c>
    </row>
    <row r="106" spans="8:12" x14ac:dyDescent="0.25">
      <c r="H106" s="204">
        <v>43349</v>
      </c>
      <c r="I106" s="123">
        <v>26129.23</v>
      </c>
      <c r="J106" s="123">
        <v>24951.79</v>
      </c>
      <c r="K106" s="130">
        <v>25570.53</v>
      </c>
      <c r="L106" s="123">
        <f t="shared" si="1"/>
        <v>2018</v>
      </c>
    </row>
    <row r="107" spans="8:12" x14ac:dyDescent="0.25">
      <c r="H107" s="204">
        <v>43339</v>
      </c>
      <c r="I107" s="123">
        <v>26056.01</v>
      </c>
      <c r="J107" s="123">
        <v>24667.42</v>
      </c>
      <c r="K107" s="130">
        <v>25242.68</v>
      </c>
      <c r="L107" s="123">
        <f t="shared" si="1"/>
        <v>2018</v>
      </c>
    </row>
    <row r="108" spans="8:12" x14ac:dyDescent="0.25">
      <c r="H108" s="204">
        <v>43329</v>
      </c>
      <c r="I108" s="123">
        <v>25835.7</v>
      </c>
      <c r="J108" s="123">
        <v>24861.61</v>
      </c>
      <c r="K108" s="130">
        <v>25494.66</v>
      </c>
      <c r="L108" s="123">
        <f t="shared" si="1"/>
        <v>2018</v>
      </c>
    </row>
    <row r="109" spans="8:12" x14ac:dyDescent="0.25">
      <c r="H109" s="204">
        <v>43319</v>
      </c>
      <c r="I109" s="123">
        <v>27010.240000000002</v>
      </c>
      <c r="J109" s="123">
        <v>24314.240000000002</v>
      </c>
      <c r="K109" s="130">
        <v>25090.36</v>
      </c>
      <c r="L109" s="123">
        <f t="shared" si="1"/>
        <v>2018</v>
      </c>
    </row>
    <row r="110" spans="8:12" x14ac:dyDescent="0.25">
      <c r="H110" s="204">
        <v>43309</v>
      </c>
      <c r="I110" s="123">
        <v>27126.95</v>
      </c>
      <c r="J110" s="123">
        <v>26144.67</v>
      </c>
      <c r="K110" s="130">
        <v>26472.52</v>
      </c>
      <c r="L110" s="123">
        <f t="shared" si="1"/>
        <v>2018</v>
      </c>
    </row>
    <row r="111" spans="8:12" x14ac:dyDescent="0.25">
      <c r="H111" s="204">
        <v>43299</v>
      </c>
      <c r="I111" s="123">
        <v>27202.18</v>
      </c>
      <c r="J111" s="123">
        <v>25537.58</v>
      </c>
      <c r="K111" s="130">
        <v>26720.97</v>
      </c>
      <c r="L111" s="123">
        <f t="shared" si="1"/>
        <v>2018</v>
      </c>
    </row>
    <row r="112" spans="8:12" x14ac:dyDescent="0.25">
      <c r="H112" s="204">
        <v>43289</v>
      </c>
      <c r="I112" s="123">
        <v>27618.46</v>
      </c>
      <c r="J112" s="123">
        <v>26245.86</v>
      </c>
      <c r="K112" s="130">
        <v>26252.13</v>
      </c>
      <c r="L112" s="123">
        <f t="shared" si="1"/>
        <v>2018</v>
      </c>
    </row>
    <row r="113" spans="8:12" x14ac:dyDescent="0.25">
      <c r="H113" s="204">
        <v>43279</v>
      </c>
      <c r="I113" s="123">
        <v>27598.04</v>
      </c>
      <c r="J113" s="123">
        <v>25672.37</v>
      </c>
      <c r="K113" s="130">
        <v>27148.89</v>
      </c>
      <c r="L113" s="123">
        <f t="shared" si="1"/>
        <v>2018</v>
      </c>
    </row>
    <row r="114" spans="8:12" x14ac:dyDescent="0.25">
      <c r="H114" s="204">
        <v>43269</v>
      </c>
      <c r="I114" s="123">
        <v>28675.49</v>
      </c>
      <c r="J114" s="123">
        <v>27430.62</v>
      </c>
      <c r="K114" s="130">
        <v>27569.51</v>
      </c>
      <c r="L114" s="123">
        <f t="shared" si="1"/>
        <v>2018</v>
      </c>
    </row>
    <row r="115" spans="8:12" x14ac:dyDescent="0.25">
      <c r="H115" s="204">
        <v>43259</v>
      </c>
      <c r="I115" s="123">
        <v>29364.799999999999</v>
      </c>
      <c r="J115" s="123">
        <v>28478.25</v>
      </c>
      <c r="K115" s="130">
        <v>28569.88</v>
      </c>
      <c r="L115" s="123">
        <f t="shared" si="1"/>
        <v>2018</v>
      </c>
    </row>
    <row r="116" spans="8:12" x14ac:dyDescent="0.25">
      <c r="H116" s="204">
        <v>43249</v>
      </c>
      <c r="I116" s="123">
        <v>29413.35</v>
      </c>
      <c r="J116" s="123">
        <v>28713.19</v>
      </c>
      <c r="K116" s="130">
        <v>28951.67</v>
      </c>
      <c r="L116" s="123">
        <f t="shared" si="1"/>
        <v>2018</v>
      </c>
    </row>
    <row r="117" spans="8:12" x14ac:dyDescent="0.25">
      <c r="H117" s="204">
        <v>43239</v>
      </c>
      <c r="I117" s="123">
        <v>29397.040000000001</v>
      </c>
      <c r="J117" s="123">
        <v>28228.44</v>
      </c>
      <c r="K117" s="130">
        <v>29098.35</v>
      </c>
      <c r="L117" s="123">
        <f t="shared" si="1"/>
        <v>2018</v>
      </c>
    </row>
    <row r="118" spans="8:12" x14ac:dyDescent="0.25">
      <c r="H118" s="204">
        <v>43229</v>
      </c>
      <c r="I118" s="123">
        <v>29882.59</v>
      </c>
      <c r="J118" s="123">
        <v>28363.47</v>
      </c>
      <c r="K118" s="130">
        <v>28525.59</v>
      </c>
      <c r="L118" s="123">
        <f t="shared" si="1"/>
        <v>2018</v>
      </c>
    </row>
    <row r="119" spans="8:12" x14ac:dyDescent="0.25">
      <c r="H119" s="204">
        <v>43219</v>
      </c>
      <c r="I119" s="123">
        <v>29556.42</v>
      </c>
      <c r="J119" s="123">
        <v>28716.639999999999</v>
      </c>
      <c r="K119" s="130">
        <v>29416.65</v>
      </c>
      <c r="L119" s="123">
        <f t="shared" si="1"/>
        <v>2018</v>
      </c>
    </row>
    <row r="120" spans="8:12" x14ac:dyDescent="0.25">
      <c r="H120" s="204">
        <v>43209</v>
      </c>
      <c r="I120" s="123">
        <v>30675.27</v>
      </c>
      <c r="J120" s="123">
        <v>29112.5</v>
      </c>
      <c r="K120" s="130">
        <v>29413.99</v>
      </c>
      <c r="L120" s="123">
        <f t="shared" si="1"/>
        <v>2018</v>
      </c>
    </row>
    <row r="121" spans="8:12" x14ac:dyDescent="0.25">
      <c r="H121" s="204">
        <v>43199</v>
      </c>
      <c r="I121" s="123">
        <v>30495.14</v>
      </c>
      <c r="J121" s="123">
        <v>29482.23</v>
      </c>
      <c r="K121" s="130">
        <v>30329.33</v>
      </c>
      <c r="L121" s="123">
        <f t="shared" si="1"/>
        <v>2018</v>
      </c>
    </row>
    <row r="122" spans="8:12" x14ac:dyDescent="0.25">
      <c r="H122" s="204">
        <v>43189</v>
      </c>
      <c r="I122" s="123">
        <v>30219.05</v>
      </c>
      <c r="J122" s="123">
        <v>29173.67</v>
      </c>
      <c r="K122" s="130">
        <v>29588.65</v>
      </c>
      <c r="L122" s="123">
        <f t="shared" si="1"/>
        <v>2018</v>
      </c>
    </row>
    <row r="123" spans="8:12" x14ac:dyDescent="0.25">
      <c r="H123" s="204">
        <v>43179</v>
      </c>
      <c r="I123" s="123">
        <v>30971.38</v>
      </c>
      <c r="J123" s="123">
        <v>29873.11</v>
      </c>
      <c r="K123" s="130">
        <v>29953.32</v>
      </c>
      <c r="L123" s="123">
        <f t="shared" si="1"/>
        <v>2018</v>
      </c>
    </row>
    <row r="124" spans="8:12" x14ac:dyDescent="0.25">
      <c r="H124" s="204">
        <v>43169</v>
      </c>
      <c r="I124" s="123">
        <v>31311.21</v>
      </c>
      <c r="J124" s="123">
        <v>30267.52</v>
      </c>
      <c r="K124" s="130">
        <v>30673.9</v>
      </c>
      <c r="L124" s="123">
        <f t="shared" si="1"/>
        <v>2018</v>
      </c>
    </row>
    <row r="125" spans="8:12" x14ac:dyDescent="0.25">
      <c r="H125" s="204">
        <v>43159</v>
      </c>
      <c r="I125" s="123">
        <v>31738.82</v>
      </c>
      <c r="J125" s="123">
        <v>30432.69</v>
      </c>
      <c r="K125" s="130">
        <v>31045.89</v>
      </c>
      <c r="L125" s="123">
        <f t="shared" si="1"/>
        <v>2018</v>
      </c>
    </row>
    <row r="126" spans="8:12" x14ac:dyDescent="0.25">
      <c r="H126" s="204">
        <v>43149</v>
      </c>
      <c r="I126" s="123">
        <v>32605.52</v>
      </c>
      <c r="J126" s="123">
        <v>31568.18</v>
      </c>
      <c r="K126" s="130">
        <v>31599.439999999999</v>
      </c>
      <c r="L126" s="123">
        <f t="shared" si="1"/>
        <v>2018</v>
      </c>
    </row>
    <row r="127" spans="8:12" x14ac:dyDescent="0.25">
      <c r="H127" s="204">
        <v>43139</v>
      </c>
      <c r="I127" s="123">
        <v>32568.95</v>
      </c>
      <c r="J127" s="123">
        <v>30798.57</v>
      </c>
      <c r="K127" s="130">
        <v>32328.78</v>
      </c>
      <c r="L127" s="123">
        <f t="shared" si="1"/>
        <v>2018</v>
      </c>
    </row>
    <row r="128" spans="8:12" x14ac:dyDescent="0.25">
      <c r="H128" s="204">
        <v>43129</v>
      </c>
      <c r="I128" s="123">
        <v>32570.959999999999</v>
      </c>
      <c r="J128" s="123">
        <v>31425.18</v>
      </c>
      <c r="K128" s="130">
        <v>31559.25</v>
      </c>
      <c r="L128" s="123">
        <f t="shared" si="1"/>
        <v>2018</v>
      </c>
    </row>
    <row r="129" spans="8:12" x14ac:dyDescent="0.25">
      <c r="H129" s="204">
        <v>43119</v>
      </c>
      <c r="I129" s="123">
        <v>33052.980000000003</v>
      </c>
      <c r="J129" s="123">
        <v>31813.24</v>
      </c>
      <c r="K129" s="130">
        <v>32475.47</v>
      </c>
      <c r="L129" s="123">
        <f t="shared" si="1"/>
        <v>2018</v>
      </c>
    </row>
    <row r="130" spans="8:12" x14ac:dyDescent="0.25">
      <c r="H130" s="204">
        <v>43109</v>
      </c>
      <c r="I130" s="123">
        <v>32415.11</v>
      </c>
      <c r="J130" s="123">
        <v>30803.95</v>
      </c>
      <c r="K130" s="130">
        <v>32209.74</v>
      </c>
      <c r="L130" s="123">
        <f t="shared" si="1"/>
        <v>2018</v>
      </c>
    </row>
    <row r="131" spans="8:12" x14ac:dyDescent="0.25">
      <c r="H131" s="204">
        <v>43099</v>
      </c>
      <c r="I131" s="123">
        <v>31322.3</v>
      </c>
      <c r="J131" s="123">
        <v>29843.77</v>
      </c>
      <c r="K131" s="130">
        <v>31183.17</v>
      </c>
      <c r="L131" s="123">
        <f t="shared" si="1"/>
        <v>2017</v>
      </c>
    </row>
    <row r="132" spans="8:12" x14ac:dyDescent="0.25">
      <c r="H132" s="204">
        <v>43089</v>
      </c>
      <c r="I132" s="123">
        <v>30108.05</v>
      </c>
      <c r="J132" s="123">
        <v>29248.26</v>
      </c>
      <c r="K132" s="130">
        <v>29857.19</v>
      </c>
      <c r="L132" s="123">
        <f t="shared" si="1"/>
        <v>2017</v>
      </c>
    </row>
    <row r="133" spans="8:12" x14ac:dyDescent="0.25">
      <c r="H133" s="204">
        <v>43079</v>
      </c>
      <c r="I133" s="123">
        <v>29557.39</v>
      </c>
      <c r="J133" s="123">
        <v>28107.63</v>
      </c>
      <c r="K133" s="130">
        <v>29386.75</v>
      </c>
      <c r="L133" s="123">
        <f t="shared" si="1"/>
        <v>2017</v>
      </c>
    </row>
    <row r="134" spans="8:12" x14ac:dyDescent="0.25">
      <c r="H134" s="204">
        <v>43069</v>
      </c>
      <c r="I134" s="123">
        <v>30487.51</v>
      </c>
      <c r="J134" s="123">
        <v>28385.01</v>
      </c>
      <c r="K134" s="130">
        <v>28571.65</v>
      </c>
      <c r="L134" s="123">
        <f t="shared" si="1"/>
        <v>2017</v>
      </c>
    </row>
    <row r="135" spans="8:12" x14ac:dyDescent="0.25">
      <c r="H135" s="204">
        <v>43059</v>
      </c>
      <c r="I135" s="123">
        <v>30769.87</v>
      </c>
      <c r="J135" s="123">
        <v>29599.42</v>
      </c>
      <c r="K135" s="130">
        <v>30256.5</v>
      </c>
      <c r="L135" s="123">
        <f t="shared" si="1"/>
        <v>2017</v>
      </c>
    </row>
    <row r="136" spans="8:12" x14ac:dyDescent="0.25">
      <c r="H136" s="204">
        <v>43049</v>
      </c>
      <c r="I136" s="123">
        <v>30692.63</v>
      </c>
      <c r="J136" s="123">
        <v>29690.09</v>
      </c>
      <c r="K136" s="130">
        <v>30517.49</v>
      </c>
      <c r="L136" s="123">
        <f t="shared" ref="L136:L186" si="2">YEAR(H136)</f>
        <v>2017</v>
      </c>
    </row>
    <row r="137" spans="8:12" x14ac:dyDescent="0.25">
      <c r="H137" s="204">
        <v>43039</v>
      </c>
      <c r="I137" s="123">
        <v>30197.67</v>
      </c>
      <c r="J137" s="123">
        <v>29435.29</v>
      </c>
      <c r="K137" s="130">
        <v>30150.49</v>
      </c>
      <c r="L137" s="123">
        <f t="shared" si="2"/>
        <v>2017</v>
      </c>
    </row>
    <row r="138" spans="8:12" x14ac:dyDescent="0.25">
      <c r="H138" s="204">
        <v>43029</v>
      </c>
      <c r="I138" s="123">
        <v>29924.87</v>
      </c>
      <c r="J138" s="123">
        <v>29336.91</v>
      </c>
      <c r="K138" s="130">
        <v>29622.41</v>
      </c>
      <c r="L138" s="123">
        <f t="shared" si="2"/>
        <v>2017</v>
      </c>
    </row>
    <row r="139" spans="8:12" x14ac:dyDescent="0.25">
      <c r="H139" s="204">
        <v>43019</v>
      </c>
      <c r="I139" s="123">
        <v>30463.4</v>
      </c>
      <c r="J139" s="123">
        <v>29503.53</v>
      </c>
      <c r="K139" s="130">
        <v>29736.63</v>
      </c>
      <c r="L139" s="123">
        <f t="shared" si="2"/>
        <v>2017</v>
      </c>
    </row>
    <row r="140" spans="8:12" x14ac:dyDescent="0.25">
      <c r="H140" s="204">
        <v>43009</v>
      </c>
      <c r="I140" s="123">
        <v>30033.3</v>
      </c>
      <c r="J140" s="123">
        <v>29092.65</v>
      </c>
      <c r="K140" s="130">
        <v>29985.88</v>
      </c>
      <c r="L140" s="123">
        <f t="shared" si="2"/>
        <v>2017</v>
      </c>
    </row>
    <row r="141" spans="8:12" x14ac:dyDescent="0.25">
      <c r="H141" s="204">
        <v>42999</v>
      </c>
      <c r="I141" s="123">
        <v>30411.63</v>
      </c>
      <c r="J141" s="123">
        <v>29322.93</v>
      </c>
      <c r="K141" s="130">
        <v>29345.84</v>
      </c>
      <c r="L141" s="123">
        <f t="shared" si="2"/>
        <v>2017</v>
      </c>
    </row>
    <row r="142" spans="8:12" x14ac:dyDescent="0.25">
      <c r="H142" s="204">
        <v>42989</v>
      </c>
      <c r="I142" s="123">
        <v>32328.14</v>
      </c>
      <c r="J142" s="123">
        <v>30082.25</v>
      </c>
      <c r="K142" s="130">
        <v>30237.13</v>
      </c>
      <c r="L142" s="123">
        <f t="shared" si="2"/>
        <v>2017</v>
      </c>
    </row>
    <row r="143" spans="8:12" x14ac:dyDescent="0.25">
      <c r="H143" s="204">
        <v>42979</v>
      </c>
      <c r="I143" s="123">
        <v>32874.78</v>
      </c>
      <c r="J143" s="123">
        <v>31988.47</v>
      </c>
      <c r="K143" s="130">
        <v>32245.35</v>
      </c>
      <c r="L143" s="123">
        <f t="shared" si="2"/>
        <v>2017</v>
      </c>
    </row>
    <row r="144" spans="8:12" x14ac:dyDescent="0.25">
      <c r="H144" s="204">
        <v>42969</v>
      </c>
      <c r="I144" s="123">
        <v>32340.84</v>
      </c>
      <c r="J144" s="123">
        <v>31185.18</v>
      </c>
      <c r="K144" s="130">
        <v>32083.71</v>
      </c>
      <c r="L144" s="123">
        <f t="shared" si="2"/>
        <v>2017</v>
      </c>
    </row>
    <row r="145" spans="8:12" x14ac:dyDescent="0.25">
      <c r="H145" s="204">
        <v>42959</v>
      </c>
      <c r="I145" s="123">
        <v>31788.17</v>
      </c>
      <c r="J145" s="123">
        <v>30635.24</v>
      </c>
      <c r="K145" s="130">
        <v>31577.18</v>
      </c>
      <c r="L145" s="123">
        <f t="shared" si="2"/>
        <v>2017</v>
      </c>
    </row>
    <row r="146" spans="8:12" x14ac:dyDescent="0.25">
      <c r="H146" s="204">
        <v>42949</v>
      </c>
      <c r="I146" s="123">
        <v>31860.26</v>
      </c>
      <c r="J146" s="123">
        <v>30252.73</v>
      </c>
      <c r="K146" s="130">
        <v>31635.61</v>
      </c>
      <c r="L146" s="123">
        <f t="shared" si="2"/>
        <v>2017</v>
      </c>
    </row>
    <row r="147" spans="8:12" x14ac:dyDescent="0.25">
      <c r="H147" s="204">
        <v>42939</v>
      </c>
      <c r="I147" s="123">
        <v>30487.43</v>
      </c>
      <c r="J147" s="123">
        <v>29528.93</v>
      </c>
      <c r="K147" s="130">
        <v>30361.08</v>
      </c>
      <c r="L147" s="123">
        <f t="shared" si="2"/>
        <v>2017</v>
      </c>
    </row>
    <row r="148" spans="8:12" x14ac:dyDescent="0.25">
      <c r="H148" s="204">
        <v>42929</v>
      </c>
      <c r="I148" s="123">
        <v>30193.97</v>
      </c>
      <c r="J148" s="123">
        <v>29089.67</v>
      </c>
      <c r="K148" s="130">
        <v>30063.599999999999</v>
      </c>
      <c r="L148" s="123">
        <f t="shared" si="2"/>
        <v>2017</v>
      </c>
    </row>
    <row r="149" spans="8:12" x14ac:dyDescent="0.25">
      <c r="H149" s="204">
        <v>42919</v>
      </c>
      <c r="I149" s="123">
        <v>29811.62</v>
      </c>
      <c r="J149" s="123">
        <v>28655.16</v>
      </c>
      <c r="K149" s="130">
        <v>29446.39</v>
      </c>
      <c r="L149" s="123">
        <f t="shared" si="2"/>
        <v>2017</v>
      </c>
    </row>
    <row r="150" spans="8:12" x14ac:dyDescent="0.25">
      <c r="H150" s="204">
        <v>42909</v>
      </c>
      <c r="I150" s="123">
        <v>30032.17</v>
      </c>
      <c r="J150" s="123">
        <v>29266.58</v>
      </c>
      <c r="K150" s="130">
        <v>29811.14</v>
      </c>
      <c r="L150" s="123">
        <f t="shared" si="2"/>
        <v>2017</v>
      </c>
    </row>
    <row r="151" spans="8:12" x14ac:dyDescent="0.25">
      <c r="H151" s="204">
        <v>42899</v>
      </c>
      <c r="I151" s="123">
        <v>30658.23</v>
      </c>
      <c r="J151" s="123">
        <v>29523.31</v>
      </c>
      <c r="K151" s="130">
        <v>29802.3</v>
      </c>
      <c r="L151" s="123">
        <f t="shared" si="2"/>
        <v>2017</v>
      </c>
    </row>
    <row r="152" spans="8:12" x14ac:dyDescent="0.25">
      <c r="H152" s="204">
        <v>42889</v>
      </c>
      <c r="I152" s="123">
        <v>31117.58</v>
      </c>
      <c r="J152" s="123">
        <v>30073.49</v>
      </c>
      <c r="K152" s="130">
        <v>30374.26</v>
      </c>
      <c r="L152" s="123">
        <f t="shared" si="2"/>
        <v>2017</v>
      </c>
    </row>
    <row r="153" spans="8:12" x14ac:dyDescent="0.25">
      <c r="H153" s="204">
        <v>42879</v>
      </c>
      <c r="I153" s="123">
        <v>31057.14</v>
      </c>
      <c r="J153" s="123">
        <v>29762.67</v>
      </c>
      <c r="K153" s="130">
        <v>30678.400000000001</v>
      </c>
      <c r="L153" s="123">
        <f t="shared" si="2"/>
        <v>2017</v>
      </c>
    </row>
    <row r="154" spans="8:12" x14ac:dyDescent="0.25">
      <c r="H154" s="204">
        <v>42869</v>
      </c>
      <c r="I154" s="123">
        <v>30805.56</v>
      </c>
      <c r="J154" s="123">
        <v>29619.68</v>
      </c>
      <c r="K154" s="130">
        <v>30349.02</v>
      </c>
      <c r="L154" s="123">
        <f t="shared" si="2"/>
        <v>2017</v>
      </c>
    </row>
    <row r="155" spans="8:12" x14ac:dyDescent="0.25">
      <c r="H155" s="204">
        <v>42859</v>
      </c>
      <c r="I155" s="123">
        <v>29760.98</v>
      </c>
      <c r="J155" s="123">
        <v>28763.91</v>
      </c>
      <c r="K155" s="130">
        <v>29620.880000000001</v>
      </c>
      <c r="L155" s="123">
        <f t="shared" si="2"/>
        <v>2017</v>
      </c>
    </row>
    <row r="156" spans="8:12" x14ac:dyDescent="0.25">
      <c r="H156" s="204">
        <v>42849</v>
      </c>
      <c r="I156" s="123">
        <v>31298.75</v>
      </c>
      <c r="J156" s="123">
        <v>28818.48</v>
      </c>
      <c r="K156" s="130">
        <v>28871.93</v>
      </c>
      <c r="L156" s="123">
        <f t="shared" si="2"/>
        <v>2017</v>
      </c>
    </row>
    <row r="157" spans="8:12" x14ac:dyDescent="0.25">
      <c r="H157" s="204">
        <v>42839</v>
      </c>
      <c r="I157" s="123">
        <v>31826.83</v>
      </c>
      <c r="J157" s="123">
        <v>31014.06</v>
      </c>
      <c r="K157" s="130">
        <v>31220.87</v>
      </c>
      <c r="L157" s="123">
        <f t="shared" si="2"/>
        <v>2017</v>
      </c>
    </row>
    <row r="158" spans="8:12" x14ac:dyDescent="0.25">
      <c r="H158" s="204">
        <v>42829</v>
      </c>
      <c r="I158" s="123">
        <v>31502.43</v>
      </c>
      <c r="J158" s="123">
        <v>30150.81</v>
      </c>
      <c r="K158" s="130">
        <v>31275.919999999998</v>
      </c>
      <c r="L158" s="123">
        <f t="shared" si="2"/>
        <v>2017</v>
      </c>
    </row>
    <row r="159" spans="8:12" x14ac:dyDescent="0.25">
      <c r="H159" s="204">
        <v>42819</v>
      </c>
      <c r="I159" s="123">
        <v>31653.78</v>
      </c>
      <c r="J159" s="123">
        <v>30235.119999999999</v>
      </c>
      <c r="K159" s="130">
        <v>30886.98</v>
      </c>
      <c r="L159" s="123">
        <f t="shared" si="2"/>
        <v>2017</v>
      </c>
    </row>
    <row r="160" spans="8:12" x14ac:dyDescent="0.25">
      <c r="H160" s="204">
        <v>42809</v>
      </c>
      <c r="I160" s="123">
        <v>31399.38</v>
      </c>
      <c r="J160" s="123">
        <v>29997.77</v>
      </c>
      <c r="K160" s="130">
        <v>31066.06</v>
      </c>
      <c r="L160" s="123">
        <f t="shared" si="2"/>
        <v>2017</v>
      </c>
    </row>
    <row r="161" spans="8:12" x14ac:dyDescent="0.25">
      <c r="H161" s="204">
        <v>42799</v>
      </c>
      <c r="I161" s="123">
        <v>32174.38</v>
      </c>
      <c r="J161" s="123">
        <v>30047.53</v>
      </c>
      <c r="K161" s="130">
        <v>30181.11</v>
      </c>
      <c r="L161" s="123">
        <f t="shared" si="2"/>
        <v>2017</v>
      </c>
    </row>
    <row r="162" spans="8:12" x14ac:dyDescent="0.25">
      <c r="H162" s="204">
        <v>42789</v>
      </c>
      <c r="I162" s="123">
        <v>33643.18</v>
      </c>
      <c r="J162" s="123">
        <v>31613.83</v>
      </c>
      <c r="K162" s="130">
        <v>32116.75</v>
      </c>
      <c r="L162" s="123">
        <f t="shared" si="2"/>
        <v>2017</v>
      </c>
    </row>
    <row r="163" spans="8:12" x14ac:dyDescent="0.25">
      <c r="H163" s="204">
        <v>42779</v>
      </c>
      <c r="I163" s="123">
        <v>32782.67</v>
      </c>
      <c r="J163" s="123">
        <v>31808.26</v>
      </c>
      <c r="K163" s="130">
        <v>32263.43</v>
      </c>
      <c r="L163" s="123">
        <f t="shared" si="2"/>
        <v>2017</v>
      </c>
    </row>
    <row r="164" spans="8:12" x14ac:dyDescent="0.25">
      <c r="H164" s="204">
        <v>42769</v>
      </c>
      <c r="I164" s="123">
        <v>33106.589999999997</v>
      </c>
      <c r="J164" s="123">
        <v>31699.83</v>
      </c>
      <c r="K164" s="130">
        <v>32424.99</v>
      </c>
      <c r="L164" s="123">
        <f t="shared" si="2"/>
        <v>2017</v>
      </c>
    </row>
    <row r="165" spans="8:12" x14ac:dyDescent="0.25">
      <c r="H165" s="204">
        <v>42759</v>
      </c>
      <c r="I165" s="123">
        <v>32573.37</v>
      </c>
      <c r="J165" s="123">
        <v>30967.759999999998</v>
      </c>
      <c r="K165" s="130">
        <v>32092.79</v>
      </c>
      <c r="L165" s="123">
        <f t="shared" si="2"/>
        <v>2017</v>
      </c>
    </row>
    <row r="166" spans="8:12" x14ac:dyDescent="0.25">
      <c r="H166" s="204">
        <v>42749</v>
      </c>
      <c r="I166" s="123">
        <v>31983.88</v>
      </c>
      <c r="J166" s="123">
        <v>30516.44</v>
      </c>
      <c r="K166" s="130">
        <v>31582.48</v>
      </c>
      <c r="L166" s="123">
        <f t="shared" si="2"/>
        <v>2017</v>
      </c>
    </row>
    <row r="167" spans="8:12" x14ac:dyDescent="0.25">
      <c r="H167" s="204">
        <v>42739</v>
      </c>
      <c r="I167" s="123">
        <v>31883.73</v>
      </c>
      <c r="J167" s="123">
        <v>29762.43</v>
      </c>
      <c r="K167" s="130">
        <v>31665.59</v>
      </c>
      <c r="L167" s="123">
        <f t="shared" si="2"/>
        <v>2017</v>
      </c>
    </row>
    <row r="168" spans="8:12" x14ac:dyDescent="0.25">
      <c r="H168" s="204">
        <v>42729</v>
      </c>
      <c r="I168" s="123">
        <v>30441.93</v>
      </c>
      <c r="J168" s="123">
        <v>28692.93</v>
      </c>
      <c r="K168" s="130">
        <v>29855.42</v>
      </c>
      <c r="L168" s="123">
        <f t="shared" si="2"/>
        <v>2016</v>
      </c>
    </row>
    <row r="169" spans="8:12" x14ac:dyDescent="0.25">
      <c r="H169" s="204">
        <v>42719</v>
      </c>
      <c r="I169" s="123">
        <v>30106.52</v>
      </c>
      <c r="J169" s="123">
        <v>28566.5</v>
      </c>
      <c r="K169" s="130">
        <v>28692.93</v>
      </c>
      <c r="L169" s="123">
        <f t="shared" si="2"/>
        <v>2016</v>
      </c>
    </row>
    <row r="170" spans="8:12" x14ac:dyDescent="0.25">
      <c r="H170" s="204">
        <v>42709</v>
      </c>
      <c r="I170" s="123">
        <v>30653.65</v>
      </c>
      <c r="J170" s="123">
        <v>29253.72</v>
      </c>
      <c r="K170" s="130">
        <v>29799.32</v>
      </c>
      <c r="L170" s="123">
        <f t="shared" si="2"/>
        <v>2016</v>
      </c>
    </row>
    <row r="171" spans="8:12" x14ac:dyDescent="0.25">
      <c r="H171" s="204">
        <v>42699</v>
      </c>
      <c r="I171" s="123">
        <v>30199.360000000001</v>
      </c>
      <c r="J171" s="123">
        <v>28907.38</v>
      </c>
      <c r="K171" s="130">
        <v>29809.69</v>
      </c>
      <c r="L171" s="123">
        <f t="shared" si="2"/>
        <v>2016</v>
      </c>
    </row>
    <row r="172" spans="8:12" x14ac:dyDescent="0.25">
      <c r="H172" s="204">
        <v>42689</v>
      </c>
      <c r="I172" s="123">
        <v>30609.439999999999</v>
      </c>
      <c r="J172" s="123">
        <v>29364.560000000001</v>
      </c>
      <c r="K172" s="130">
        <v>29506.19</v>
      </c>
      <c r="L172" s="123">
        <f t="shared" si="2"/>
        <v>2016</v>
      </c>
    </row>
    <row r="173" spans="8:12" x14ac:dyDescent="0.25">
      <c r="H173" s="204">
        <v>42679</v>
      </c>
      <c r="I173" s="123">
        <v>32823.18</v>
      </c>
      <c r="J173" s="123">
        <v>29692.02</v>
      </c>
      <c r="K173" s="130">
        <v>30083.61</v>
      </c>
      <c r="L173" s="123">
        <f t="shared" si="2"/>
        <v>2016</v>
      </c>
    </row>
    <row r="174" spans="8:12" x14ac:dyDescent="0.25">
      <c r="H174" s="204">
        <v>42669</v>
      </c>
      <c r="I174" s="123">
        <v>32320.82</v>
      </c>
      <c r="J174" s="123">
        <v>30794.31</v>
      </c>
      <c r="K174" s="130">
        <v>32111.84</v>
      </c>
      <c r="L174" s="123">
        <f t="shared" si="2"/>
        <v>2016</v>
      </c>
    </row>
    <row r="175" spans="8:12" x14ac:dyDescent="0.25">
      <c r="H175" s="204">
        <v>42659</v>
      </c>
      <c r="I175" s="123">
        <v>31740.82</v>
      </c>
      <c r="J175" s="123">
        <v>29819.82</v>
      </c>
      <c r="K175" s="130">
        <v>30780.32</v>
      </c>
      <c r="L175" s="123">
        <f t="shared" si="2"/>
        <v>2016</v>
      </c>
    </row>
    <row r="176" spans="8:12" x14ac:dyDescent="0.25">
      <c r="H176" s="204">
        <v>42649</v>
      </c>
      <c r="I176" s="123">
        <v>34052.46</v>
      </c>
      <c r="J176" s="123">
        <v>31240.880000000001</v>
      </c>
      <c r="K176" s="130">
        <v>32646.67</v>
      </c>
      <c r="L176" s="123">
        <f t="shared" si="2"/>
        <v>2016</v>
      </c>
    </row>
    <row r="177" spans="8:12" x14ac:dyDescent="0.25">
      <c r="H177" s="204">
        <v>42639</v>
      </c>
      <c r="I177" s="123">
        <v>34517.040000000001</v>
      </c>
      <c r="J177" s="123">
        <v>32753.57</v>
      </c>
      <c r="K177" s="130">
        <v>33635.31</v>
      </c>
      <c r="L177" s="123">
        <f t="shared" si="2"/>
        <v>2016</v>
      </c>
    </row>
    <row r="178" spans="8:12" x14ac:dyDescent="0.25">
      <c r="H178" s="204">
        <v>42629</v>
      </c>
      <c r="I178" s="123">
        <v>35965.43</v>
      </c>
      <c r="J178" s="123">
        <v>32922.04</v>
      </c>
      <c r="K178" s="130">
        <v>34443.74</v>
      </c>
      <c r="L178" s="123">
        <f t="shared" si="2"/>
        <v>2016</v>
      </c>
    </row>
    <row r="179" spans="8:12" x14ac:dyDescent="0.25">
      <c r="H179" s="204">
        <v>42619</v>
      </c>
      <c r="I179" s="123">
        <v>35203.46</v>
      </c>
      <c r="J179" s="123">
        <v>33478.57</v>
      </c>
      <c r="K179" s="130">
        <v>34341.019999999997</v>
      </c>
      <c r="L179" s="123">
        <f t="shared" si="2"/>
        <v>2016</v>
      </c>
    </row>
    <row r="180" spans="8:12" x14ac:dyDescent="0.25">
      <c r="H180" s="204">
        <v>42609</v>
      </c>
      <c r="I180" s="123">
        <v>36868.870000000003</v>
      </c>
      <c r="J180" s="123">
        <v>34457.56</v>
      </c>
      <c r="K180" s="130">
        <v>35663.22</v>
      </c>
      <c r="L180" s="123">
        <f t="shared" si="2"/>
        <v>2016</v>
      </c>
    </row>
    <row r="181" spans="8:12" x14ac:dyDescent="0.25">
      <c r="H181" s="204">
        <v>42599</v>
      </c>
      <c r="I181" s="123">
        <v>38484.44</v>
      </c>
      <c r="J181" s="123">
        <v>35754.85</v>
      </c>
      <c r="K181" s="130">
        <v>37119.64</v>
      </c>
      <c r="L181" s="123">
        <f t="shared" si="2"/>
        <v>2016</v>
      </c>
    </row>
    <row r="182" spans="8:12" x14ac:dyDescent="0.25">
      <c r="H182" s="204">
        <v>42589</v>
      </c>
      <c r="I182" s="123">
        <v>38119.53</v>
      </c>
      <c r="J182" s="123">
        <v>36339.99</v>
      </c>
      <c r="K182" s="130">
        <v>37229.760000000002</v>
      </c>
      <c r="L182" s="123">
        <f t="shared" si="2"/>
        <v>2016</v>
      </c>
    </row>
    <row r="183" spans="8:12" x14ac:dyDescent="0.25">
      <c r="H183" s="204">
        <v>42579</v>
      </c>
      <c r="I183" s="123">
        <v>37536</v>
      </c>
      <c r="J183" s="123">
        <v>34455.96</v>
      </c>
      <c r="K183" s="130">
        <v>35995.980000000003</v>
      </c>
      <c r="L183" s="123">
        <f t="shared" si="2"/>
        <v>2016</v>
      </c>
    </row>
    <row r="184" spans="8:12" x14ac:dyDescent="0.25">
      <c r="H184" s="204">
        <v>42569</v>
      </c>
      <c r="I184" s="123">
        <v>35960.61</v>
      </c>
      <c r="J184" s="123">
        <v>34803.18</v>
      </c>
      <c r="K184" s="130">
        <v>35381.9</v>
      </c>
      <c r="L184" s="123">
        <f t="shared" si="2"/>
        <v>2016</v>
      </c>
    </row>
    <row r="185" spans="8:12" x14ac:dyDescent="0.25">
      <c r="H185" s="204">
        <v>42559</v>
      </c>
      <c r="I185" s="123">
        <v>35494.42</v>
      </c>
      <c r="J185" s="123">
        <v>31546.31</v>
      </c>
      <c r="K185" s="130">
        <v>33520.370000000003</v>
      </c>
      <c r="L185" s="123">
        <f t="shared" si="2"/>
        <v>2016</v>
      </c>
    </row>
    <row r="186" spans="8:12" x14ac:dyDescent="0.25">
      <c r="H186" s="204">
        <v>42549</v>
      </c>
      <c r="I186" s="123">
        <v>32456.18</v>
      </c>
      <c r="J186" s="123">
        <v>31102.31</v>
      </c>
      <c r="K186" s="130">
        <v>31779.24</v>
      </c>
      <c r="L186" s="123">
        <f t="shared" si="2"/>
        <v>2016</v>
      </c>
    </row>
    <row r="187" spans="8:12" x14ac:dyDescent="0.25">
      <c r="H187" s="148"/>
      <c r="I187" s="149"/>
      <c r="J187" s="149"/>
      <c r="K187" s="150"/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634B0-FC79-419A-B280-7FAFE045829E}">
  <sheetPr codeName="Sheet33"/>
  <dimension ref="A1:AN85"/>
  <sheetViews>
    <sheetView workbookViewId="0">
      <selection sqref="A1:F1"/>
    </sheetView>
  </sheetViews>
  <sheetFormatPr defaultColWidth="10.28515625" defaultRowHeight="14.25" x14ac:dyDescent="0.2"/>
  <cols>
    <col min="1" max="1" width="18.28515625" style="209" customWidth="1"/>
    <col min="2" max="2" width="15.5703125" style="209" customWidth="1"/>
    <col min="3" max="3" width="28.140625" style="209" customWidth="1"/>
    <col min="4" max="4" width="20.5703125" style="209" customWidth="1"/>
    <col min="5" max="5" width="12.140625" style="209" customWidth="1"/>
    <col min="6" max="6" width="11.5703125" style="209" customWidth="1"/>
    <col min="7" max="7" width="0.5703125" style="209" customWidth="1"/>
    <col min="8" max="8" width="14.42578125" style="209" customWidth="1"/>
    <col min="9" max="9" width="22" style="209" customWidth="1"/>
    <col min="10" max="10" width="29.85546875" style="209" customWidth="1"/>
    <col min="11" max="11" width="10.42578125" style="209" bestFit="1" customWidth="1"/>
    <col min="12" max="12" width="0.5703125" style="209" customWidth="1"/>
    <col min="13" max="13" width="10.28515625" style="209"/>
    <col min="14" max="14" width="18.28515625" style="209" customWidth="1"/>
    <col min="15" max="15" width="29.5703125" style="209" customWidth="1"/>
    <col min="16" max="16" width="18" style="209" customWidth="1"/>
    <col min="17" max="17" width="30" style="209" customWidth="1"/>
    <col min="18" max="18" width="22.85546875" style="209" customWidth="1"/>
    <col min="19" max="19" width="10.85546875" style="209" customWidth="1"/>
    <col min="20" max="20" width="10" style="209" customWidth="1"/>
    <col min="21" max="21" width="12.28515625" style="209" customWidth="1"/>
    <col min="22" max="22" width="28.42578125" style="209" customWidth="1"/>
    <col min="23" max="23" width="14.42578125" style="209" bestFit="1" customWidth="1"/>
    <col min="24" max="26" width="10.28515625" style="209"/>
    <col min="27" max="27" width="18.85546875" style="209" customWidth="1"/>
    <col min="28" max="28" width="21.5703125" style="209" customWidth="1"/>
    <col min="29" max="29" width="20.28515625" style="209" customWidth="1"/>
    <col min="30" max="30" width="22.85546875" style="209" customWidth="1"/>
    <col min="31" max="31" width="19" style="209" customWidth="1"/>
    <col min="32" max="32" width="20.7109375" style="209" customWidth="1"/>
    <col min="33" max="33" width="15.7109375" style="209" bestFit="1" customWidth="1"/>
    <col min="34" max="34" width="13.7109375" style="209" customWidth="1"/>
    <col min="35" max="35" width="16.42578125" style="209" customWidth="1"/>
    <col min="36" max="36" width="28.7109375" style="209" customWidth="1"/>
    <col min="37" max="16384" width="10.28515625" style="209"/>
  </cols>
  <sheetData>
    <row r="1" spans="1:40" x14ac:dyDescent="0.2">
      <c r="A1" s="337" t="s">
        <v>378</v>
      </c>
      <c r="B1" s="337"/>
      <c r="C1" s="337"/>
      <c r="D1" s="337"/>
      <c r="E1" s="337"/>
      <c r="F1" s="337"/>
      <c r="I1" s="337" t="s">
        <v>379</v>
      </c>
      <c r="J1" s="337"/>
      <c r="K1" s="337"/>
      <c r="M1" s="337"/>
      <c r="N1" s="210" t="s">
        <v>380</v>
      </c>
      <c r="O1" s="210"/>
      <c r="P1" s="210"/>
      <c r="Z1" s="337"/>
      <c r="AA1" s="338" t="s">
        <v>381</v>
      </c>
      <c r="AB1" s="338"/>
      <c r="AC1" s="338"/>
      <c r="AD1" s="338"/>
      <c r="AE1" s="338"/>
      <c r="AF1" s="338"/>
      <c r="AG1" s="338"/>
      <c r="AH1" s="338"/>
      <c r="AI1" s="338"/>
      <c r="AJ1" s="338"/>
      <c r="AK1" s="338"/>
      <c r="AL1" s="338"/>
      <c r="AM1" s="338"/>
      <c r="AN1" s="211"/>
    </row>
    <row r="2" spans="1:40" x14ac:dyDescent="0.2">
      <c r="A2" s="334" t="s">
        <v>382</v>
      </c>
      <c r="B2" s="334"/>
      <c r="C2" s="334"/>
      <c r="D2" s="334"/>
      <c r="E2" s="334"/>
      <c r="F2" s="334"/>
      <c r="I2" s="334" t="s">
        <v>229</v>
      </c>
      <c r="J2" s="334"/>
      <c r="K2" s="334"/>
      <c r="M2" s="337"/>
      <c r="Z2" s="337"/>
      <c r="AN2" s="211"/>
    </row>
    <row r="3" spans="1:40" ht="15" x14ac:dyDescent="0.25">
      <c r="A3" s="212" t="s">
        <v>383</v>
      </c>
      <c r="B3" s="212" t="s">
        <v>286</v>
      </c>
      <c r="C3" s="212" t="s">
        <v>221</v>
      </c>
      <c r="D3" s="212" t="s">
        <v>222</v>
      </c>
      <c r="E3" s="212" t="s">
        <v>223</v>
      </c>
      <c r="F3" s="212" t="s">
        <v>216</v>
      </c>
      <c r="I3" s="212" t="s">
        <v>285</v>
      </c>
      <c r="J3" s="212" t="s">
        <v>384</v>
      </c>
      <c r="K3" s="212" t="s">
        <v>117</v>
      </c>
      <c r="M3" s="337"/>
      <c r="N3" s="209" t="s">
        <v>385</v>
      </c>
      <c r="O3" s="213">
        <v>298.5</v>
      </c>
      <c r="P3" s="209" t="s">
        <v>386</v>
      </c>
      <c r="Z3" s="337"/>
      <c r="AA3" s="339" t="s">
        <v>387</v>
      </c>
      <c r="AB3" s="339"/>
      <c r="AD3" s="340" t="s">
        <v>388</v>
      </c>
      <c r="AE3" s="341"/>
      <c r="AF3" s="341"/>
      <c r="AG3" s="341"/>
      <c r="AH3" s="341"/>
      <c r="AN3" s="211"/>
    </row>
    <row r="4" spans="1:40" x14ac:dyDescent="0.2">
      <c r="A4" s="212" t="s">
        <v>287</v>
      </c>
      <c r="B4" s="212">
        <v>7.23</v>
      </c>
      <c r="C4" s="212">
        <v>5.65</v>
      </c>
      <c r="D4" s="212">
        <v>4.78</v>
      </c>
      <c r="E4" s="212">
        <v>0.89</v>
      </c>
      <c r="F4" s="212">
        <f>SUM('Students worksheet'!B4:E4)</f>
        <v>18.55</v>
      </c>
      <c r="I4" s="212" t="s">
        <v>287</v>
      </c>
      <c r="J4" s="212">
        <v>0.65</v>
      </c>
      <c r="K4" s="212">
        <v>0.21</v>
      </c>
      <c r="M4" s="337"/>
      <c r="Z4" s="337"/>
      <c r="AA4" s="212" t="s">
        <v>172</v>
      </c>
      <c r="AB4" s="212" t="s">
        <v>389</v>
      </c>
      <c r="AD4" s="212" t="s">
        <v>390</v>
      </c>
      <c r="AE4" s="212" t="s">
        <v>172</v>
      </c>
      <c r="AF4" s="212" t="s">
        <v>137</v>
      </c>
      <c r="AG4" s="212" t="s">
        <v>173</v>
      </c>
      <c r="AH4" s="212" t="s">
        <v>391</v>
      </c>
      <c r="AJ4" s="209">
        <v>0.9</v>
      </c>
      <c r="AK4" s="209" t="s">
        <v>392</v>
      </c>
      <c r="AN4" s="211"/>
    </row>
    <row r="5" spans="1:40" ht="15" x14ac:dyDescent="0.25">
      <c r="A5" s="212" t="s">
        <v>288</v>
      </c>
      <c r="B5" s="214">
        <v>0</v>
      </c>
      <c r="C5" s="214">
        <v>0</v>
      </c>
      <c r="D5" s="212">
        <v>1.69</v>
      </c>
      <c r="E5" s="212">
        <v>1.68</v>
      </c>
      <c r="F5" s="212">
        <f>SUM('Students worksheet'!B5:E5)</f>
        <v>3.37</v>
      </c>
      <c r="I5" s="212" t="s">
        <v>288</v>
      </c>
      <c r="J5" s="214">
        <v>2.4500000000000002</v>
      </c>
      <c r="K5" s="212">
        <v>0.78</v>
      </c>
      <c r="M5" s="337"/>
      <c r="N5" s="339" t="s">
        <v>393</v>
      </c>
      <c r="O5" s="339"/>
      <c r="Z5" s="337"/>
      <c r="AA5" s="212" t="s">
        <v>137</v>
      </c>
      <c r="AB5" s="212">
        <v>90.504451038575667</v>
      </c>
      <c r="AD5" s="212" t="s">
        <v>220</v>
      </c>
      <c r="AE5" s="212">
        <v>24.749483944954129</v>
      </c>
      <c r="AF5" s="212" t="s">
        <v>225</v>
      </c>
      <c r="AG5" s="212" t="s">
        <v>225</v>
      </c>
      <c r="AH5" s="212">
        <v>5.1005160550458708</v>
      </c>
      <c r="AN5" s="211"/>
    </row>
    <row r="6" spans="1:40" x14ac:dyDescent="0.2">
      <c r="A6" s="212" t="s">
        <v>289</v>
      </c>
      <c r="B6" s="212">
        <v>1.49</v>
      </c>
      <c r="C6" s="214">
        <v>0</v>
      </c>
      <c r="D6" s="212">
        <v>0.02</v>
      </c>
      <c r="E6" s="212">
        <v>0.05</v>
      </c>
      <c r="F6" s="212">
        <f>SUM('Students worksheet'!B6:E6)</f>
        <v>1.56</v>
      </c>
      <c r="I6" s="212" t="s">
        <v>394</v>
      </c>
      <c r="J6" s="212">
        <v>0.03</v>
      </c>
      <c r="K6" s="212">
        <v>0.01</v>
      </c>
      <c r="M6" s="337"/>
      <c r="N6" s="212" t="s">
        <v>395</v>
      </c>
      <c r="O6" s="215">
        <f>O3/B34</f>
        <v>99500000</v>
      </c>
      <c r="Z6" s="337"/>
      <c r="AA6" s="212" t="s">
        <v>226</v>
      </c>
      <c r="AB6" s="212">
        <v>69.871794871794876</v>
      </c>
      <c r="AD6" s="212" t="s">
        <v>318</v>
      </c>
      <c r="AE6" s="212">
        <v>12.739408895375632</v>
      </c>
      <c r="AF6" s="214"/>
      <c r="AG6" s="212">
        <v>2.2547626363496699E-2</v>
      </c>
      <c r="AH6" s="212"/>
      <c r="AN6" s="211"/>
    </row>
    <row r="7" spans="1:40" x14ac:dyDescent="0.2">
      <c r="A7" s="212" t="s">
        <v>290</v>
      </c>
      <c r="B7" s="214">
        <v>0</v>
      </c>
      <c r="C7" s="212">
        <v>0.01</v>
      </c>
      <c r="D7" s="212">
        <v>0.21</v>
      </c>
      <c r="E7" s="214">
        <v>0</v>
      </c>
      <c r="F7" s="212">
        <f>SUM('Students worksheet'!B7:E7)</f>
        <v>0.22</v>
      </c>
      <c r="I7" s="212" t="s">
        <v>216</v>
      </c>
      <c r="J7" s="214">
        <v>3.13</v>
      </c>
      <c r="K7" s="212">
        <v>100</v>
      </c>
      <c r="M7" s="337"/>
      <c r="N7" s="212" t="s">
        <v>396</v>
      </c>
      <c r="O7" s="215">
        <f>O3/B35</f>
        <v>1990000.0000000002</v>
      </c>
      <c r="Z7" s="337"/>
      <c r="AA7" s="212" t="s">
        <v>173</v>
      </c>
      <c r="AB7" s="212">
        <v>59.090909090909093</v>
      </c>
      <c r="AD7" s="216" t="s">
        <v>222</v>
      </c>
      <c r="AE7" s="212">
        <v>6.4313829850746282</v>
      </c>
      <c r="AF7" s="212">
        <v>2.2738571641791046</v>
      </c>
      <c r="AG7" s="212">
        <v>2.6909552238805975E-2</v>
      </c>
      <c r="AH7" s="212">
        <v>0.28255029850746272</v>
      </c>
      <c r="AN7" s="211"/>
    </row>
    <row r="8" spans="1:40" x14ac:dyDescent="0.2">
      <c r="A8" s="212" t="s">
        <v>216</v>
      </c>
      <c r="B8" s="212">
        <f>SUM(B4:B7)</f>
        <v>8.7200000000000006</v>
      </c>
      <c r="C8" s="212">
        <f>SUM(C4:C7)</f>
        <v>5.66</v>
      </c>
      <c r="D8" s="212">
        <f>SUM(D4:D7)</f>
        <v>6.7</v>
      </c>
      <c r="E8" s="212">
        <f>SUM(E4:E7)</f>
        <v>2.6199999999999997</v>
      </c>
      <c r="F8" s="212">
        <f>SUM('Students worksheet'!B8:E8)</f>
        <v>23.700000000000003</v>
      </c>
      <c r="M8" s="337"/>
      <c r="N8" s="212" t="s">
        <v>397</v>
      </c>
      <c r="O8" s="215">
        <f>O3/B38</f>
        <v>298.64932466233114</v>
      </c>
      <c r="Z8" s="337"/>
      <c r="AA8" s="212" t="s">
        <v>394</v>
      </c>
      <c r="AB8" s="212">
        <v>64.481351981351992</v>
      </c>
      <c r="AD8" s="216" t="s">
        <v>223</v>
      </c>
      <c r="AE8" s="212">
        <v>1.1965064885496186</v>
      </c>
      <c r="AF8" s="212">
        <v>2.2585740458015273</v>
      </c>
      <c r="AG8" s="212">
        <v>6.721946564885499E-2</v>
      </c>
      <c r="AH8" s="212"/>
      <c r="AN8" s="211"/>
    </row>
    <row r="9" spans="1:40" x14ac:dyDescent="0.2">
      <c r="I9" s="334" t="s">
        <v>398</v>
      </c>
      <c r="J9" s="334"/>
      <c r="M9" s="337"/>
      <c r="R9" s="342" t="s">
        <v>388</v>
      </c>
      <c r="S9" s="342"/>
      <c r="T9" s="342"/>
      <c r="U9" s="342"/>
      <c r="Z9" s="337"/>
      <c r="AD9" s="217" t="s">
        <v>233</v>
      </c>
      <c r="AE9" s="212">
        <v>1.3080270000000001</v>
      </c>
      <c r="AF9" s="212">
        <v>4.8583860000000012</v>
      </c>
      <c r="AG9" s="212"/>
      <c r="AH9" s="212">
        <v>6.2287000000000009E-2</v>
      </c>
      <c r="AN9" s="211"/>
    </row>
    <row r="10" spans="1:40" x14ac:dyDescent="0.2">
      <c r="A10" s="334" t="s">
        <v>284</v>
      </c>
      <c r="B10" s="334"/>
      <c r="C10" s="334"/>
      <c r="D10" s="334"/>
      <c r="E10" s="334"/>
      <c r="I10" s="212" t="s">
        <v>285</v>
      </c>
      <c r="J10" s="212" t="s">
        <v>399</v>
      </c>
      <c r="M10" s="337"/>
      <c r="N10" s="212" t="s">
        <v>390</v>
      </c>
      <c r="O10" s="212" t="s">
        <v>400</v>
      </c>
      <c r="P10" s="212" t="s">
        <v>401</v>
      </c>
      <c r="Q10" s="212" t="s">
        <v>402</v>
      </c>
      <c r="R10" s="212" t="s">
        <v>172</v>
      </c>
      <c r="S10" s="212" t="s">
        <v>137</v>
      </c>
      <c r="T10" s="212" t="s">
        <v>173</v>
      </c>
      <c r="U10" s="212" t="s">
        <v>391</v>
      </c>
      <c r="V10" s="212" t="s">
        <v>403</v>
      </c>
      <c r="Z10" s="337"/>
      <c r="AN10" s="211"/>
    </row>
    <row r="11" spans="1:40" ht="15" x14ac:dyDescent="0.25">
      <c r="A11" s="212" t="s">
        <v>285</v>
      </c>
      <c r="B11" s="212" t="str">
        <f>'Students worksheet'!B3</f>
        <v xml:space="preserve">Mining </v>
      </c>
      <c r="C11" s="212" t="str">
        <f>'Students worksheet'!C3</f>
        <v>Concentrate</v>
      </c>
      <c r="D11" s="212" t="str">
        <f>'Students worksheet'!D3</f>
        <v>Smelting</v>
      </c>
      <c r="E11" s="212" t="str">
        <f>'Students worksheet'!E3</f>
        <v>Refining</v>
      </c>
      <c r="I11" s="212" t="s">
        <v>287</v>
      </c>
      <c r="J11" s="212"/>
      <c r="M11" s="337"/>
      <c r="N11" s="212" t="s">
        <v>220</v>
      </c>
      <c r="O11" s="212" t="s">
        <v>238</v>
      </c>
      <c r="P11" s="215">
        <f>O6</f>
        <v>99500000</v>
      </c>
      <c r="Q11" s="212">
        <f>P11*B19/1000000</f>
        <v>29.85</v>
      </c>
      <c r="R11" s="212">
        <f>$Q$11*B$12</f>
        <v>24.749483944954129</v>
      </c>
      <c r="S11" s="214" t="s">
        <v>225</v>
      </c>
      <c r="T11" s="214" t="s">
        <v>225</v>
      </c>
      <c r="U11" s="212">
        <f>Q11*B14</f>
        <v>5.1005160550458708</v>
      </c>
      <c r="V11" s="218">
        <f>Q11/$O$3</f>
        <v>0.1</v>
      </c>
      <c r="Z11" s="337"/>
      <c r="AD11" s="343" t="s">
        <v>404</v>
      </c>
      <c r="AE11" s="343"/>
      <c r="AF11" s="343"/>
      <c r="AG11" s="343"/>
      <c r="AH11" s="343"/>
      <c r="AN11" s="211"/>
    </row>
    <row r="12" spans="1:40" x14ac:dyDescent="0.2">
      <c r="A12" s="212" t="s">
        <v>287</v>
      </c>
      <c r="B12" s="219">
        <f>B4/B$8</f>
        <v>0.82912844036697242</v>
      </c>
      <c r="C12" s="219">
        <f>C4/C$8</f>
        <v>0.99823321554770317</v>
      </c>
      <c r="D12" s="219">
        <f>D4/D$8</f>
        <v>0.71343283582089556</v>
      </c>
      <c r="E12" s="219">
        <f>E4/E$8</f>
        <v>0.33969465648854968</v>
      </c>
      <c r="I12" s="212" t="s">
        <v>288</v>
      </c>
      <c r="J12" s="212">
        <f>305/3.37</f>
        <v>90.504451038575667</v>
      </c>
      <c r="M12" s="337"/>
      <c r="N12" s="212" t="s">
        <v>318</v>
      </c>
      <c r="O12" s="212" t="s">
        <v>238</v>
      </c>
      <c r="P12" s="215">
        <f>(P11-(P11/6.9))</f>
        <v>85079710.144927531</v>
      </c>
      <c r="Q12" s="212">
        <f>P12*B20/1000000</f>
        <v>12.76195652173913</v>
      </c>
      <c r="R12" s="212">
        <f>Q12*C12</f>
        <v>12.739408895375632</v>
      </c>
      <c r="S12" s="212"/>
      <c r="T12" s="212">
        <f>Q12*C15</f>
        <v>2.2547626363496696E-2</v>
      </c>
      <c r="U12" s="212"/>
      <c r="V12" s="212">
        <f>Q12/$O$3</f>
        <v>4.2753623188405795E-2</v>
      </c>
      <c r="Z12" s="337"/>
      <c r="AD12" s="212" t="s">
        <v>390</v>
      </c>
      <c r="AE12" s="212" t="s">
        <v>172</v>
      </c>
      <c r="AF12" s="212" t="s">
        <v>137</v>
      </c>
      <c r="AG12" s="212" t="s">
        <v>173</v>
      </c>
      <c r="AH12" s="212" t="s">
        <v>391</v>
      </c>
      <c r="AI12" s="212" t="s">
        <v>216</v>
      </c>
      <c r="AJ12" s="212" t="s">
        <v>405</v>
      </c>
      <c r="AN12" s="211"/>
    </row>
    <row r="13" spans="1:40" ht="14.25" customHeight="1" x14ac:dyDescent="0.2">
      <c r="A13" s="212" t="s">
        <v>288</v>
      </c>
      <c r="B13" s="219">
        <f t="shared" ref="B13:E15" si="0">B5/B$8</f>
        <v>0</v>
      </c>
      <c r="C13" s="219">
        <f t="shared" si="0"/>
        <v>0</v>
      </c>
      <c r="D13" s="219">
        <f t="shared" si="0"/>
        <v>0.25223880597014925</v>
      </c>
      <c r="E13" s="219">
        <f t="shared" si="0"/>
        <v>0.6412213740458016</v>
      </c>
      <c r="I13" s="212" t="s">
        <v>394</v>
      </c>
      <c r="J13" s="212">
        <f>(C29+C30)/2</f>
        <v>64.481351981351992</v>
      </c>
      <c r="M13" s="337"/>
      <c r="N13" s="212" t="s">
        <v>222</v>
      </c>
      <c r="O13" s="212" t="s">
        <v>406</v>
      </c>
      <c r="P13" s="215">
        <f>O7</f>
        <v>1990000.0000000002</v>
      </c>
      <c r="Q13" s="216">
        <f>P13*B21/1000000</f>
        <v>9.0147000000000013</v>
      </c>
      <c r="R13" s="216">
        <f>Q13*D12</f>
        <v>6.4313829850746282</v>
      </c>
      <c r="S13" s="216">
        <f>Q13*D13</f>
        <v>2.2738571641791046</v>
      </c>
      <c r="T13" s="216">
        <f>D15*Q13</f>
        <v>0.28255029850746272</v>
      </c>
      <c r="U13" s="216">
        <f>Q13*D14</f>
        <v>2.6909552238805975E-2</v>
      </c>
      <c r="V13" s="212">
        <f>Q13/$O$3</f>
        <v>3.0200000000000005E-2</v>
      </c>
      <c r="Z13" s="337"/>
      <c r="AD13" s="212" t="s">
        <v>220</v>
      </c>
      <c r="AE13" s="220"/>
      <c r="AF13" s="212">
        <v>0</v>
      </c>
      <c r="AG13" s="212">
        <v>0</v>
      </c>
      <c r="AH13" s="212">
        <f>(AH5*$AB$6*10^6)/1000000</f>
        <v>356.38221153846149</v>
      </c>
      <c r="AI13" s="212">
        <f>SUM(AE13:AH13)</f>
        <v>356.38221153846149</v>
      </c>
      <c r="AJ13" s="212">
        <f>AI13/$O$3</f>
        <v>1.1939102564102562</v>
      </c>
      <c r="AN13" s="211"/>
    </row>
    <row r="14" spans="1:40" x14ac:dyDescent="0.2">
      <c r="A14" s="212" t="s">
        <v>289</v>
      </c>
      <c r="B14" s="219">
        <f>B6/B$8</f>
        <v>0.1708715596330275</v>
      </c>
      <c r="C14" s="219">
        <f t="shared" si="0"/>
        <v>0</v>
      </c>
      <c r="D14" s="219">
        <f t="shared" si="0"/>
        <v>2.9850746268656717E-3</v>
      </c>
      <c r="E14" s="219">
        <f t="shared" si="0"/>
        <v>1.9083969465648859E-2</v>
      </c>
      <c r="M14" s="337"/>
      <c r="N14" s="212" t="s">
        <v>223</v>
      </c>
      <c r="O14" s="212" t="s">
        <v>406</v>
      </c>
      <c r="P14" s="215">
        <f>O7</f>
        <v>1990000.0000000002</v>
      </c>
      <c r="Q14" s="216">
        <f>P14*B22/1000000</f>
        <v>3.5223000000000004</v>
      </c>
      <c r="R14" s="216">
        <f>Q14*E12</f>
        <v>1.1965064885496186</v>
      </c>
      <c r="S14" s="216">
        <f>Q14*E13</f>
        <v>2.2585740458015273</v>
      </c>
      <c r="T14" s="216">
        <f>E15*Q14</f>
        <v>0</v>
      </c>
      <c r="U14" s="216">
        <f>Q14*E14</f>
        <v>6.721946564885499E-2</v>
      </c>
      <c r="V14" s="212">
        <f>Q14/$O$3</f>
        <v>1.1800000000000001E-2</v>
      </c>
      <c r="Z14" s="337"/>
      <c r="AA14" s="221"/>
      <c r="AD14" s="212" t="s">
        <v>318</v>
      </c>
      <c r="AE14" s="220"/>
      <c r="AF14" s="214">
        <v>0</v>
      </c>
      <c r="AG14" s="212">
        <f>(AG6*$AB$7*10^6)/1000000</f>
        <v>1.3323597396611686</v>
      </c>
      <c r="AH14" s="214">
        <v>0</v>
      </c>
      <c r="AI14" s="212">
        <f>SUM(AE14:AH14)</f>
        <v>1.3323597396611686</v>
      </c>
      <c r="AJ14" s="222">
        <f>AI14/$O$3</f>
        <v>4.4635167157828096E-3</v>
      </c>
      <c r="AN14" s="211"/>
    </row>
    <row r="15" spans="1:40" x14ac:dyDescent="0.2">
      <c r="A15" s="212" t="s">
        <v>290</v>
      </c>
      <c r="B15" s="219">
        <f t="shared" si="0"/>
        <v>0</v>
      </c>
      <c r="C15" s="219">
        <f t="shared" si="0"/>
        <v>1.7667844522968198E-3</v>
      </c>
      <c r="D15" s="219">
        <f t="shared" si="0"/>
        <v>3.134328358208955E-2</v>
      </c>
      <c r="E15" s="219">
        <f t="shared" si="0"/>
        <v>0</v>
      </c>
      <c r="F15" s="223"/>
      <c r="M15" s="337"/>
      <c r="N15" s="224" t="s">
        <v>233</v>
      </c>
      <c r="O15" s="224" t="s">
        <v>407</v>
      </c>
      <c r="P15" s="225">
        <f>O7</f>
        <v>1990000.0000000002</v>
      </c>
      <c r="Q15" s="224">
        <f>P15*J7/1000000</f>
        <v>6.2287000000000008</v>
      </c>
      <c r="R15" s="217">
        <f>Q15*K4</f>
        <v>1.3080270000000001</v>
      </c>
      <c r="S15" s="217">
        <f>Q15*K5</f>
        <v>4.8583860000000012</v>
      </c>
      <c r="T15" s="217"/>
      <c r="U15" s="217">
        <f>Q15*K6</f>
        <v>6.2287000000000009E-2</v>
      </c>
      <c r="V15" s="212">
        <f>Q15/$O$3</f>
        <v>2.0866666666666669E-2</v>
      </c>
      <c r="Z15" s="337"/>
      <c r="AD15" s="212" t="s">
        <v>222</v>
      </c>
      <c r="AE15" s="220"/>
      <c r="AF15" s="212">
        <f>(AF7*10^6*$AB$5)/1000000</f>
        <v>205.79419438416227</v>
      </c>
      <c r="AG15" s="212">
        <f>(AG7*$AB$7*10^6)/1000000</f>
        <v>1.5901099050203531</v>
      </c>
      <c r="AH15" s="212">
        <f>(AH7*$AB$6*10^6)/1000000</f>
        <v>19.742296498277845</v>
      </c>
      <c r="AI15" s="212">
        <f>SUM(AE15:AH15)</f>
        <v>227.12660078746046</v>
      </c>
      <c r="AJ15" s="212">
        <f>AI15/$O$3</f>
        <v>0.76089313496636668</v>
      </c>
      <c r="AN15" s="211"/>
    </row>
    <row r="16" spans="1:40" x14ac:dyDescent="0.2">
      <c r="M16" s="337"/>
      <c r="Q16" s="226"/>
      <c r="R16" s="226"/>
      <c r="Z16" s="337"/>
      <c r="AD16" s="212" t="s">
        <v>223</v>
      </c>
      <c r="AE16" s="220"/>
      <c r="AF16" s="212">
        <f>(AF8*10^6*$AB$5)/1000000</f>
        <v>204.41100414524209</v>
      </c>
      <c r="AG16" s="212">
        <f>(AG8*$AB$7*10^6)/1000000</f>
        <v>3.9720593337959769</v>
      </c>
      <c r="AH16" s="214">
        <v>0</v>
      </c>
      <c r="AI16" s="212">
        <f>SUM(AE16:AH16)</f>
        <v>208.38306347903807</v>
      </c>
      <c r="AJ16" s="212">
        <f>AI16/$O$3</f>
        <v>0.69810071517265682</v>
      </c>
      <c r="AN16" s="211"/>
    </row>
    <row r="17" spans="1:40" x14ac:dyDescent="0.2">
      <c r="A17" s="334" t="s">
        <v>291</v>
      </c>
      <c r="B17" s="334"/>
      <c r="C17" s="334"/>
      <c r="M17" s="337"/>
      <c r="Q17" s="227"/>
      <c r="Z17" s="337"/>
      <c r="AD17" s="212" t="s">
        <v>233</v>
      </c>
      <c r="AE17" s="220"/>
      <c r="AF17" s="212">
        <f>(AF9*10^6*$AB$5)/1000000</f>
        <v>439.70555786350155</v>
      </c>
      <c r="AG17" s="214">
        <v>0</v>
      </c>
      <c r="AH17" s="212">
        <f>(AH9*AB6*10^6)/1000000</f>
        <v>4.3521044871794885</v>
      </c>
      <c r="AI17" s="212">
        <f>SUM(AE17:AH17)</f>
        <v>444.05766235068103</v>
      </c>
      <c r="AJ17" s="212">
        <f>AI17/$O$3</f>
        <v>1.4876303596337723</v>
      </c>
      <c r="AN17" s="211"/>
    </row>
    <row r="18" spans="1:40" x14ac:dyDescent="0.2">
      <c r="A18" s="212"/>
      <c r="B18" s="212" t="s">
        <v>229</v>
      </c>
      <c r="C18" s="212" t="s">
        <v>43</v>
      </c>
      <c r="M18" s="337"/>
      <c r="Z18" s="337"/>
      <c r="AN18" s="211"/>
    </row>
    <row r="19" spans="1:40" ht="15" x14ac:dyDescent="0.25">
      <c r="A19" s="212" t="s">
        <v>220</v>
      </c>
      <c r="B19" s="212">
        <v>0.3</v>
      </c>
      <c r="C19" s="212" t="s">
        <v>230</v>
      </c>
      <c r="J19" s="223"/>
      <c r="M19" s="337"/>
      <c r="Z19" s="337"/>
      <c r="AA19" s="333" t="s">
        <v>408</v>
      </c>
      <c r="AB19" s="333"/>
      <c r="AC19" s="333"/>
      <c r="AD19" s="333"/>
      <c r="AE19" s="333"/>
      <c r="AF19" s="333"/>
      <c r="AG19" s="333"/>
      <c r="AH19" s="333"/>
      <c r="AI19" s="333"/>
      <c r="AJ19" s="333"/>
      <c r="AK19" s="333"/>
      <c r="AL19" s="333"/>
      <c r="AN19" s="211"/>
    </row>
    <row r="20" spans="1:40" ht="15" x14ac:dyDescent="0.25">
      <c r="A20" s="212" t="s">
        <v>221</v>
      </c>
      <c r="B20" s="212">
        <v>0.15</v>
      </c>
      <c r="C20" s="212" t="s">
        <v>231</v>
      </c>
      <c r="J20" s="228"/>
      <c r="M20" s="337"/>
      <c r="N20" s="333" t="s">
        <v>409</v>
      </c>
      <c r="O20" s="333"/>
      <c r="P20" s="333"/>
      <c r="Q20" s="333"/>
      <c r="R20" s="333"/>
      <c r="S20" s="333"/>
      <c r="T20" s="333"/>
      <c r="U20" s="333"/>
      <c r="V20" s="333"/>
      <c r="W20" s="333"/>
      <c r="X20" s="333"/>
      <c r="Y20" s="333"/>
      <c r="Z20" s="337"/>
      <c r="AN20" s="211"/>
    </row>
    <row r="21" spans="1:40" x14ac:dyDescent="0.2">
      <c r="A21" s="212" t="s">
        <v>222</v>
      </c>
      <c r="B21" s="212">
        <v>4.53</v>
      </c>
      <c r="C21" s="212" t="s">
        <v>232</v>
      </c>
      <c r="M21" s="337"/>
      <c r="N21" s="212"/>
      <c r="O21" s="212" t="s">
        <v>172</v>
      </c>
      <c r="P21" s="212" t="s">
        <v>137</v>
      </c>
      <c r="Q21" s="212" t="s">
        <v>173</v>
      </c>
      <c r="R21" s="212" t="s">
        <v>391</v>
      </c>
      <c r="Z21" s="337"/>
      <c r="AJ21" s="229"/>
      <c r="AN21" s="211"/>
    </row>
    <row r="22" spans="1:40" x14ac:dyDescent="0.2">
      <c r="A22" s="212" t="s">
        <v>223</v>
      </c>
      <c r="B22" s="212">
        <v>1.77</v>
      </c>
      <c r="C22" s="212" t="s">
        <v>232</v>
      </c>
      <c r="M22" s="337"/>
      <c r="N22" s="212" t="s">
        <v>220</v>
      </c>
      <c r="O22" s="212">
        <f>R11</f>
        <v>24.749483944954129</v>
      </c>
      <c r="P22" s="212" t="str">
        <f t="shared" ref="P22:R26" si="1">S11</f>
        <v>-</v>
      </c>
      <c r="Q22" s="212" t="str">
        <f t="shared" si="1"/>
        <v>-</v>
      </c>
      <c r="R22" s="212">
        <f t="shared" si="1"/>
        <v>5.1005160550458708</v>
      </c>
      <c r="Z22" s="337"/>
      <c r="AJ22" s="229"/>
      <c r="AN22" s="211"/>
    </row>
    <row r="23" spans="1:40" x14ac:dyDescent="0.2">
      <c r="M23" s="337"/>
      <c r="N23" s="212" t="s">
        <v>410</v>
      </c>
      <c r="O23" s="212">
        <f>R12</f>
        <v>12.739408895375632</v>
      </c>
      <c r="P23" s="212">
        <f t="shared" si="1"/>
        <v>0</v>
      </c>
      <c r="Q23" s="212">
        <f t="shared" si="1"/>
        <v>2.2547626363496696E-2</v>
      </c>
      <c r="R23" s="212">
        <f t="shared" si="1"/>
        <v>0</v>
      </c>
      <c r="Z23" s="337"/>
      <c r="AJ23" s="229"/>
      <c r="AN23" s="211"/>
    </row>
    <row r="24" spans="1:40" x14ac:dyDescent="0.2">
      <c r="M24" s="337"/>
      <c r="N24" s="212" t="s">
        <v>222</v>
      </c>
      <c r="O24" s="212">
        <f>R13</f>
        <v>6.4313829850746282</v>
      </c>
      <c r="P24" s="212">
        <f t="shared" si="1"/>
        <v>2.2738571641791046</v>
      </c>
      <c r="Q24" s="212">
        <f t="shared" si="1"/>
        <v>0.28255029850746272</v>
      </c>
      <c r="R24" s="212">
        <f t="shared" si="1"/>
        <v>2.6909552238805975E-2</v>
      </c>
      <c r="Z24" s="337"/>
      <c r="AJ24" s="229"/>
      <c r="AN24" s="211"/>
    </row>
    <row r="25" spans="1:40" x14ac:dyDescent="0.2">
      <c r="A25" s="334" t="s">
        <v>411</v>
      </c>
      <c r="B25" s="334"/>
      <c r="C25" s="334"/>
      <c r="M25" s="337"/>
      <c r="N25" s="212" t="s">
        <v>223</v>
      </c>
      <c r="O25" s="212">
        <f>R14</f>
        <v>1.1965064885496186</v>
      </c>
      <c r="P25" s="212">
        <f t="shared" si="1"/>
        <v>2.2585740458015273</v>
      </c>
      <c r="Q25" s="212">
        <f t="shared" si="1"/>
        <v>0</v>
      </c>
      <c r="R25" s="212">
        <f t="shared" si="1"/>
        <v>6.721946564885499E-2</v>
      </c>
      <c r="Z25" s="337"/>
      <c r="AN25" s="211"/>
    </row>
    <row r="26" spans="1:40" x14ac:dyDescent="0.2">
      <c r="A26" s="212"/>
      <c r="B26" s="212" t="s">
        <v>412</v>
      </c>
      <c r="C26" s="212" t="s">
        <v>399</v>
      </c>
      <c r="M26" s="337"/>
      <c r="N26" s="212" t="s">
        <v>233</v>
      </c>
      <c r="O26" s="212">
        <f>R15</f>
        <v>1.3080270000000001</v>
      </c>
      <c r="P26" s="212">
        <f t="shared" si="1"/>
        <v>4.8583860000000012</v>
      </c>
      <c r="Q26" s="212">
        <f t="shared" si="1"/>
        <v>0</v>
      </c>
      <c r="R26" s="212">
        <f t="shared" si="1"/>
        <v>6.2287000000000009E-2</v>
      </c>
      <c r="Z26" s="337"/>
      <c r="AN26" s="211"/>
    </row>
    <row r="27" spans="1:40" x14ac:dyDescent="0.2">
      <c r="A27" s="212" t="s">
        <v>172</v>
      </c>
      <c r="B27" s="214" t="s">
        <v>225</v>
      </c>
      <c r="C27" s="212"/>
      <c r="M27" s="337"/>
      <c r="Z27" s="337"/>
      <c r="AN27" s="211"/>
    </row>
    <row r="28" spans="1:40" x14ac:dyDescent="0.2">
      <c r="A28" s="212" t="s">
        <v>137</v>
      </c>
      <c r="B28" s="212">
        <v>305000</v>
      </c>
      <c r="C28" s="212">
        <f>305/3.37</f>
        <v>90.504451038575667</v>
      </c>
      <c r="M28" s="337"/>
      <c r="Z28" s="337"/>
      <c r="AN28" s="211"/>
    </row>
    <row r="29" spans="1:40" x14ac:dyDescent="0.2">
      <c r="A29" s="212" t="s">
        <v>226</v>
      </c>
      <c r="B29" s="212">
        <v>109000</v>
      </c>
      <c r="C29" s="212">
        <f>109/1.56</f>
        <v>69.871794871794876</v>
      </c>
      <c r="M29" s="337"/>
      <c r="Z29" s="337"/>
      <c r="AN29" s="211"/>
    </row>
    <row r="30" spans="1:40" x14ac:dyDescent="0.2">
      <c r="A30" s="212" t="s">
        <v>173</v>
      </c>
      <c r="B30" s="212">
        <v>13000</v>
      </c>
      <c r="C30" s="212">
        <f>13/0.22</f>
        <v>59.090909090909093</v>
      </c>
      <c r="M30" s="337"/>
      <c r="Z30" s="337"/>
      <c r="AN30" s="211"/>
    </row>
    <row r="31" spans="1:40" x14ac:dyDescent="0.2">
      <c r="M31" s="337"/>
      <c r="Z31" s="337"/>
      <c r="AN31" s="211"/>
    </row>
    <row r="32" spans="1:40" x14ac:dyDescent="0.2">
      <c r="A32" s="335" t="s">
        <v>413</v>
      </c>
      <c r="B32" s="335"/>
      <c r="C32" s="335"/>
      <c r="M32" s="337"/>
      <c r="Z32" s="337"/>
      <c r="AN32" s="211"/>
    </row>
    <row r="33" spans="1:40" x14ac:dyDescent="0.2">
      <c r="A33" s="212" t="s">
        <v>236</v>
      </c>
      <c r="B33" s="212" t="s">
        <v>237</v>
      </c>
      <c r="M33" s="337"/>
      <c r="Z33" s="337"/>
      <c r="AN33" s="211"/>
    </row>
    <row r="34" spans="1:40" x14ac:dyDescent="0.2">
      <c r="A34" s="212" t="s">
        <v>238</v>
      </c>
      <c r="B34" s="230">
        <v>3.0000000000000001E-6</v>
      </c>
      <c r="M34" s="337"/>
      <c r="Z34" s="337"/>
      <c r="AN34" s="211"/>
    </row>
    <row r="35" spans="1:40" x14ac:dyDescent="0.2">
      <c r="A35" s="212" t="s">
        <v>239</v>
      </c>
      <c r="B35" s="219">
        <v>1.4999999999999999E-4</v>
      </c>
      <c r="M35" s="337"/>
      <c r="Z35" s="337"/>
      <c r="AN35" s="211"/>
    </row>
    <row r="36" spans="1:40" x14ac:dyDescent="0.2">
      <c r="A36" s="212" t="s">
        <v>240</v>
      </c>
      <c r="B36" s="219">
        <v>2E-3</v>
      </c>
      <c r="M36" s="337"/>
      <c r="Z36" s="337"/>
      <c r="AN36" s="211"/>
    </row>
    <row r="37" spans="1:40" x14ac:dyDescent="0.2">
      <c r="A37" s="212" t="s">
        <v>241</v>
      </c>
      <c r="B37" s="219">
        <v>0.5</v>
      </c>
      <c r="M37" s="337"/>
      <c r="Z37" s="337"/>
      <c r="AN37" s="211"/>
    </row>
    <row r="38" spans="1:40" x14ac:dyDescent="0.2">
      <c r="A38" s="212" t="s">
        <v>242</v>
      </c>
      <c r="B38" s="219">
        <v>0.99950000000000006</v>
      </c>
      <c r="M38" s="337"/>
      <c r="Z38" s="337"/>
      <c r="AN38" s="211"/>
    </row>
    <row r="39" spans="1:40" x14ac:dyDescent="0.2">
      <c r="M39" s="337"/>
      <c r="Z39" s="337"/>
      <c r="AN39" s="211"/>
    </row>
    <row r="40" spans="1:40" x14ac:dyDescent="0.2">
      <c r="M40" s="337"/>
      <c r="Z40" s="337"/>
      <c r="AN40" s="211"/>
    </row>
    <row r="41" spans="1:40" x14ac:dyDescent="0.2">
      <c r="A41" s="231" t="s">
        <v>414</v>
      </c>
      <c r="M41" s="337"/>
      <c r="Z41" s="337"/>
      <c r="AN41" s="211"/>
    </row>
    <row r="42" spans="1:40" x14ac:dyDescent="0.2">
      <c r="M42" s="337"/>
      <c r="Z42" s="337"/>
      <c r="AN42" s="211"/>
    </row>
    <row r="43" spans="1:40" x14ac:dyDescent="0.2">
      <c r="A43" s="212"/>
      <c r="B43" s="212" t="s">
        <v>220</v>
      </c>
      <c r="C43" s="212" t="s">
        <v>410</v>
      </c>
      <c r="D43" s="212" t="s">
        <v>415</v>
      </c>
      <c r="M43" s="337"/>
      <c r="Z43" s="337"/>
      <c r="AN43" s="211"/>
    </row>
    <row r="44" spans="1:40" x14ac:dyDescent="0.2">
      <c r="A44" s="212" t="s">
        <v>416</v>
      </c>
      <c r="B44" s="212">
        <f>B45/B34/1000000</f>
        <v>99.666666666666657</v>
      </c>
      <c r="C44" s="212">
        <f>B44-(B44/6.86)</f>
        <v>85.13799805636539</v>
      </c>
      <c r="D44" s="212">
        <f>D45/B35/1000000</f>
        <v>1.9933333333333334</v>
      </c>
      <c r="M44" s="337"/>
      <c r="Z44" s="337"/>
      <c r="AN44" s="211"/>
    </row>
    <row r="45" spans="1:40" x14ac:dyDescent="0.2">
      <c r="A45" s="212" t="s">
        <v>417</v>
      </c>
      <c r="B45" s="215">
        <v>299</v>
      </c>
      <c r="C45" s="215">
        <v>299</v>
      </c>
      <c r="D45" s="215">
        <v>299</v>
      </c>
      <c r="M45" s="337"/>
      <c r="Z45" s="337"/>
      <c r="AN45" s="211"/>
    </row>
    <row r="46" spans="1:40" x14ac:dyDescent="0.2">
      <c r="A46" s="212" t="s">
        <v>418</v>
      </c>
      <c r="B46" s="212">
        <f>B44-C44</f>
        <v>14.528668610301267</v>
      </c>
      <c r="C46" s="212">
        <f>C44-D44</f>
        <v>83.144664723032051</v>
      </c>
      <c r="D46" s="212">
        <f>((D44*1000000)-D45)/1000000</f>
        <v>1.9930343333333336</v>
      </c>
      <c r="M46" s="337"/>
      <c r="Z46" s="337"/>
      <c r="AN46" s="211"/>
    </row>
    <row r="47" spans="1:40" x14ac:dyDescent="0.2">
      <c r="M47" s="337"/>
      <c r="Z47" s="337"/>
      <c r="AN47" s="211"/>
    </row>
    <row r="48" spans="1:40" x14ac:dyDescent="0.2">
      <c r="M48" s="337"/>
      <c r="Z48" s="337"/>
      <c r="AN48" s="211"/>
    </row>
    <row r="49" spans="13:40" x14ac:dyDescent="0.2">
      <c r="M49" s="337"/>
      <c r="Z49" s="337"/>
      <c r="AN49" s="211"/>
    </row>
    <row r="50" spans="13:40" x14ac:dyDescent="0.2">
      <c r="M50" s="337"/>
      <c r="Z50" s="337"/>
      <c r="AN50" s="211"/>
    </row>
    <row r="51" spans="13:40" ht="15" x14ac:dyDescent="0.25">
      <c r="M51" s="337"/>
      <c r="N51" s="336" t="s">
        <v>419</v>
      </c>
      <c r="O51" s="336"/>
      <c r="P51" s="336"/>
      <c r="Q51" s="336"/>
      <c r="R51" s="336"/>
      <c r="S51" s="336"/>
      <c r="T51" s="336"/>
      <c r="U51" s="336"/>
      <c r="V51" s="336"/>
      <c r="W51" s="336"/>
      <c r="X51" s="336"/>
      <c r="Y51" s="336"/>
      <c r="Z51" s="337"/>
      <c r="AA51" s="333" t="s">
        <v>420</v>
      </c>
      <c r="AB51" s="333"/>
      <c r="AC51" s="333"/>
      <c r="AD51" s="333"/>
      <c r="AE51" s="333"/>
      <c r="AF51" s="333"/>
      <c r="AG51" s="333"/>
      <c r="AH51" s="333"/>
      <c r="AI51" s="333"/>
      <c r="AJ51" s="333"/>
      <c r="AK51" s="333"/>
      <c r="AL51" s="333"/>
      <c r="AN51" s="211"/>
    </row>
    <row r="52" spans="13:40" x14ac:dyDescent="0.2">
      <c r="M52" s="337"/>
      <c r="Z52" s="337"/>
      <c r="AN52" s="211"/>
    </row>
    <row r="53" spans="13:40" x14ac:dyDescent="0.2">
      <c r="M53" s="337"/>
      <c r="N53" s="212"/>
      <c r="O53" s="212" t="s">
        <v>220</v>
      </c>
      <c r="P53" s="212" t="s">
        <v>318</v>
      </c>
      <c r="Q53" s="212" t="s">
        <v>222</v>
      </c>
      <c r="R53" s="212" t="s">
        <v>223</v>
      </c>
      <c r="S53" s="212" t="s">
        <v>233</v>
      </c>
      <c r="T53" s="209" t="s">
        <v>216</v>
      </c>
      <c r="Z53" s="337"/>
      <c r="AA53" s="212"/>
      <c r="AB53" s="212" t="s">
        <v>220</v>
      </c>
      <c r="AC53" s="212" t="s">
        <v>410</v>
      </c>
      <c r="AD53" s="212" t="s">
        <v>222</v>
      </c>
      <c r="AE53" s="212" t="s">
        <v>223</v>
      </c>
      <c r="AF53" s="212" t="s">
        <v>233</v>
      </c>
      <c r="AG53" s="232" t="s">
        <v>421</v>
      </c>
      <c r="AI53" s="209" t="s">
        <v>422</v>
      </c>
      <c r="AN53" s="211"/>
    </row>
    <row r="54" spans="13:40" x14ac:dyDescent="0.2">
      <c r="M54" s="337"/>
      <c r="N54" s="212" t="s">
        <v>423</v>
      </c>
      <c r="O54" s="212">
        <f>Q11</f>
        <v>29.85</v>
      </c>
      <c r="P54" s="212">
        <f>Q12</f>
        <v>12.76195652173913</v>
      </c>
      <c r="Q54" s="212">
        <f>Q13</f>
        <v>9.0147000000000013</v>
      </c>
      <c r="R54" s="212">
        <f>Q14</f>
        <v>3.5223000000000004</v>
      </c>
      <c r="S54" s="212">
        <v>0</v>
      </c>
      <c r="T54" s="209">
        <f>SUM(O54:S54)</f>
        <v>55.148956521739137</v>
      </c>
      <c r="Z54" s="337"/>
      <c r="AA54" s="212" t="s">
        <v>424</v>
      </c>
      <c r="AB54" s="212">
        <f>AI13</f>
        <v>356.38221153846149</v>
      </c>
      <c r="AC54" s="212">
        <f>AI14</f>
        <v>1.3323597396611686</v>
      </c>
      <c r="AD54" s="212">
        <f>AI15</f>
        <v>227.12660078746046</v>
      </c>
      <c r="AE54" s="212">
        <f>AI16</f>
        <v>208.38306347903807</v>
      </c>
      <c r="AF54" s="212">
        <v>0</v>
      </c>
      <c r="AG54" s="209">
        <f>SUM(AB54:AF54)</f>
        <v>793.22423554462125</v>
      </c>
      <c r="AI54" s="212" t="s">
        <v>424</v>
      </c>
      <c r="AJ54" s="212">
        <f>SUM(AE5:AE8)</f>
        <v>45.116782313954005</v>
      </c>
      <c r="AN54" s="211"/>
    </row>
    <row r="55" spans="13:40" x14ac:dyDescent="0.2">
      <c r="M55" s="337"/>
      <c r="N55" s="212" t="s">
        <v>425</v>
      </c>
      <c r="O55" s="212">
        <f>O54</f>
        <v>29.85</v>
      </c>
      <c r="P55" s="212">
        <f>P54</f>
        <v>12.76195652173913</v>
      </c>
      <c r="Q55" s="212">
        <v>0</v>
      </c>
      <c r="R55" s="212">
        <v>0</v>
      </c>
      <c r="S55" s="212">
        <f>Q15</f>
        <v>6.2287000000000008</v>
      </c>
      <c r="T55" s="209">
        <f>SUM(O55:S55)</f>
        <v>48.840656521739135</v>
      </c>
      <c r="Z55" s="337"/>
      <c r="AA55" s="212" t="s">
        <v>426</v>
      </c>
      <c r="AB55" s="212">
        <f>AI13</f>
        <v>356.38221153846149</v>
      </c>
      <c r="AC55" s="212">
        <f>AI14</f>
        <v>1.3323597396611686</v>
      </c>
      <c r="AD55" s="212">
        <v>0</v>
      </c>
      <c r="AE55" s="212">
        <v>0</v>
      </c>
      <c r="AF55" s="212">
        <f>AI17</f>
        <v>444.05766235068103</v>
      </c>
      <c r="AG55" s="209">
        <f>SUM(AB55:AF55)</f>
        <v>801.77223362880363</v>
      </c>
      <c r="AI55" s="212" t="s">
        <v>427</v>
      </c>
      <c r="AJ55" s="212">
        <f>SUM(AE5:AE6)+AE9</f>
        <v>38.796919840329764</v>
      </c>
      <c r="AN55" s="211"/>
    </row>
    <row r="56" spans="13:40" x14ac:dyDescent="0.2">
      <c r="M56" s="337"/>
      <c r="Z56" s="337"/>
      <c r="AH56" s="227"/>
      <c r="AN56" s="211"/>
    </row>
    <row r="57" spans="13:40" x14ac:dyDescent="0.2">
      <c r="M57" s="337"/>
      <c r="Z57" s="337"/>
      <c r="AN57" s="211"/>
    </row>
    <row r="58" spans="13:40" x14ac:dyDescent="0.2">
      <c r="M58" s="337"/>
      <c r="R58" s="227"/>
      <c r="V58" s="233"/>
      <c r="Z58" s="337"/>
      <c r="AN58" s="211"/>
    </row>
    <row r="59" spans="13:40" x14ac:dyDescent="0.2">
      <c r="M59" s="337"/>
      <c r="V59" s="233"/>
      <c r="Z59" s="337"/>
      <c r="AA59" s="212"/>
      <c r="AB59" s="212" t="s">
        <v>220</v>
      </c>
      <c r="AC59" s="212" t="s">
        <v>410</v>
      </c>
      <c r="AD59" s="212" t="s">
        <v>222</v>
      </c>
      <c r="AE59" s="212" t="s">
        <v>223</v>
      </c>
      <c r="AF59" s="212" t="s">
        <v>233</v>
      </c>
      <c r="AG59" s="212"/>
      <c r="AN59" s="211"/>
    </row>
    <row r="60" spans="13:40" x14ac:dyDescent="0.2">
      <c r="M60" s="337"/>
      <c r="Z60" s="337"/>
      <c r="AA60" s="212" t="s">
        <v>423</v>
      </c>
      <c r="AB60" s="212">
        <v>6543.7358731382319</v>
      </c>
      <c r="AC60" s="212">
        <v>3186.1756659973425</v>
      </c>
      <c r="AD60" s="212">
        <v>1834.9678450880281</v>
      </c>
      <c r="AE60" s="212">
        <v>507.50884806190072</v>
      </c>
      <c r="AF60" s="212">
        <v>0</v>
      </c>
      <c r="AG60" s="212">
        <f>SUM(AB60:AF60)</f>
        <v>12072.388232285502</v>
      </c>
      <c r="AN60" s="211"/>
    </row>
    <row r="61" spans="13:40" x14ac:dyDescent="0.2">
      <c r="M61" s="337"/>
      <c r="Z61" s="337"/>
      <c r="AA61" s="212" t="s">
        <v>428</v>
      </c>
      <c r="AB61" s="212">
        <v>6543.7358731382319</v>
      </c>
      <c r="AC61" s="212">
        <v>3186.1756659973425</v>
      </c>
      <c r="AD61" s="212">
        <v>0</v>
      </c>
      <c r="AE61" s="212">
        <v>0</v>
      </c>
      <c r="AF61" s="212">
        <v>771.06349673178113</v>
      </c>
      <c r="AG61" s="212">
        <f>SUM(AB61:AF61)</f>
        <v>10500.975035867355</v>
      </c>
      <c r="AN61" s="211"/>
    </row>
    <row r="62" spans="13:40" x14ac:dyDescent="0.2">
      <c r="M62" s="337"/>
      <c r="Z62" s="337"/>
      <c r="AN62" s="211"/>
    </row>
    <row r="63" spans="13:40" x14ac:dyDescent="0.2">
      <c r="M63" s="337"/>
      <c r="Z63" s="337"/>
      <c r="AN63" s="211"/>
    </row>
    <row r="64" spans="13:40" x14ac:dyDescent="0.2">
      <c r="M64" s="337"/>
      <c r="Z64" s="337"/>
      <c r="AN64" s="211"/>
    </row>
    <row r="65" spans="13:40" x14ac:dyDescent="0.2">
      <c r="M65" s="337"/>
      <c r="Z65" s="337"/>
      <c r="AN65" s="211"/>
    </row>
    <row r="66" spans="13:40" x14ac:dyDescent="0.2">
      <c r="M66" s="337"/>
      <c r="Z66" s="337"/>
      <c r="AN66" s="211"/>
    </row>
    <row r="67" spans="13:40" x14ac:dyDescent="0.2">
      <c r="M67" s="337"/>
      <c r="Z67" s="337"/>
      <c r="AN67" s="211"/>
    </row>
    <row r="68" spans="13:40" x14ac:dyDescent="0.2">
      <c r="M68" s="337"/>
      <c r="Z68" s="337"/>
      <c r="AN68" s="211"/>
    </row>
    <row r="69" spans="13:40" x14ac:dyDescent="0.2">
      <c r="M69" s="337"/>
      <c r="Z69" s="337"/>
      <c r="AN69" s="211"/>
    </row>
    <row r="70" spans="13:40" x14ac:dyDescent="0.2">
      <c r="M70" s="337"/>
      <c r="Z70" s="337"/>
      <c r="AN70" s="211"/>
    </row>
    <row r="71" spans="13:40" x14ac:dyDescent="0.2">
      <c r="M71" s="337"/>
      <c r="Z71" s="337"/>
      <c r="AN71" s="211"/>
    </row>
    <row r="72" spans="13:40" x14ac:dyDescent="0.2">
      <c r="M72" s="337"/>
      <c r="Z72" s="337"/>
      <c r="AN72" s="211"/>
    </row>
    <row r="73" spans="13:40" x14ac:dyDescent="0.2">
      <c r="M73" s="337"/>
      <c r="Z73" s="337"/>
      <c r="AN73" s="211"/>
    </row>
    <row r="74" spans="13:40" x14ac:dyDescent="0.2">
      <c r="M74" s="337"/>
      <c r="Z74" s="337"/>
      <c r="AN74" s="211"/>
    </row>
    <row r="75" spans="13:40" x14ac:dyDescent="0.2">
      <c r="M75" s="337"/>
      <c r="Z75" s="337"/>
      <c r="AN75" s="211"/>
    </row>
    <row r="76" spans="13:40" x14ac:dyDescent="0.2">
      <c r="M76" s="337"/>
      <c r="Z76" s="337"/>
      <c r="AN76" s="211"/>
    </row>
    <row r="77" spans="13:40" x14ac:dyDescent="0.2">
      <c r="M77" s="337"/>
      <c r="Z77" s="337"/>
      <c r="AN77" s="211"/>
    </row>
    <row r="78" spans="13:40" x14ac:dyDescent="0.2">
      <c r="M78" s="337"/>
      <c r="Z78" s="337"/>
      <c r="AN78" s="211"/>
    </row>
    <row r="79" spans="13:40" x14ac:dyDescent="0.2">
      <c r="M79" s="337"/>
      <c r="Z79" s="337"/>
      <c r="AN79" s="211"/>
    </row>
    <row r="80" spans="13:40" x14ac:dyDescent="0.2">
      <c r="M80" s="337"/>
      <c r="Z80" s="337"/>
      <c r="AN80" s="211"/>
    </row>
    <row r="81" spans="13:40" x14ac:dyDescent="0.2">
      <c r="M81" s="337"/>
      <c r="Z81" s="337"/>
      <c r="AN81" s="211"/>
    </row>
    <row r="82" spans="13:40" x14ac:dyDescent="0.2">
      <c r="M82" s="337"/>
      <c r="Z82" s="337"/>
      <c r="AN82" s="211"/>
    </row>
    <row r="83" spans="13:40" x14ac:dyDescent="0.2">
      <c r="Z83" s="337"/>
      <c r="AN83" s="211"/>
    </row>
    <row r="84" spans="13:40" x14ac:dyDescent="0.2">
      <c r="Z84" s="337"/>
      <c r="AN84" s="211"/>
    </row>
    <row r="85" spans="13:40" x14ac:dyDescent="0.2">
      <c r="AN85" s="211"/>
    </row>
  </sheetData>
  <mergeCells count="21">
    <mergeCell ref="AA19:AL19"/>
    <mergeCell ref="A1:F1"/>
    <mergeCell ref="I1:K1"/>
    <mergeCell ref="M1:M82"/>
    <mergeCell ref="Z1:Z84"/>
    <mergeCell ref="AA1:AM1"/>
    <mergeCell ref="A2:F2"/>
    <mergeCell ref="I2:K2"/>
    <mergeCell ref="AA3:AB3"/>
    <mergeCell ref="AD3:AH3"/>
    <mergeCell ref="N5:O5"/>
    <mergeCell ref="I9:J9"/>
    <mergeCell ref="R9:U9"/>
    <mergeCell ref="A10:E10"/>
    <mergeCell ref="AD11:AH11"/>
    <mergeCell ref="A17:C17"/>
    <mergeCell ref="N20:Y20"/>
    <mergeCell ref="A25:C25"/>
    <mergeCell ref="A32:C32"/>
    <mergeCell ref="N51:Y51"/>
    <mergeCell ref="AA51:AL51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E44752-4144-46CD-ACBB-906358077C46}">
  <sheetPr codeName="Sheet34"/>
  <dimension ref="C23:I29"/>
  <sheetViews>
    <sheetView workbookViewId="0"/>
  </sheetViews>
  <sheetFormatPr defaultRowHeight="12.75" x14ac:dyDescent="0.2"/>
  <sheetData>
    <row r="23" spans="3:9" x14ac:dyDescent="0.2">
      <c r="D23">
        <v>2012</v>
      </c>
      <c r="E23">
        <v>2013</v>
      </c>
      <c r="F23">
        <v>2014</v>
      </c>
      <c r="G23">
        <v>2015</v>
      </c>
      <c r="H23">
        <v>2016</v>
      </c>
      <c r="I23">
        <v>2017</v>
      </c>
    </row>
    <row r="24" spans="3:9" x14ac:dyDescent="0.2">
      <c r="C24" s="67" t="s">
        <v>445</v>
      </c>
      <c r="D24">
        <v>254</v>
      </c>
      <c r="E24">
        <v>264</v>
      </c>
      <c r="F24">
        <v>188</v>
      </c>
      <c r="G24">
        <v>276</v>
      </c>
      <c r="H24">
        <v>264</v>
      </c>
      <c r="I24">
        <v>260</v>
      </c>
    </row>
    <row r="26" spans="3:9" x14ac:dyDescent="0.2">
      <c r="C26" s="67" t="s">
        <v>517</v>
      </c>
      <c r="E26">
        <v>28</v>
      </c>
      <c r="F26">
        <v>29</v>
      </c>
      <c r="G26">
        <v>32</v>
      </c>
      <c r="H26">
        <v>31</v>
      </c>
      <c r="I26">
        <v>31</v>
      </c>
    </row>
    <row r="27" spans="3:9" x14ac:dyDescent="0.2">
      <c r="C27" s="67" t="s">
        <v>518</v>
      </c>
      <c r="E27">
        <v>239</v>
      </c>
      <c r="F27">
        <v>202</v>
      </c>
      <c r="G27">
        <v>254</v>
      </c>
      <c r="H27">
        <v>250</v>
      </c>
      <c r="I27">
        <v>251</v>
      </c>
    </row>
    <row r="29" spans="3:9" x14ac:dyDescent="0.2">
      <c r="C29" s="67" t="s">
        <v>519</v>
      </c>
      <c r="E29" s="267">
        <f>E26/E24</f>
        <v>0.10606060606060606</v>
      </c>
      <c r="F29" s="267">
        <f t="shared" ref="F29:I29" si="0">F26/F24</f>
        <v>0.15425531914893617</v>
      </c>
      <c r="G29" s="267">
        <f t="shared" si="0"/>
        <v>0.11594202898550725</v>
      </c>
      <c r="H29" s="267">
        <f t="shared" si="0"/>
        <v>0.11742424242424243</v>
      </c>
      <c r="I29" s="267">
        <f t="shared" si="0"/>
        <v>0.11923076923076924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7EE854-E2BF-4E78-BADD-E12ED2074CEA}">
  <sheetPr codeName="Sheet35"/>
  <dimension ref="E1:X25"/>
  <sheetViews>
    <sheetView workbookViewId="0">
      <selection activeCell="J26" sqref="J26"/>
    </sheetView>
  </sheetViews>
  <sheetFormatPr defaultColWidth="8.85546875" defaultRowHeight="15" x14ac:dyDescent="0.25"/>
  <cols>
    <col min="1" max="4" width="8.85546875" style="235"/>
    <col min="5" max="5" width="15.140625" style="235" customWidth="1"/>
    <col min="6" max="16384" width="8.85546875" style="235"/>
  </cols>
  <sheetData>
    <row r="1" spans="5:19" x14ac:dyDescent="0.25">
      <c r="E1" s="235">
        <v>2017</v>
      </c>
    </row>
    <row r="2" spans="5:19" x14ac:dyDescent="0.25">
      <c r="E2" s="235" t="s">
        <v>430</v>
      </c>
      <c r="H2" s="235" t="s">
        <v>431</v>
      </c>
      <c r="J2" s="235" t="s">
        <v>139</v>
      </c>
    </row>
    <row r="3" spans="5:19" x14ac:dyDescent="0.25">
      <c r="E3" s="236" t="s">
        <v>126</v>
      </c>
      <c r="F3" s="235" t="s">
        <v>116</v>
      </c>
      <c r="G3" s="235" t="s">
        <v>432</v>
      </c>
      <c r="H3" s="236" t="s">
        <v>126</v>
      </c>
      <c r="I3" s="235" t="s">
        <v>433</v>
      </c>
      <c r="J3" s="235" t="s">
        <v>434</v>
      </c>
      <c r="K3" s="235" t="s">
        <v>435</v>
      </c>
      <c r="M3" s="235" t="s">
        <v>436</v>
      </c>
    </row>
    <row r="4" spans="5:19" x14ac:dyDescent="0.25">
      <c r="E4" s="235" t="s">
        <v>165</v>
      </c>
      <c r="F4" s="235">
        <f>SUM('[1]2017 SATIM EB'!$P$31:$P$40)</f>
        <v>0</v>
      </c>
      <c r="G4" s="235">
        <f>F4/$F$8</f>
        <v>0</v>
      </c>
      <c r="H4" s="235" t="s">
        <v>267</v>
      </c>
      <c r="I4" s="235">
        <f>X24</f>
        <v>260</v>
      </c>
      <c r="S4" s="235" t="s">
        <v>437</v>
      </c>
    </row>
    <row r="5" spans="5:19" x14ac:dyDescent="0.25">
      <c r="E5" s="235" t="s">
        <v>180</v>
      </c>
      <c r="F5" s="237">
        <f>SUM('[1]2017 SATIM EB'!$R$31:$R$40)</f>
        <v>4.5246489747494749</v>
      </c>
      <c r="G5" s="235">
        <f t="shared" ref="G5:G8" si="0">F5/$F$8</f>
        <v>0.10324980511857614</v>
      </c>
      <c r="J5" s="235">
        <f>F5/I4</f>
        <v>1.740249605672875E-2</v>
      </c>
      <c r="S5" s="238">
        <f>31/260</f>
        <v>0.11923076923076924</v>
      </c>
    </row>
    <row r="6" spans="5:19" x14ac:dyDescent="0.25">
      <c r="E6" s="235" t="s">
        <v>166</v>
      </c>
      <c r="F6" s="237">
        <f>SUM('[1]2017 SATIM EB'!$S$31:$S$40)</f>
        <v>39.297699837949885</v>
      </c>
      <c r="G6" s="235">
        <f t="shared" si="0"/>
        <v>0.89675019488142382</v>
      </c>
      <c r="J6" s="235">
        <f>F6/I4</f>
        <v>0.15114499937673032</v>
      </c>
      <c r="K6" s="235">
        <f>(F6+F5/2)/I4</f>
        <v>0.15984624740509468</v>
      </c>
    </row>
    <row r="7" spans="5:19" x14ac:dyDescent="0.25">
      <c r="E7" s="235" t="s">
        <v>167</v>
      </c>
      <c r="F7" s="235">
        <f>SUM('[1]2017 SATIM EB'!$T$31:$T$40)</f>
        <v>0</v>
      </c>
      <c r="G7" s="235">
        <f t="shared" si="0"/>
        <v>0</v>
      </c>
    </row>
    <row r="8" spans="5:19" x14ac:dyDescent="0.25">
      <c r="E8" s="235" t="s">
        <v>216</v>
      </c>
      <c r="F8" s="235">
        <f>SUM(F4:F7)</f>
        <v>43.82234881269936</v>
      </c>
      <c r="G8" s="235">
        <f t="shared" si="0"/>
        <v>1</v>
      </c>
    </row>
    <row r="19" spans="17:24" x14ac:dyDescent="0.25">
      <c r="V19" s="235" t="s">
        <v>438</v>
      </c>
      <c r="W19" s="235" t="s">
        <v>439</v>
      </c>
      <c r="X19" s="235" t="s">
        <v>440</v>
      </c>
    </row>
    <row r="20" spans="17:24" x14ac:dyDescent="0.25">
      <c r="V20" s="235">
        <f>11971/31</f>
        <v>386.16129032258067</v>
      </c>
      <c r="W20" s="235">
        <f>85069/251</f>
        <v>338.92031872509961</v>
      </c>
      <c r="X20" s="235">
        <f>97040/X24</f>
        <v>373.23076923076923</v>
      </c>
    </row>
    <row r="23" spans="17:24" x14ac:dyDescent="0.25">
      <c r="S23" s="235">
        <v>2012</v>
      </c>
      <c r="T23" s="235">
        <f>S23+1</f>
        <v>2013</v>
      </c>
      <c r="U23" s="235">
        <f t="shared" ref="U23:X23" si="1">T23+1</f>
        <v>2014</v>
      </c>
      <c r="V23" s="235">
        <f t="shared" si="1"/>
        <v>2015</v>
      </c>
      <c r="W23" s="235">
        <f t="shared" si="1"/>
        <v>2016</v>
      </c>
      <c r="X23" s="235">
        <f t="shared" si="1"/>
        <v>2017</v>
      </c>
    </row>
    <row r="24" spans="17:24" x14ac:dyDescent="0.25">
      <c r="Q24" s="235" t="s">
        <v>441</v>
      </c>
      <c r="S24" s="235">
        <v>254</v>
      </c>
      <c r="T24" s="235">
        <v>264</v>
      </c>
      <c r="U24" s="235">
        <v>188</v>
      </c>
      <c r="V24" s="235">
        <v>276</v>
      </c>
      <c r="W24" s="235">
        <v>264</v>
      </c>
      <c r="X24" s="235">
        <v>260</v>
      </c>
    </row>
    <row r="25" spans="17:24" x14ac:dyDescent="0.25">
      <c r="Q25" s="235" t="s">
        <v>442</v>
      </c>
      <c r="S25" s="235">
        <v>182.4</v>
      </c>
      <c r="T25" s="235">
        <v>205.5</v>
      </c>
      <c r="U25" s="235">
        <v>189.7</v>
      </c>
      <c r="V25" s="235">
        <v>209.5</v>
      </c>
      <c r="W25" s="235">
        <v>196.3</v>
      </c>
      <c r="X25" s="235">
        <v>187</v>
      </c>
    </row>
  </sheetData>
  <pageMargins left="0.7" right="0.7" top="0.75" bottom="0.75" header="0.3" footer="0.3"/>
  <pageSetup paperSize="9" orientation="portrait" verticalDpi="0" r:id="rId1"/>
  <drawing r:id="rId2"/>
  <legacyDrawing r:id="rId3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6"/>
  <dimension ref="A1:X9"/>
  <sheetViews>
    <sheetView workbookViewId="0"/>
  </sheetViews>
  <sheetFormatPr defaultColWidth="9.140625" defaultRowHeight="12.75" x14ac:dyDescent="0.2"/>
  <cols>
    <col min="1" max="2" width="12.42578125" style="8" customWidth="1"/>
    <col min="3" max="3" width="20.5703125" style="8" customWidth="1"/>
    <col min="4" max="4" width="8.7109375" style="8" customWidth="1"/>
    <col min="5" max="5" width="12.28515625" style="8" customWidth="1"/>
    <col min="6" max="7" width="12.140625" style="8" customWidth="1"/>
    <col min="8" max="8" width="10.7109375" style="8" customWidth="1"/>
    <col min="9" max="9" width="10.140625" customWidth="1"/>
    <col min="10" max="10" width="11.28515625" style="8" customWidth="1"/>
    <col min="11" max="11" width="11.140625" style="8" customWidth="1"/>
    <col min="12" max="12" width="12.85546875" style="8" customWidth="1"/>
    <col min="13" max="13" width="14" style="8" customWidth="1"/>
    <col min="14" max="14" width="13.42578125" style="8" customWidth="1"/>
    <col min="15" max="16" width="12.140625" style="8" customWidth="1"/>
    <col min="17" max="17" width="14.140625" style="8" customWidth="1"/>
    <col min="18" max="18" width="14.42578125" style="8" customWidth="1"/>
    <col min="19" max="19" width="17.42578125" style="8" customWidth="1"/>
    <col min="20" max="20" width="19.42578125" style="8" customWidth="1"/>
    <col min="21" max="21" width="19" style="8" customWidth="1"/>
    <col min="22" max="22" width="13.85546875" style="8" customWidth="1"/>
    <col min="23" max="23" width="13.7109375" style="8" customWidth="1"/>
    <col min="24" max="24" width="12.28515625" style="8" customWidth="1"/>
    <col min="25" max="25" width="10.28515625" style="8" customWidth="1"/>
    <col min="26" max="16384" width="9.140625" style="8"/>
  </cols>
  <sheetData>
    <row r="1" spans="1:24" s="9" customFormat="1" ht="11.25" x14ac:dyDescent="0.2">
      <c r="A1" s="11" t="s">
        <v>106</v>
      </c>
    </row>
    <row r="2" spans="1:24" s="9" customFormat="1" ht="11.25" customHeight="1" x14ac:dyDescent="0.2"/>
    <row r="3" spans="1:24" s="9" customFormat="1" ht="21.75" customHeight="1" x14ac:dyDescent="0.2">
      <c r="H3" s="21" t="s">
        <v>67</v>
      </c>
      <c r="I3" s="21" t="s">
        <v>68</v>
      </c>
      <c r="J3" s="21" t="s">
        <v>65</v>
      </c>
      <c r="K3" s="21" t="s">
        <v>66</v>
      </c>
      <c r="L3" s="21" t="s">
        <v>69</v>
      </c>
      <c r="M3" s="21" t="s">
        <v>70</v>
      </c>
      <c r="N3" s="22" t="s">
        <v>71</v>
      </c>
      <c r="O3" s="22" t="s">
        <v>73</v>
      </c>
      <c r="P3" s="22" t="s">
        <v>83</v>
      </c>
      <c r="Q3" s="22" t="s">
        <v>84</v>
      </c>
      <c r="R3" s="22" t="s">
        <v>85</v>
      </c>
      <c r="S3" s="22" t="s">
        <v>86</v>
      </c>
      <c r="T3" s="22" t="s">
        <v>87</v>
      </c>
      <c r="U3" s="22" t="s">
        <v>91</v>
      </c>
      <c r="V3" s="21" t="s">
        <v>88</v>
      </c>
      <c r="W3" s="21" t="s">
        <v>89</v>
      </c>
      <c r="X3" s="22" t="s">
        <v>90</v>
      </c>
    </row>
    <row r="4" spans="1:24" s="9" customFormat="1" ht="17.25" customHeight="1" x14ac:dyDescent="0.2">
      <c r="E4" s="20"/>
      <c r="F4" s="20"/>
      <c r="G4" s="20"/>
      <c r="H4" s="13" t="s">
        <v>48</v>
      </c>
      <c r="I4" s="16" t="s">
        <v>64</v>
      </c>
      <c r="J4" s="13" t="s">
        <v>60</v>
      </c>
      <c r="K4" s="13" t="s">
        <v>61</v>
      </c>
      <c r="L4" s="13" t="s">
        <v>49</v>
      </c>
      <c r="M4" s="16" t="s">
        <v>58</v>
      </c>
      <c r="N4" s="13" t="s">
        <v>53</v>
      </c>
      <c r="O4" s="16" t="s">
        <v>62</v>
      </c>
      <c r="P4" s="16" t="s">
        <v>55</v>
      </c>
      <c r="Q4" s="16" t="s">
        <v>72</v>
      </c>
      <c r="R4" s="16" t="s">
        <v>74</v>
      </c>
      <c r="S4" s="16" t="s">
        <v>75</v>
      </c>
      <c r="T4" s="16" t="s">
        <v>76</v>
      </c>
      <c r="U4" s="16" t="s">
        <v>78</v>
      </c>
      <c r="V4" s="13" t="s">
        <v>50</v>
      </c>
      <c r="W4" s="13" t="s">
        <v>52</v>
      </c>
      <c r="X4" s="13" t="s">
        <v>54</v>
      </c>
    </row>
    <row r="5" spans="1:24" s="9" customFormat="1" ht="17.25" customHeight="1" x14ac:dyDescent="0.2">
      <c r="H5" s="19"/>
      <c r="I5" s="19"/>
      <c r="J5" s="14" t="s">
        <v>59</v>
      </c>
      <c r="K5" s="14" t="s">
        <v>59</v>
      </c>
      <c r="L5" s="19"/>
      <c r="M5" s="14" t="s">
        <v>59</v>
      </c>
      <c r="N5" s="14" t="s">
        <v>59</v>
      </c>
      <c r="O5" s="17" t="s">
        <v>63</v>
      </c>
      <c r="P5" s="17" t="s">
        <v>63</v>
      </c>
      <c r="Q5" s="17" t="s">
        <v>63</v>
      </c>
      <c r="R5" s="17" t="s">
        <v>63</v>
      </c>
      <c r="S5" s="17" t="s">
        <v>63</v>
      </c>
      <c r="T5" s="17" t="s">
        <v>63</v>
      </c>
      <c r="U5" s="17" t="s">
        <v>63</v>
      </c>
    </row>
    <row r="6" spans="1:24" s="9" customFormat="1" ht="17.25" customHeight="1" x14ac:dyDescent="0.2">
      <c r="H6" s="19"/>
      <c r="I6" s="19"/>
      <c r="J6" s="19"/>
      <c r="K6" s="19"/>
      <c r="L6" s="19"/>
      <c r="M6" s="19"/>
      <c r="N6" s="19"/>
      <c r="O6" s="19"/>
      <c r="P6" s="17" t="s">
        <v>79</v>
      </c>
      <c r="Q6" s="19"/>
      <c r="R6" s="19"/>
      <c r="S6" s="19"/>
      <c r="T6" s="17" t="s">
        <v>77</v>
      </c>
      <c r="U6" s="25" t="s">
        <v>82</v>
      </c>
    </row>
    <row r="7" spans="1:24" s="9" customFormat="1" ht="17.25" customHeight="1" x14ac:dyDescent="0.2">
      <c r="B7" s="11" t="s">
        <v>46</v>
      </c>
      <c r="C7" s="11" t="s">
        <v>47</v>
      </c>
      <c r="D7" s="11" t="s">
        <v>43</v>
      </c>
      <c r="E7" s="11" t="s">
        <v>56</v>
      </c>
      <c r="F7" s="11" t="s">
        <v>40</v>
      </c>
      <c r="G7" s="11" t="s">
        <v>45</v>
      </c>
      <c r="H7" s="18" t="s">
        <v>44</v>
      </c>
      <c r="J7" s="18" t="s">
        <v>44</v>
      </c>
      <c r="K7" s="21"/>
      <c r="L7" s="18" t="s">
        <v>44</v>
      </c>
      <c r="M7" s="11"/>
      <c r="N7" s="21"/>
      <c r="O7" s="11"/>
      <c r="P7" s="16" t="s">
        <v>44</v>
      </c>
      <c r="Q7" s="16"/>
      <c r="R7" s="16"/>
      <c r="S7" s="16"/>
      <c r="T7" s="16"/>
      <c r="U7" s="16" t="s">
        <v>44</v>
      </c>
      <c r="V7" s="24" t="s">
        <v>51</v>
      </c>
      <c r="W7" s="24" t="s">
        <v>51</v>
      </c>
      <c r="X7" s="24" t="s">
        <v>51</v>
      </c>
    </row>
    <row r="9" spans="1:24" x14ac:dyDescent="0.2">
      <c r="A9" s="7"/>
      <c r="B9" s="7"/>
      <c r="C9" s="7"/>
      <c r="D9" s="7"/>
      <c r="E9" s="7"/>
      <c r="F9" s="7"/>
    </row>
  </sheetData>
  <pageMargins left="0.75" right="0.75" top="1" bottom="1" header="0.5" footer="0.5"/>
  <pageSetup paperSize="9" orientation="landscape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102401" r:id="rId4" name="cmdConstrNameAndDesc">
          <controlPr defaultSize="0" autoLine="0" autoPict="0" r:id="rId5">
            <anchor moveWithCells="1">
              <from>
                <xdr:col>1</xdr:col>
                <xdr:colOff>19050</xdr:colOff>
                <xdr:row>2</xdr:row>
                <xdr:rowOff>0</xdr:rowOff>
              </from>
              <to>
                <xdr:col>2</xdr:col>
                <xdr:colOff>1085850</xdr:colOff>
                <xdr:row>2</xdr:row>
                <xdr:rowOff>190500</xdr:rowOff>
              </to>
            </anchor>
          </controlPr>
        </control>
      </mc:Choice>
      <mc:Fallback>
        <control shapeId="102401" r:id="rId4" name="cmdConstrNameAndDesc"/>
      </mc:Fallback>
    </mc:AlternateContent>
    <mc:AlternateContent xmlns:mc="http://schemas.openxmlformats.org/markup-compatibility/2006">
      <mc:Choice Requires="x14">
        <control shapeId="102402" r:id="rId6" name="cmdProcName">
          <controlPr defaultSize="0" autoLine="0" r:id="rId7">
            <anchor moveWithCells="1">
              <from>
                <xdr:col>4</xdr:col>
                <xdr:colOff>0</xdr:colOff>
                <xdr:row>2</xdr:row>
                <xdr:rowOff>0</xdr:rowOff>
              </from>
              <to>
                <xdr:col>5</xdr:col>
                <xdr:colOff>0</xdr:colOff>
                <xdr:row>2</xdr:row>
                <xdr:rowOff>238125</xdr:rowOff>
              </to>
            </anchor>
          </controlPr>
        </control>
      </mc:Choice>
      <mc:Fallback>
        <control shapeId="102402" r:id="rId6" name="cmdProcName"/>
      </mc:Fallback>
    </mc:AlternateContent>
    <mc:AlternateContent xmlns:mc="http://schemas.openxmlformats.org/markup-compatibility/2006">
      <mc:Choice Requires="x14">
        <control shapeId="102403" r:id="rId8" name="cmdAddParameter">
          <controlPr defaultSize="0" autoLine="0" r:id="rId9">
            <anchor moveWithCells="1">
              <from>
                <xdr:col>0</xdr:col>
                <xdr:colOff>0</xdr:colOff>
                <xdr:row>2</xdr:row>
                <xdr:rowOff>190500</xdr:rowOff>
              </from>
              <to>
                <xdr:col>0</xdr:col>
                <xdr:colOff>819150</xdr:colOff>
                <xdr:row>3</xdr:row>
                <xdr:rowOff>152400</xdr:rowOff>
              </to>
            </anchor>
          </controlPr>
        </control>
      </mc:Choice>
      <mc:Fallback>
        <control shapeId="102403" r:id="rId8" name="cmdAddParameter"/>
      </mc:Fallback>
    </mc:AlternateContent>
    <mc:AlternateContent xmlns:mc="http://schemas.openxmlformats.org/markup-compatibility/2006">
      <mc:Choice Requires="x14">
        <control shapeId="102404" r:id="rId10" name="cmdCheckConstrDataSheet">
          <controlPr defaultSize="0" autoLine="0" r:id="rId11">
            <anchor moveWithCells="1">
              <from>
                <xdr:col>0</xdr:col>
                <xdr:colOff>9525</xdr:colOff>
                <xdr:row>2</xdr:row>
                <xdr:rowOff>0</xdr:rowOff>
              </from>
              <to>
                <xdr:col>1</xdr:col>
                <xdr:colOff>0</xdr:colOff>
                <xdr:row>2</xdr:row>
                <xdr:rowOff>238125</xdr:rowOff>
              </to>
            </anchor>
          </controlPr>
        </control>
      </mc:Choice>
      <mc:Fallback>
        <control shapeId="102404" r:id="rId10" name="cmdCheckConstrDataSheet"/>
      </mc:Fallback>
    </mc:AlternateContent>
    <mc:AlternateContent xmlns:mc="http://schemas.openxmlformats.org/markup-compatibility/2006">
      <mc:Choice Requires="x14">
        <control shapeId="102405" r:id="rId12" name="cmdAddParamQualifier1">
          <controlPr defaultSize="0" autoLine="0" r:id="rId13">
            <anchor moveWithCells="1">
              <from>
                <xdr:col>0</xdr:col>
                <xdr:colOff>0</xdr:colOff>
                <xdr:row>4</xdr:row>
                <xdr:rowOff>9525</xdr:rowOff>
              </from>
              <to>
                <xdr:col>0</xdr:col>
                <xdr:colOff>819150</xdr:colOff>
                <xdr:row>5</xdr:row>
                <xdr:rowOff>28575</xdr:rowOff>
              </to>
            </anchor>
          </controlPr>
        </control>
      </mc:Choice>
      <mc:Fallback>
        <control shapeId="102405" r:id="rId12" name="cmdAddParamQualifier1"/>
      </mc:Fallback>
    </mc:AlternateContent>
    <mc:AlternateContent xmlns:mc="http://schemas.openxmlformats.org/markup-compatibility/2006">
      <mc:Choice Requires="x14">
        <control shapeId="102407" r:id="rId14" name="cmdCommName">
          <controlPr defaultSize="0" autoLine="0" r:id="rId15">
            <anchor moveWithCells="1">
              <from>
                <xdr:col>5</xdr:col>
                <xdr:colOff>0</xdr:colOff>
                <xdr:row>2</xdr:row>
                <xdr:rowOff>0</xdr:rowOff>
              </from>
              <to>
                <xdr:col>6</xdr:col>
                <xdr:colOff>9525</xdr:colOff>
                <xdr:row>2</xdr:row>
                <xdr:rowOff>238125</xdr:rowOff>
              </to>
            </anchor>
          </controlPr>
        </control>
      </mc:Choice>
      <mc:Fallback>
        <control shapeId="102407" r:id="rId14" name="cmdCommName"/>
      </mc:Fallback>
    </mc:AlternateContent>
    <mc:AlternateContent xmlns:mc="http://schemas.openxmlformats.org/markup-compatibility/2006">
      <mc:Choice Requires="x14">
        <control shapeId="102408" r:id="rId16" name="cmdTimeSlice">
          <controlPr defaultSize="0" autoLine="0" r:id="rId17">
            <anchor moveWithCells="1">
              <from>
                <xdr:col>6</xdr:col>
                <xdr:colOff>0</xdr:colOff>
                <xdr:row>2</xdr:row>
                <xdr:rowOff>0</xdr:rowOff>
              </from>
              <to>
                <xdr:col>7</xdr:col>
                <xdr:colOff>9525</xdr:colOff>
                <xdr:row>2</xdr:row>
                <xdr:rowOff>238125</xdr:rowOff>
              </to>
            </anchor>
          </controlPr>
        </control>
      </mc:Choice>
      <mc:Fallback>
        <control shapeId="102408" r:id="rId16" name="cmdTimeSlice"/>
      </mc:Fallback>
    </mc:AlternateContent>
    <mc:AlternateContent xmlns:mc="http://schemas.openxmlformats.org/markup-compatibility/2006">
      <mc:Choice Requires="x14">
        <control shapeId="102409" r:id="rId18" name="cmdAddParamQualifier2">
          <controlPr defaultSize="0" autoLine="0" r:id="rId19">
            <anchor moveWithCells="1">
              <from>
                <xdr:col>0</xdr:col>
                <xdr:colOff>0</xdr:colOff>
                <xdr:row>5</xdr:row>
                <xdr:rowOff>19050</xdr:rowOff>
              </from>
              <to>
                <xdr:col>0</xdr:col>
                <xdr:colOff>819150</xdr:colOff>
                <xdr:row>6</xdr:row>
                <xdr:rowOff>38100</xdr:rowOff>
              </to>
            </anchor>
          </controlPr>
        </control>
      </mc:Choice>
      <mc:Fallback>
        <control shapeId="102409" r:id="rId18" name="cmdAddParamQualifier2"/>
      </mc:Fallback>
    </mc:AlternateContent>
  </controls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7"/>
  <dimension ref="A1:G15"/>
  <sheetViews>
    <sheetView workbookViewId="0"/>
  </sheetViews>
  <sheetFormatPr defaultColWidth="9.140625" defaultRowHeight="11.25" x14ac:dyDescent="0.2"/>
  <cols>
    <col min="1" max="1" width="14.42578125" style="3" customWidth="1"/>
    <col min="2" max="3" width="9.140625" style="3"/>
    <col min="4" max="4" width="27.42578125" style="3" customWidth="1"/>
    <col min="5" max="5" width="10.140625" style="3" customWidth="1"/>
    <col min="6" max="6" width="28.7109375" style="3" customWidth="1"/>
    <col min="7" max="16384" width="9.140625" style="3"/>
  </cols>
  <sheetData>
    <row r="1" spans="1:7" x14ac:dyDescent="0.2">
      <c r="A1" s="2" t="s">
        <v>107</v>
      </c>
    </row>
    <row r="3" spans="1:7" ht="18.75" customHeight="1" x14ac:dyDescent="0.2"/>
    <row r="7" spans="1:7" x14ac:dyDescent="0.2">
      <c r="B7" s="2" t="s">
        <v>13</v>
      </c>
      <c r="C7" s="4" t="s">
        <v>14</v>
      </c>
      <c r="D7" s="2" t="s">
        <v>15</v>
      </c>
      <c r="E7" s="2" t="s">
        <v>20</v>
      </c>
      <c r="F7" s="2" t="s">
        <v>1</v>
      </c>
      <c r="G7" s="2" t="s">
        <v>0</v>
      </c>
    </row>
    <row r="9" spans="1:7" x14ac:dyDescent="0.2">
      <c r="A9" s="2" t="s">
        <v>25</v>
      </c>
    </row>
    <row r="10" spans="1:7" x14ac:dyDescent="0.2">
      <c r="B10" s="5" t="s">
        <v>26</v>
      </c>
      <c r="C10" s="3" t="s">
        <v>27</v>
      </c>
      <c r="D10" s="3" t="s">
        <v>28</v>
      </c>
      <c r="F10" s="5" t="s">
        <v>29</v>
      </c>
    </row>
    <row r="11" spans="1:7" x14ac:dyDescent="0.2">
      <c r="B11" s="5" t="s">
        <v>26</v>
      </c>
      <c r="C11" s="3" t="s">
        <v>30</v>
      </c>
      <c r="D11" s="3" t="s">
        <v>31</v>
      </c>
      <c r="F11" s="5" t="s">
        <v>29</v>
      </c>
    </row>
    <row r="12" spans="1:7" x14ac:dyDescent="0.2">
      <c r="B12" s="5" t="s">
        <v>26</v>
      </c>
      <c r="C12" s="3" t="s">
        <v>32</v>
      </c>
      <c r="D12" s="3" t="s">
        <v>33</v>
      </c>
      <c r="F12" s="5" t="s">
        <v>29</v>
      </c>
    </row>
    <row r="13" spans="1:7" x14ac:dyDescent="0.2">
      <c r="B13" s="5" t="s">
        <v>26</v>
      </c>
      <c r="C13" s="3" t="s">
        <v>34</v>
      </c>
      <c r="D13" s="3" t="s">
        <v>35</v>
      </c>
      <c r="F13" s="5" t="s">
        <v>29</v>
      </c>
    </row>
    <row r="14" spans="1:7" x14ac:dyDescent="0.2">
      <c r="B14" s="5" t="s">
        <v>26</v>
      </c>
      <c r="C14" s="3" t="s">
        <v>36</v>
      </c>
      <c r="D14" s="3" t="s">
        <v>37</v>
      </c>
      <c r="F14" s="5" t="s">
        <v>29</v>
      </c>
    </row>
    <row r="15" spans="1:7" x14ac:dyDescent="0.2">
      <c r="B15" s="5" t="s">
        <v>26</v>
      </c>
      <c r="C15" s="3" t="s">
        <v>38</v>
      </c>
      <c r="D15" s="3" t="s">
        <v>39</v>
      </c>
      <c r="F15" s="5" t="s">
        <v>29</v>
      </c>
    </row>
  </sheetData>
  <phoneticPr fontId="22" type="noConversion"/>
  <pageMargins left="0.75" right="0.75" top="1" bottom="1" header="0.5" footer="0.5"/>
  <pageSetup paperSize="9" orientation="portrait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55297" r:id="rId4" name="cmdCheckItemsSheet">
          <controlPr defaultSize="0" autoLine="0" r:id="rId5">
            <anchor moveWithCells="1">
              <from>
                <xdr:col>0</xdr:col>
                <xdr:colOff>9525</xdr:colOff>
                <xdr:row>2</xdr:row>
                <xdr:rowOff>0</xdr:rowOff>
              </from>
              <to>
                <xdr:col>0</xdr:col>
                <xdr:colOff>828675</xdr:colOff>
                <xdr:row>3</xdr:row>
                <xdr:rowOff>0</xdr:rowOff>
              </to>
            </anchor>
          </controlPr>
        </control>
      </mc:Choice>
      <mc:Fallback>
        <control shapeId="55297" r:id="rId4" name="cmdCheckItemsSheet"/>
      </mc:Fallback>
    </mc:AlternateContent>
    <mc:AlternateContent xmlns:mc="http://schemas.openxmlformats.org/markup-compatibility/2006">
      <mc:Choice Requires="x14">
        <control shapeId="55298" r:id="rId6" name="cmdSpecifyComponent">
          <controlPr defaultSize="0" autoLine="0" r:id="rId7">
            <anchor moveWithCells="1">
              <from>
                <xdr:col>1</xdr:col>
                <xdr:colOff>9525</xdr:colOff>
                <xdr:row>3</xdr:row>
                <xdr:rowOff>0</xdr:rowOff>
              </from>
              <to>
                <xdr:col>2</xdr:col>
                <xdr:colOff>152400</xdr:colOff>
                <xdr:row>4</xdr:row>
                <xdr:rowOff>95250</xdr:rowOff>
              </to>
            </anchor>
          </controlPr>
        </control>
      </mc:Choice>
      <mc:Fallback>
        <control shapeId="55298" r:id="rId6" name="cmdSpecifyComponent"/>
      </mc:Fallback>
    </mc:AlternateContent>
    <mc:AlternateContent xmlns:mc="http://schemas.openxmlformats.org/markup-compatibility/2006">
      <mc:Choice Requires="x14">
        <control shapeId="55299" r:id="rId8" name="cmdSpecifyUnits">
          <controlPr defaultSize="0" autoLine="0" r:id="rId9">
            <anchor moveWithCells="1">
              <from>
                <xdr:col>4</xdr:col>
                <xdr:colOff>9525</xdr:colOff>
                <xdr:row>3</xdr:row>
                <xdr:rowOff>0</xdr:rowOff>
              </from>
              <to>
                <xdr:col>5</xdr:col>
                <xdr:colOff>0</xdr:colOff>
                <xdr:row>4</xdr:row>
                <xdr:rowOff>95250</xdr:rowOff>
              </to>
            </anchor>
          </controlPr>
        </control>
      </mc:Choice>
      <mc:Fallback>
        <control shapeId="55299" r:id="rId8" name="cmdSpecifyUnits"/>
      </mc:Fallback>
    </mc:AlternateContent>
    <mc:AlternateContent xmlns:mc="http://schemas.openxmlformats.org/markup-compatibility/2006">
      <mc:Choice Requires="x14">
        <control shapeId="55300" r:id="rId10" name="cmdSpecifySets">
          <controlPr defaultSize="0" autoLine="0" r:id="rId11">
            <anchor moveWithCells="1">
              <from>
                <xdr:col>5</xdr:col>
                <xdr:colOff>9525</xdr:colOff>
                <xdr:row>3</xdr:row>
                <xdr:rowOff>0</xdr:rowOff>
              </from>
              <to>
                <xdr:col>6</xdr:col>
                <xdr:colOff>0</xdr:colOff>
                <xdr:row>4</xdr:row>
                <xdr:rowOff>95250</xdr:rowOff>
              </to>
            </anchor>
          </controlPr>
        </control>
      </mc:Choice>
      <mc:Fallback>
        <control shapeId="55300" r:id="rId10" name="cmdSpecifySets"/>
      </mc:Fallback>
    </mc:AlternateContent>
  </controls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9"/>
  <dimension ref="A1:R7"/>
  <sheetViews>
    <sheetView workbookViewId="0"/>
  </sheetViews>
  <sheetFormatPr defaultColWidth="9.140625" defaultRowHeight="11.25" x14ac:dyDescent="0.2"/>
  <cols>
    <col min="1" max="1" width="14.42578125" style="3" customWidth="1"/>
    <col min="2" max="2" width="12.140625" style="3" customWidth="1"/>
    <col min="3" max="8" width="9.140625" style="3"/>
    <col min="9" max="9" width="6.7109375" style="3" customWidth="1"/>
    <col min="10" max="16384" width="9.140625" style="3"/>
  </cols>
  <sheetData>
    <row r="1" spans="1:18" x14ac:dyDescent="0.2">
      <c r="A1" s="2" t="s">
        <v>10</v>
      </c>
    </row>
    <row r="3" spans="1:18" ht="17.25" customHeight="1" x14ac:dyDescent="0.2"/>
    <row r="7" spans="1:18" x14ac:dyDescent="0.2">
      <c r="B7" s="2" t="s">
        <v>2</v>
      </c>
      <c r="C7" s="2" t="s">
        <v>3</v>
      </c>
      <c r="D7" s="2" t="s">
        <v>4</v>
      </c>
      <c r="E7" s="2" t="s">
        <v>5</v>
      </c>
      <c r="F7" s="2" t="s">
        <v>6</v>
      </c>
      <c r="G7" s="2" t="s">
        <v>7</v>
      </c>
      <c r="H7" s="2" t="s">
        <v>8</v>
      </c>
      <c r="I7" s="2" t="s">
        <v>9</v>
      </c>
      <c r="J7" s="2"/>
      <c r="K7" s="2"/>
      <c r="L7" s="2"/>
      <c r="M7" s="2"/>
      <c r="N7" s="2"/>
      <c r="O7" s="2"/>
      <c r="P7" s="2"/>
      <c r="Q7" s="2"/>
      <c r="R7" s="2"/>
    </row>
  </sheetData>
  <phoneticPr fontId="22" type="noConversion"/>
  <pageMargins left="0.75" right="0.75" top="1" bottom="1" header="0.5" footer="0.5"/>
  <pageSetup paperSize="9" orientation="portrait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57354" r:id="rId4" name="cmdPopulateDataYears">
          <controlPr defaultSize="0" autoLine="0" r:id="rId5">
            <anchor moveWithCells="1">
              <from>
                <xdr:col>0</xdr:col>
                <xdr:colOff>0</xdr:colOff>
                <xdr:row>3</xdr:row>
                <xdr:rowOff>57150</xdr:rowOff>
              </from>
              <to>
                <xdr:col>0</xdr:col>
                <xdr:colOff>819150</xdr:colOff>
                <xdr:row>6</xdr:row>
                <xdr:rowOff>0</xdr:rowOff>
              </to>
            </anchor>
          </controlPr>
        </control>
      </mc:Choice>
      <mc:Fallback>
        <control shapeId="57354" r:id="rId4" name="cmdPopulateDataYears"/>
      </mc:Fallback>
    </mc:AlternateContent>
    <mc:AlternateContent xmlns:mc="http://schemas.openxmlformats.org/markup-compatibility/2006">
      <mc:Choice Requires="x14">
        <control shapeId="57345" r:id="rId6" name="cmdCheckTSDataSheet">
          <controlPr defaultSize="0" autoLine="0" r:id="rId7">
            <anchor moveWithCells="1">
              <from>
                <xdr:col>0</xdr:col>
                <xdr:colOff>9525</xdr:colOff>
                <xdr:row>2</xdr:row>
                <xdr:rowOff>0</xdr:rowOff>
              </from>
              <to>
                <xdr:col>0</xdr:col>
                <xdr:colOff>828675</xdr:colOff>
                <xdr:row>3</xdr:row>
                <xdr:rowOff>19050</xdr:rowOff>
              </to>
            </anchor>
          </controlPr>
        </control>
      </mc:Choice>
      <mc:Fallback>
        <control shapeId="57345" r:id="rId6" name="cmdCheckTSDataSheet"/>
      </mc:Fallback>
    </mc:AlternateContent>
    <mc:AlternateContent xmlns:mc="http://schemas.openxmlformats.org/markup-compatibility/2006">
      <mc:Choice Requires="x14">
        <control shapeId="57346" r:id="rId8" name="cmdSpecifyParameter">
          <controlPr defaultSize="0" autoLine="0" r:id="rId9">
            <anchor moveWithCells="1">
              <from>
                <xdr:col>1</xdr:col>
                <xdr:colOff>9525</xdr:colOff>
                <xdr:row>3</xdr:row>
                <xdr:rowOff>0</xdr:rowOff>
              </from>
              <to>
                <xdr:col>2</xdr:col>
                <xdr:colOff>19050</xdr:colOff>
                <xdr:row>4</xdr:row>
                <xdr:rowOff>104775</xdr:rowOff>
              </to>
            </anchor>
          </controlPr>
        </control>
      </mc:Choice>
      <mc:Fallback>
        <control shapeId="57346" r:id="rId8" name="cmdSpecifyParameter"/>
      </mc:Fallback>
    </mc:AlternateContent>
    <mc:AlternateContent xmlns:mc="http://schemas.openxmlformats.org/markup-compatibility/2006">
      <mc:Choice Requires="x14">
        <control shapeId="57347" r:id="rId10" name="cmdSpecifyArg1">
          <controlPr defaultSize="0" autoLine="0" r:id="rId11">
            <anchor moveWithCells="1">
              <from>
                <xdr:col>2</xdr:col>
                <xdr:colOff>9525</xdr:colOff>
                <xdr:row>3</xdr:row>
                <xdr:rowOff>0</xdr:rowOff>
              </from>
              <to>
                <xdr:col>3</xdr:col>
                <xdr:colOff>19050</xdr:colOff>
                <xdr:row>4</xdr:row>
                <xdr:rowOff>104775</xdr:rowOff>
              </to>
            </anchor>
          </controlPr>
        </control>
      </mc:Choice>
      <mc:Fallback>
        <control shapeId="57347" r:id="rId10" name="cmdSpecifyArg1"/>
      </mc:Fallback>
    </mc:AlternateContent>
    <mc:AlternateContent xmlns:mc="http://schemas.openxmlformats.org/markup-compatibility/2006">
      <mc:Choice Requires="x14">
        <control shapeId="57348" r:id="rId12" name="cmdSpecifyArg2">
          <controlPr defaultSize="0" autoLine="0" r:id="rId13">
            <anchor moveWithCells="1">
              <from>
                <xdr:col>3</xdr:col>
                <xdr:colOff>9525</xdr:colOff>
                <xdr:row>3</xdr:row>
                <xdr:rowOff>0</xdr:rowOff>
              </from>
              <to>
                <xdr:col>4</xdr:col>
                <xdr:colOff>19050</xdr:colOff>
                <xdr:row>4</xdr:row>
                <xdr:rowOff>104775</xdr:rowOff>
              </to>
            </anchor>
          </controlPr>
        </control>
      </mc:Choice>
      <mc:Fallback>
        <control shapeId="57348" r:id="rId12" name="cmdSpecifyArg2"/>
      </mc:Fallback>
    </mc:AlternateContent>
    <mc:AlternateContent xmlns:mc="http://schemas.openxmlformats.org/markup-compatibility/2006">
      <mc:Choice Requires="x14">
        <control shapeId="57349" r:id="rId14" name="cmdSpecifyArg3">
          <controlPr defaultSize="0" autoLine="0" r:id="rId15">
            <anchor moveWithCells="1">
              <from>
                <xdr:col>4</xdr:col>
                <xdr:colOff>9525</xdr:colOff>
                <xdr:row>3</xdr:row>
                <xdr:rowOff>0</xdr:rowOff>
              </from>
              <to>
                <xdr:col>5</xdr:col>
                <xdr:colOff>19050</xdr:colOff>
                <xdr:row>4</xdr:row>
                <xdr:rowOff>104775</xdr:rowOff>
              </to>
            </anchor>
          </controlPr>
        </control>
      </mc:Choice>
      <mc:Fallback>
        <control shapeId="57349" r:id="rId14" name="cmdSpecifyArg3"/>
      </mc:Fallback>
    </mc:AlternateContent>
    <mc:AlternateContent xmlns:mc="http://schemas.openxmlformats.org/markup-compatibility/2006">
      <mc:Choice Requires="x14">
        <control shapeId="57350" r:id="rId16" name="cmdSpecifyArg4">
          <controlPr defaultSize="0" autoLine="0" r:id="rId17">
            <anchor moveWithCells="1">
              <from>
                <xdr:col>5</xdr:col>
                <xdr:colOff>9525</xdr:colOff>
                <xdr:row>3</xdr:row>
                <xdr:rowOff>0</xdr:rowOff>
              </from>
              <to>
                <xdr:col>6</xdr:col>
                <xdr:colOff>19050</xdr:colOff>
                <xdr:row>4</xdr:row>
                <xdr:rowOff>104775</xdr:rowOff>
              </to>
            </anchor>
          </controlPr>
        </control>
      </mc:Choice>
      <mc:Fallback>
        <control shapeId="57350" r:id="rId16" name="cmdSpecifyArg4"/>
      </mc:Fallback>
    </mc:AlternateContent>
    <mc:AlternateContent xmlns:mc="http://schemas.openxmlformats.org/markup-compatibility/2006">
      <mc:Choice Requires="x14">
        <control shapeId="57351" r:id="rId18" name="cmdSpecifyArg5">
          <controlPr defaultSize="0" autoLine="0" r:id="rId19">
            <anchor moveWithCells="1">
              <from>
                <xdr:col>6</xdr:col>
                <xdr:colOff>9525</xdr:colOff>
                <xdr:row>3</xdr:row>
                <xdr:rowOff>0</xdr:rowOff>
              </from>
              <to>
                <xdr:col>7</xdr:col>
                <xdr:colOff>19050</xdr:colOff>
                <xdr:row>4</xdr:row>
                <xdr:rowOff>104775</xdr:rowOff>
              </to>
            </anchor>
          </controlPr>
        </control>
      </mc:Choice>
      <mc:Fallback>
        <control shapeId="57351" r:id="rId18" name="cmdSpecifyArg5"/>
      </mc:Fallback>
    </mc:AlternateContent>
    <mc:AlternateContent xmlns:mc="http://schemas.openxmlformats.org/markup-compatibility/2006">
      <mc:Choice Requires="x14">
        <control shapeId="57352" r:id="rId20" name="cmdSpecifyArg6">
          <controlPr defaultSize="0" autoLine="0" r:id="rId21">
            <anchor moveWithCells="1">
              <from>
                <xdr:col>7</xdr:col>
                <xdr:colOff>9525</xdr:colOff>
                <xdr:row>3</xdr:row>
                <xdr:rowOff>0</xdr:rowOff>
              </from>
              <to>
                <xdr:col>8</xdr:col>
                <xdr:colOff>19050</xdr:colOff>
                <xdr:row>4</xdr:row>
                <xdr:rowOff>104775</xdr:rowOff>
              </to>
            </anchor>
          </controlPr>
        </control>
      </mc:Choice>
      <mc:Fallback>
        <control shapeId="57352" r:id="rId20" name="cmdSpecifyArg6"/>
      </mc:Fallback>
    </mc:AlternateContent>
    <mc:AlternateContent xmlns:mc="http://schemas.openxmlformats.org/markup-compatibility/2006">
      <mc:Choice Requires="x14">
        <control shapeId="57353" r:id="rId22" name="cmdSpecifyIEOptcode">
          <controlPr defaultSize="0" autoLine="0" autoPict="0" r:id="rId23">
            <anchor moveWithCells="1">
              <from>
                <xdr:col>8</xdr:col>
                <xdr:colOff>9525</xdr:colOff>
                <xdr:row>3</xdr:row>
                <xdr:rowOff>0</xdr:rowOff>
              </from>
              <to>
                <xdr:col>9</xdr:col>
                <xdr:colOff>19050</xdr:colOff>
                <xdr:row>4</xdr:row>
                <xdr:rowOff>85725</xdr:rowOff>
              </to>
            </anchor>
          </controlPr>
        </control>
      </mc:Choice>
      <mc:Fallback>
        <control shapeId="57353" r:id="rId22" name="cmdSpecifyIEOptcode"/>
      </mc:Fallback>
    </mc:AlternateContent>
  </controls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10"/>
  <dimension ref="A1:I7"/>
  <sheetViews>
    <sheetView workbookViewId="0"/>
  </sheetViews>
  <sheetFormatPr defaultColWidth="9.140625" defaultRowHeight="11.25" x14ac:dyDescent="0.2"/>
  <cols>
    <col min="1" max="1" width="15.42578125" style="3" customWidth="1"/>
    <col min="2" max="2" width="12" style="3" customWidth="1"/>
    <col min="3" max="16384" width="9.140625" style="3"/>
  </cols>
  <sheetData>
    <row r="1" spans="1:9" x14ac:dyDescent="0.2">
      <c r="A1" s="2" t="s">
        <v>23</v>
      </c>
    </row>
    <row r="3" spans="1:9" ht="15.75" customHeight="1" x14ac:dyDescent="0.2"/>
    <row r="4" spans="1:9" ht="12.75" customHeight="1" x14ac:dyDescent="0.2"/>
    <row r="7" spans="1:9" x14ac:dyDescent="0.2">
      <c r="B7" s="2" t="s">
        <v>2</v>
      </c>
      <c r="C7" s="2" t="s">
        <v>3</v>
      </c>
      <c r="D7" s="2" t="s">
        <v>4</v>
      </c>
      <c r="E7" s="2" t="s">
        <v>5</v>
      </c>
      <c r="F7" s="2" t="s">
        <v>6</v>
      </c>
      <c r="G7" s="2" t="s">
        <v>7</v>
      </c>
      <c r="H7" s="2" t="s">
        <v>8</v>
      </c>
      <c r="I7" s="2" t="s">
        <v>21</v>
      </c>
    </row>
  </sheetData>
  <phoneticPr fontId="22" type="noConversion"/>
  <pageMargins left="0.75" right="0.75" top="1" bottom="1" header="0.5" footer="0.5"/>
  <pageSetup paperSize="9" orientation="portrait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58369" r:id="rId4" name="cmdCheckTIDDataSheet">
          <controlPr defaultSize="0" autoLine="0" r:id="rId5">
            <anchor moveWithCells="1">
              <from>
                <xdr:col>0</xdr:col>
                <xdr:colOff>0</xdr:colOff>
                <xdr:row>2</xdr:row>
                <xdr:rowOff>0</xdr:rowOff>
              </from>
              <to>
                <xdr:col>0</xdr:col>
                <xdr:colOff>819150</xdr:colOff>
                <xdr:row>3</xdr:row>
                <xdr:rowOff>38100</xdr:rowOff>
              </to>
            </anchor>
          </controlPr>
        </control>
      </mc:Choice>
      <mc:Fallback>
        <control shapeId="58369" r:id="rId4" name="cmdCheckTIDDataSheet"/>
      </mc:Fallback>
    </mc:AlternateContent>
    <mc:AlternateContent xmlns:mc="http://schemas.openxmlformats.org/markup-compatibility/2006">
      <mc:Choice Requires="x14">
        <control shapeId="58370" r:id="rId6" name="cmdSpecifyParameter">
          <controlPr defaultSize="0" autoLine="0" r:id="rId7">
            <anchor moveWithCells="1">
              <from>
                <xdr:col>1</xdr:col>
                <xdr:colOff>0</xdr:colOff>
                <xdr:row>3</xdr:row>
                <xdr:rowOff>9525</xdr:rowOff>
              </from>
              <to>
                <xdr:col>2</xdr:col>
                <xdr:colOff>19050</xdr:colOff>
                <xdr:row>4</xdr:row>
                <xdr:rowOff>95250</xdr:rowOff>
              </to>
            </anchor>
          </controlPr>
        </control>
      </mc:Choice>
      <mc:Fallback>
        <control shapeId="58370" r:id="rId6" name="cmdSpecifyParameter"/>
      </mc:Fallback>
    </mc:AlternateContent>
    <mc:AlternateContent xmlns:mc="http://schemas.openxmlformats.org/markup-compatibility/2006">
      <mc:Choice Requires="x14">
        <control shapeId="58371" r:id="rId8" name="cmdSpecifyArg1">
          <controlPr defaultSize="0" autoLine="0" r:id="rId9">
            <anchor moveWithCells="1">
              <from>
                <xdr:col>2</xdr:col>
                <xdr:colOff>0</xdr:colOff>
                <xdr:row>3</xdr:row>
                <xdr:rowOff>9525</xdr:rowOff>
              </from>
              <to>
                <xdr:col>3</xdr:col>
                <xdr:colOff>9525</xdr:colOff>
                <xdr:row>4</xdr:row>
                <xdr:rowOff>95250</xdr:rowOff>
              </to>
            </anchor>
          </controlPr>
        </control>
      </mc:Choice>
      <mc:Fallback>
        <control shapeId="58371" r:id="rId8" name="cmdSpecifyArg1"/>
      </mc:Fallback>
    </mc:AlternateContent>
    <mc:AlternateContent xmlns:mc="http://schemas.openxmlformats.org/markup-compatibility/2006">
      <mc:Choice Requires="x14">
        <control shapeId="58372" r:id="rId10" name="cmdSpecifyArg2">
          <controlPr defaultSize="0" autoLine="0" r:id="rId11">
            <anchor moveWithCells="1">
              <from>
                <xdr:col>3</xdr:col>
                <xdr:colOff>0</xdr:colOff>
                <xdr:row>3</xdr:row>
                <xdr:rowOff>9525</xdr:rowOff>
              </from>
              <to>
                <xdr:col>4</xdr:col>
                <xdr:colOff>9525</xdr:colOff>
                <xdr:row>4</xdr:row>
                <xdr:rowOff>95250</xdr:rowOff>
              </to>
            </anchor>
          </controlPr>
        </control>
      </mc:Choice>
      <mc:Fallback>
        <control shapeId="58372" r:id="rId10" name="cmdSpecifyArg2"/>
      </mc:Fallback>
    </mc:AlternateContent>
    <mc:AlternateContent xmlns:mc="http://schemas.openxmlformats.org/markup-compatibility/2006">
      <mc:Choice Requires="x14">
        <control shapeId="58373" r:id="rId12" name="cmdSpecifyArg3">
          <controlPr defaultSize="0" autoLine="0" r:id="rId13">
            <anchor moveWithCells="1">
              <from>
                <xdr:col>4</xdr:col>
                <xdr:colOff>0</xdr:colOff>
                <xdr:row>3</xdr:row>
                <xdr:rowOff>9525</xdr:rowOff>
              </from>
              <to>
                <xdr:col>5</xdr:col>
                <xdr:colOff>9525</xdr:colOff>
                <xdr:row>4</xdr:row>
                <xdr:rowOff>95250</xdr:rowOff>
              </to>
            </anchor>
          </controlPr>
        </control>
      </mc:Choice>
      <mc:Fallback>
        <control shapeId="58373" r:id="rId12" name="cmdSpecifyArg3"/>
      </mc:Fallback>
    </mc:AlternateContent>
    <mc:AlternateContent xmlns:mc="http://schemas.openxmlformats.org/markup-compatibility/2006">
      <mc:Choice Requires="x14">
        <control shapeId="58374" r:id="rId14" name="cmdSpecifyArg4">
          <controlPr defaultSize="0" autoLine="0" r:id="rId15">
            <anchor moveWithCells="1">
              <from>
                <xdr:col>5</xdr:col>
                <xdr:colOff>0</xdr:colOff>
                <xdr:row>3</xdr:row>
                <xdr:rowOff>9525</xdr:rowOff>
              </from>
              <to>
                <xdr:col>6</xdr:col>
                <xdr:colOff>9525</xdr:colOff>
                <xdr:row>4</xdr:row>
                <xdr:rowOff>95250</xdr:rowOff>
              </to>
            </anchor>
          </controlPr>
        </control>
      </mc:Choice>
      <mc:Fallback>
        <control shapeId="58374" r:id="rId14" name="cmdSpecifyArg4"/>
      </mc:Fallback>
    </mc:AlternateContent>
    <mc:AlternateContent xmlns:mc="http://schemas.openxmlformats.org/markup-compatibility/2006">
      <mc:Choice Requires="x14">
        <control shapeId="58375" r:id="rId16" name="cmdSpecifyArg5">
          <controlPr defaultSize="0" autoLine="0" r:id="rId17">
            <anchor moveWithCells="1">
              <from>
                <xdr:col>6</xdr:col>
                <xdr:colOff>0</xdr:colOff>
                <xdr:row>3</xdr:row>
                <xdr:rowOff>9525</xdr:rowOff>
              </from>
              <to>
                <xdr:col>7</xdr:col>
                <xdr:colOff>9525</xdr:colOff>
                <xdr:row>4</xdr:row>
                <xdr:rowOff>95250</xdr:rowOff>
              </to>
            </anchor>
          </controlPr>
        </control>
      </mc:Choice>
      <mc:Fallback>
        <control shapeId="58375" r:id="rId16" name="cmdSpecifyArg5"/>
      </mc:Fallback>
    </mc:AlternateContent>
    <mc:AlternateContent xmlns:mc="http://schemas.openxmlformats.org/markup-compatibility/2006">
      <mc:Choice Requires="x14">
        <control shapeId="58376" r:id="rId18" name="cmdSpecifyArg6">
          <controlPr defaultSize="0" autoLine="0" r:id="rId19">
            <anchor moveWithCells="1">
              <from>
                <xdr:col>7</xdr:col>
                <xdr:colOff>0</xdr:colOff>
                <xdr:row>3</xdr:row>
                <xdr:rowOff>9525</xdr:rowOff>
              </from>
              <to>
                <xdr:col>8</xdr:col>
                <xdr:colOff>9525</xdr:colOff>
                <xdr:row>4</xdr:row>
                <xdr:rowOff>95250</xdr:rowOff>
              </to>
            </anchor>
          </controlPr>
        </control>
      </mc:Choice>
      <mc:Fallback>
        <control shapeId="58376" r:id="rId18" name="cmdSpecifyArg6"/>
      </mc:Fallback>
    </mc:AlternateContent>
  </controls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11"/>
  <dimension ref="A1:R7"/>
  <sheetViews>
    <sheetView workbookViewId="0"/>
  </sheetViews>
  <sheetFormatPr defaultColWidth="9.140625" defaultRowHeight="11.25" x14ac:dyDescent="0.2"/>
  <cols>
    <col min="1" max="1" width="14.85546875" style="3" customWidth="1"/>
    <col min="2" max="2" width="12" style="3" customWidth="1"/>
    <col min="3" max="3" width="9.140625" style="3"/>
    <col min="4" max="4" width="9.28515625" style="3" customWidth="1"/>
    <col min="5" max="8" width="9.140625" style="3"/>
    <col min="9" max="9" width="7.42578125" style="3" customWidth="1"/>
    <col min="10" max="16384" width="9.140625" style="3"/>
  </cols>
  <sheetData>
    <row r="1" spans="1:18" x14ac:dyDescent="0.2">
      <c r="A1" s="2" t="s">
        <v>108</v>
      </c>
    </row>
    <row r="3" spans="1:18" ht="15" customHeight="1" x14ac:dyDescent="0.2"/>
    <row r="7" spans="1:18" ht="22.5" customHeight="1" x14ac:dyDescent="0.2">
      <c r="B7" s="2" t="s">
        <v>2</v>
      </c>
      <c r="C7" s="2" t="s">
        <v>3</v>
      </c>
      <c r="D7" s="2" t="s">
        <v>4</v>
      </c>
      <c r="E7" s="2" t="s">
        <v>5</v>
      </c>
      <c r="F7" s="2" t="s">
        <v>6</v>
      </c>
      <c r="G7" s="2" t="s">
        <v>7</v>
      </c>
      <c r="H7" s="2" t="s">
        <v>8</v>
      </c>
      <c r="I7" s="6" t="s">
        <v>22</v>
      </c>
      <c r="J7" s="2"/>
      <c r="K7" s="2"/>
      <c r="L7" s="2"/>
      <c r="M7" s="2"/>
      <c r="N7" s="2"/>
      <c r="O7" s="2"/>
      <c r="P7" s="2"/>
      <c r="Q7" s="2"/>
      <c r="R7" s="2"/>
    </row>
  </sheetData>
  <phoneticPr fontId="22" type="noConversion"/>
  <pageMargins left="0.75" right="0.75" top="1" bottom="1" header="0.5" footer="0.5"/>
  <headerFooter alignWithMargins="0"/>
  <drawing r:id="rId1"/>
  <legacyDrawing r:id="rId2"/>
  <controls>
    <mc:AlternateContent xmlns:mc="http://schemas.openxmlformats.org/markup-compatibility/2006">
      <mc:Choice Requires="x14">
        <control shapeId="59402" r:id="rId3" name="cmdPopulateDataYears">
          <controlPr defaultSize="0" autoLine="0" r:id="rId4">
            <anchor moveWithCells="1">
              <from>
                <xdr:col>0</xdr:col>
                <xdr:colOff>28575</xdr:colOff>
                <xdr:row>4</xdr:row>
                <xdr:rowOff>19050</xdr:rowOff>
              </from>
              <to>
                <xdr:col>0</xdr:col>
                <xdr:colOff>847725</xdr:colOff>
                <xdr:row>6</xdr:row>
                <xdr:rowOff>104775</xdr:rowOff>
              </to>
            </anchor>
          </controlPr>
        </control>
      </mc:Choice>
      <mc:Fallback>
        <control shapeId="59402" r:id="rId3" name="cmdPopulateDataYears"/>
      </mc:Fallback>
    </mc:AlternateContent>
    <mc:AlternateContent xmlns:mc="http://schemas.openxmlformats.org/markup-compatibility/2006">
      <mc:Choice Requires="x14">
        <control shapeId="59393" r:id="rId5" name="cmdCheckTSandTIDDataSheet">
          <controlPr defaultSize="0" autoLine="0" r:id="rId6">
            <anchor moveWithCells="1">
              <from>
                <xdr:col>0</xdr:col>
                <xdr:colOff>38100</xdr:colOff>
                <xdr:row>2</xdr:row>
                <xdr:rowOff>9525</xdr:rowOff>
              </from>
              <to>
                <xdr:col>0</xdr:col>
                <xdr:colOff>857250</xdr:colOff>
                <xdr:row>3</xdr:row>
                <xdr:rowOff>57150</xdr:rowOff>
              </to>
            </anchor>
          </controlPr>
        </control>
      </mc:Choice>
      <mc:Fallback>
        <control shapeId="59393" r:id="rId5" name="cmdCheckTSandTIDDataSheet"/>
      </mc:Fallback>
    </mc:AlternateContent>
    <mc:AlternateContent xmlns:mc="http://schemas.openxmlformats.org/markup-compatibility/2006">
      <mc:Choice Requires="x14">
        <control shapeId="59394" r:id="rId7" name="cmdSpecifyParameter">
          <controlPr defaultSize="0" autoLine="0" r:id="rId8">
            <anchor moveWithCells="1">
              <from>
                <xdr:col>1</xdr:col>
                <xdr:colOff>0</xdr:colOff>
                <xdr:row>3</xdr:row>
                <xdr:rowOff>0</xdr:rowOff>
              </from>
              <to>
                <xdr:col>2</xdr:col>
                <xdr:colOff>19050</xdr:colOff>
                <xdr:row>4</xdr:row>
                <xdr:rowOff>104775</xdr:rowOff>
              </to>
            </anchor>
          </controlPr>
        </control>
      </mc:Choice>
      <mc:Fallback>
        <control shapeId="59394" r:id="rId7" name="cmdSpecifyParameter"/>
      </mc:Fallback>
    </mc:AlternateContent>
    <mc:AlternateContent xmlns:mc="http://schemas.openxmlformats.org/markup-compatibility/2006">
      <mc:Choice Requires="x14">
        <control shapeId="59395" r:id="rId9" name="cmdSpecifyArg1">
          <controlPr defaultSize="0" autoLine="0" r:id="rId10">
            <anchor moveWithCells="1">
              <from>
                <xdr:col>2</xdr:col>
                <xdr:colOff>0</xdr:colOff>
                <xdr:row>3</xdr:row>
                <xdr:rowOff>0</xdr:rowOff>
              </from>
              <to>
                <xdr:col>3</xdr:col>
                <xdr:colOff>9525</xdr:colOff>
                <xdr:row>4</xdr:row>
                <xdr:rowOff>104775</xdr:rowOff>
              </to>
            </anchor>
          </controlPr>
        </control>
      </mc:Choice>
      <mc:Fallback>
        <control shapeId="59395" r:id="rId9" name="cmdSpecifyArg1"/>
      </mc:Fallback>
    </mc:AlternateContent>
    <mc:AlternateContent xmlns:mc="http://schemas.openxmlformats.org/markup-compatibility/2006">
      <mc:Choice Requires="x14">
        <control shapeId="59396" r:id="rId11" name="cmdSpecifyArg2">
          <controlPr defaultSize="0" autoLine="0" r:id="rId12">
            <anchor moveWithCells="1">
              <from>
                <xdr:col>3</xdr:col>
                <xdr:colOff>0</xdr:colOff>
                <xdr:row>3</xdr:row>
                <xdr:rowOff>0</xdr:rowOff>
              </from>
              <to>
                <xdr:col>4</xdr:col>
                <xdr:colOff>0</xdr:colOff>
                <xdr:row>4</xdr:row>
                <xdr:rowOff>104775</xdr:rowOff>
              </to>
            </anchor>
          </controlPr>
        </control>
      </mc:Choice>
      <mc:Fallback>
        <control shapeId="59396" r:id="rId11" name="cmdSpecifyArg2"/>
      </mc:Fallback>
    </mc:AlternateContent>
    <mc:AlternateContent xmlns:mc="http://schemas.openxmlformats.org/markup-compatibility/2006">
      <mc:Choice Requires="x14">
        <control shapeId="59397" r:id="rId13" name="cmdSpecifyArg3">
          <controlPr defaultSize="0" autoLine="0" r:id="rId14">
            <anchor moveWithCells="1">
              <from>
                <xdr:col>4</xdr:col>
                <xdr:colOff>0</xdr:colOff>
                <xdr:row>3</xdr:row>
                <xdr:rowOff>0</xdr:rowOff>
              </from>
              <to>
                <xdr:col>5</xdr:col>
                <xdr:colOff>9525</xdr:colOff>
                <xdr:row>4</xdr:row>
                <xdr:rowOff>104775</xdr:rowOff>
              </to>
            </anchor>
          </controlPr>
        </control>
      </mc:Choice>
      <mc:Fallback>
        <control shapeId="59397" r:id="rId13" name="cmdSpecifyArg3"/>
      </mc:Fallback>
    </mc:AlternateContent>
    <mc:AlternateContent xmlns:mc="http://schemas.openxmlformats.org/markup-compatibility/2006">
      <mc:Choice Requires="x14">
        <control shapeId="59398" r:id="rId15" name="cmdSpecifyArg4">
          <controlPr defaultSize="0" autoLine="0" r:id="rId16">
            <anchor moveWithCells="1">
              <from>
                <xdr:col>5</xdr:col>
                <xdr:colOff>0</xdr:colOff>
                <xdr:row>3</xdr:row>
                <xdr:rowOff>0</xdr:rowOff>
              </from>
              <to>
                <xdr:col>6</xdr:col>
                <xdr:colOff>9525</xdr:colOff>
                <xdr:row>4</xdr:row>
                <xdr:rowOff>104775</xdr:rowOff>
              </to>
            </anchor>
          </controlPr>
        </control>
      </mc:Choice>
      <mc:Fallback>
        <control shapeId="59398" r:id="rId15" name="cmdSpecifyArg4"/>
      </mc:Fallback>
    </mc:AlternateContent>
    <mc:AlternateContent xmlns:mc="http://schemas.openxmlformats.org/markup-compatibility/2006">
      <mc:Choice Requires="x14">
        <control shapeId="59399" r:id="rId17" name="cmdSpecifyArg5">
          <controlPr defaultSize="0" autoLine="0" r:id="rId18">
            <anchor moveWithCells="1">
              <from>
                <xdr:col>6</xdr:col>
                <xdr:colOff>0</xdr:colOff>
                <xdr:row>3</xdr:row>
                <xdr:rowOff>0</xdr:rowOff>
              </from>
              <to>
                <xdr:col>7</xdr:col>
                <xdr:colOff>9525</xdr:colOff>
                <xdr:row>4</xdr:row>
                <xdr:rowOff>104775</xdr:rowOff>
              </to>
            </anchor>
          </controlPr>
        </control>
      </mc:Choice>
      <mc:Fallback>
        <control shapeId="59399" r:id="rId17" name="cmdSpecifyArg5"/>
      </mc:Fallback>
    </mc:AlternateContent>
    <mc:AlternateContent xmlns:mc="http://schemas.openxmlformats.org/markup-compatibility/2006">
      <mc:Choice Requires="x14">
        <control shapeId="59400" r:id="rId19" name="cmdSpecifyArg6">
          <controlPr defaultSize="0" autoLine="0" r:id="rId20">
            <anchor moveWithCells="1">
              <from>
                <xdr:col>7</xdr:col>
                <xdr:colOff>0</xdr:colOff>
                <xdr:row>3</xdr:row>
                <xdr:rowOff>0</xdr:rowOff>
              </from>
              <to>
                <xdr:col>8</xdr:col>
                <xdr:colOff>9525</xdr:colOff>
                <xdr:row>4</xdr:row>
                <xdr:rowOff>104775</xdr:rowOff>
              </to>
            </anchor>
          </controlPr>
        </control>
      </mc:Choice>
      <mc:Fallback>
        <control shapeId="59400" r:id="rId19" name="cmdSpecifyArg6"/>
      </mc:Fallback>
    </mc:AlternateContent>
    <mc:AlternateContent xmlns:mc="http://schemas.openxmlformats.org/markup-compatibility/2006">
      <mc:Choice Requires="x14">
        <control shapeId="59401" r:id="rId21" name="cmdSpecifyIEOptcode">
          <controlPr defaultSize="0" autoLine="0" r:id="rId22">
            <anchor moveWithCells="1">
              <from>
                <xdr:col>8</xdr:col>
                <xdr:colOff>19050</xdr:colOff>
                <xdr:row>3</xdr:row>
                <xdr:rowOff>0</xdr:rowOff>
              </from>
              <to>
                <xdr:col>8</xdr:col>
                <xdr:colOff>476250</xdr:colOff>
                <xdr:row>4</xdr:row>
                <xdr:rowOff>104775</xdr:rowOff>
              </to>
            </anchor>
          </controlPr>
        </control>
      </mc:Choice>
      <mc:Fallback>
        <control shapeId="59401" r:id="rId21" name="cmdSpecifyIEOptcode"/>
      </mc:Fallback>
    </mc:AlternateContent>
  </controls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12"/>
  <dimension ref="A1:S9"/>
  <sheetViews>
    <sheetView workbookViewId="0"/>
  </sheetViews>
  <sheetFormatPr defaultColWidth="9.140625" defaultRowHeight="11.25" x14ac:dyDescent="0.2"/>
  <cols>
    <col min="1" max="1" width="12.7109375" style="3" customWidth="1"/>
    <col min="2" max="2" width="11.5703125" style="3" customWidth="1"/>
    <col min="3" max="3" width="11.85546875" style="3" customWidth="1"/>
    <col min="4" max="4" width="9.42578125" style="3" customWidth="1"/>
    <col min="5" max="5" width="9.28515625" style="3" customWidth="1"/>
    <col min="6" max="9" width="9.140625" style="3"/>
    <col min="10" max="10" width="7.140625" style="3" customWidth="1"/>
    <col min="11" max="16384" width="9.140625" style="3"/>
  </cols>
  <sheetData>
    <row r="1" spans="1:19" x14ac:dyDescent="0.2">
      <c r="A1" s="2" t="s">
        <v>11</v>
      </c>
    </row>
    <row r="3" spans="1:19" ht="18.75" customHeight="1" x14ac:dyDescent="0.2"/>
    <row r="7" spans="1:19" x14ac:dyDescent="0.2">
      <c r="A7" s="2" t="s">
        <v>16</v>
      </c>
      <c r="B7" s="2" t="s">
        <v>24</v>
      </c>
      <c r="C7" s="2" t="s">
        <v>2</v>
      </c>
      <c r="D7" s="2" t="s">
        <v>3</v>
      </c>
      <c r="E7" s="2" t="s">
        <v>4</v>
      </c>
      <c r="F7" s="2" t="s">
        <v>5</v>
      </c>
      <c r="G7" s="2" t="s">
        <v>6</v>
      </c>
      <c r="H7" s="2" t="s">
        <v>7</v>
      </c>
      <c r="I7" s="2" t="s">
        <v>8</v>
      </c>
      <c r="J7" s="2" t="s">
        <v>9</v>
      </c>
      <c r="K7" s="2"/>
      <c r="L7" s="2"/>
      <c r="M7" s="2"/>
      <c r="N7" s="2"/>
      <c r="O7" s="2"/>
      <c r="P7" s="2"/>
      <c r="Q7" s="2"/>
      <c r="R7" s="2"/>
      <c r="S7" s="2"/>
    </row>
    <row r="9" spans="1:19" x14ac:dyDescent="0.2">
      <c r="A9" s="2" t="s">
        <v>113</v>
      </c>
    </row>
  </sheetData>
  <phoneticPr fontId="22" type="noConversion"/>
  <pageMargins left="0.75" right="0.75" top="1" bottom="1" header="0.5" footer="0.5"/>
  <headerFooter alignWithMargins="0"/>
  <drawing r:id="rId1"/>
  <legacyDrawing r:id="rId2"/>
  <controls>
    <mc:AlternateContent xmlns:mc="http://schemas.openxmlformats.org/markup-compatibility/2006">
      <mc:Choice Requires="x14">
        <control shapeId="60427" r:id="rId3" name="cmdPopulateDataYears">
          <controlPr defaultSize="0" autoLine="0" r:id="rId4">
            <anchor moveWithCells="1">
              <from>
                <xdr:col>0</xdr:col>
                <xdr:colOff>19050</xdr:colOff>
                <xdr:row>3</xdr:row>
                <xdr:rowOff>19050</xdr:rowOff>
              </from>
              <to>
                <xdr:col>0</xdr:col>
                <xdr:colOff>838200</xdr:colOff>
                <xdr:row>5</xdr:row>
                <xdr:rowOff>104775</xdr:rowOff>
              </to>
            </anchor>
          </controlPr>
        </control>
      </mc:Choice>
      <mc:Fallback>
        <control shapeId="60427" r:id="rId3" name="cmdPopulateDataYears"/>
      </mc:Fallback>
    </mc:AlternateContent>
    <mc:AlternateContent xmlns:mc="http://schemas.openxmlformats.org/markup-compatibility/2006">
      <mc:Choice Requires="x14">
        <control shapeId="60418" r:id="rId5" name="cmdSpecifyParameter">
          <controlPr defaultSize="0" autoLine="0" r:id="rId6">
            <anchor moveWithCells="1">
              <from>
                <xdr:col>2</xdr:col>
                <xdr:colOff>0</xdr:colOff>
                <xdr:row>3</xdr:row>
                <xdr:rowOff>0</xdr:rowOff>
              </from>
              <to>
                <xdr:col>3</xdr:col>
                <xdr:colOff>28575</xdr:colOff>
                <xdr:row>4</xdr:row>
                <xdr:rowOff>104775</xdr:rowOff>
              </to>
            </anchor>
          </controlPr>
        </control>
      </mc:Choice>
      <mc:Fallback>
        <control shapeId="60418" r:id="rId5" name="cmdSpecifyParameter"/>
      </mc:Fallback>
    </mc:AlternateContent>
    <mc:AlternateContent xmlns:mc="http://schemas.openxmlformats.org/markup-compatibility/2006">
      <mc:Choice Requires="x14">
        <control shapeId="60419" r:id="rId7" name="cmdSpecifyArg1">
          <controlPr defaultSize="0" autoLine="0" r:id="rId8">
            <anchor moveWithCells="1">
              <from>
                <xdr:col>3</xdr:col>
                <xdr:colOff>19050</xdr:colOff>
                <xdr:row>3</xdr:row>
                <xdr:rowOff>0</xdr:rowOff>
              </from>
              <to>
                <xdr:col>4</xdr:col>
                <xdr:colOff>9525</xdr:colOff>
                <xdr:row>4</xdr:row>
                <xdr:rowOff>104775</xdr:rowOff>
              </to>
            </anchor>
          </controlPr>
        </control>
      </mc:Choice>
      <mc:Fallback>
        <control shapeId="60419" r:id="rId7" name="cmdSpecifyArg1"/>
      </mc:Fallback>
    </mc:AlternateContent>
    <mc:AlternateContent xmlns:mc="http://schemas.openxmlformats.org/markup-compatibility/2006">
      <mc:Choice Requires="x14">
        <control shapeId="60420" r:id="rId9" name="cmdSpecifyArg2">
          <controlPr defaultSize="0" autoLine="0" r:id="rId10">
            <anchor moveWithCells="1">
              <from>
                <xdr:col>4</xdr:col>
                <xdr:colOff>9525</xdr:colOff>
                <xdr:row>3</xdr:row>
                <xdr:rowOff>0</xdr:rowOff>
              </from>
              <to>
                <xdr:col>5</xdr:col>
                <xdr:colOff>9525</xdr:colOff>
                <xdr:row>4</xdr:row>
                <xdr:rowOff>104775</xdr:rowOff>
              </to>
            </anchor>
          </controlPr>
        </control>
      </mc:Choice>
      <mc:Fallback>
        <control shapeId="60420" r:id="rId9" name="cmdSpecifyArg2"/>
      </mc:Fallback>
    </mc:AlternateContent>
    <mc:AlternateContent xmlns:mc="http://schemas.openxmlformats.org/markup-compatibility/2006">
      <mc:Choice Requires="x14">
        <control shapeId="60421" r:id="rId11" name="cmdSpecifyArg3">
          <controlPr defaultSize="0" autoLine="0" r:id="rId12">
            <anchor moveWithCells="1">
              <from>
                <xdr:col>5</xdr:col>
                <xdr:colOff>9525</xdr:colOff>
                <xdr:row>3</xdr:row>
                <xdr:rowOff>0</xdr:rowOff>
              </from>
              <to>
                <xdr:col>6</xdr:col>
                <xdr:colOff>19050</xdr:colOff>
                <xdr:row>4</xdr:row>
                <xdr:rowOff>104775</xdr:rowOff>
              </to>
            </anchor>
          </controlPr>
        </control>
      </mc:Choice>
      <mc:Fallback>
        <control shapeId="60421" r:id="rId11" name="cmdSpecifyArg3"/>
      </mc:Fallback>
    </mc:AlternateContent>
    <mc:AlternateContent xmlns:mc="http://schemas.openxmlformats.org/markup-compatibility/2006">
      <mc:Choice Requires="x14">
        <control shapeId="60422" r:id="rId13" name="cmdSpecifyArg4">
          <controlPr defaultSize="0" autoLine="0" r:id="rId14">
            <anchor moveWithCells="1">
              <from>
                <xdr:col>6</xdr:col>
                <xdr:colOff>9525</xdr:colOff>
                <xdr:row>3</xdr:row>
                <xdr:rowOff>0</xdr:rowOff>
              </from>
              <to>
                <xdr:col>7</xdr:col>
                <xdr:colOff>19050</xdr:colOff>
                <xdr:row>4</xdr:row>
                <xdr:rowOff>104775</xdr:rowOff>
              </to>
            </anchor>
          </controlPr>
        </control>
      </mc:Choice>
      <mc:Fallback>
        <control shapeId="60422" r:id="rId13" name="cmdSpecifyArg4"/>
      </mc:Fallback>
    </mc:AlternateContent>
    <mc:AlternateContent xmlns:mc="http://schemas.openxmlformats.org/markup-compatibility/2006">
      <mc:Choice Requires="x14">
        <control shapeId="60423" r:id="rId15" name="cmdSpecifyArg5">
          <controlPr defaultSize="0" autoLine="0" r:id="rId16">
            <anchor moveWithCells="1">
              <from>
                <xdr:col>7</xdr:col>
                <xdr:colOff>9525</xdr:colOff>
                <xdr:row>3</xdr:row>
                <xdr:rowOff>0</xdr:rowOff>
              </from>
              <to>
                <xdr:col>8</xdr:col>
                <xdr:colOff>19050</xdr:colOff>
                <xdr:row>4</xdr:row>
                <xdr:rowOff>104775</xdr:rowOff>
              </to>
            </anchor>
          </controlPr>
        </control>
      </mc:Choice>
      <mc:Fallback>
        <control shapeId="60423" r:id="rId15" name="cmdSpecifyArg5"/>
      </mc:Fallback>
    </mc:AlternateContent>
    <mc:AlternateContent xmlns:mc="http://schemas.openxmlformats.org/markup-compatibility/2006">
      <mc:Choice Requires="x14">
        <control shapeId="60424" r:id="rId17" name="cmdSpecifyArg6">
          <controlPr defaultSize="0" autoLine="0" r:id="rId18">
            <anchor moveWithCells="1">
              <from>
                <xdr:col>8</xdr:col>
                <xdr:colOff>19050</xdr:colOff>
                <xdr:row>3</xdr:row>
                <xdr:rowOff>0</xdr:rowOff>
              </from>
              <to>
                <xdr:col>9</xdr:col>
                <xdr:colOff>28575</xdr:colOff>
                <xdr:row>4</xdr:row>
                <xdr:rowOff>104775</xdr:rowOff>
              </to>
            </anchor>
          </controlPr>
        </control>
      </mc:Choice>
      <mc:Fallback>
        <control shapeId="60424" r:id="rId17" name="cmdSpecifyArg6"/>
      </mc:Fallback>
    </mc:AlternateContent>
    <mc:AlternateContent xmlns:mc="http://schemas.openxmlformats.org/markup-compatibility/2006">
      <mc:Choice Requires="x14">
        <control shapeId="60425" r:id="rId19" name="cmdSpecifyIEOptcode">
          <controlPr defaultSize="0" autoLine="0" autoPict="0" r:id="rId20">
            <anchor moveWithCells="1">
              <from>
                <xdr:col>9</xdr:col>
                <xdr:colOff>19050</xdr:colOff>
                <xdr:row>3</xdr:row>
                <xdr:rowOff>0</xdr:rowOff>
              </from>
              <to>
                <xdr:col>10</xdr:col>
                <xdr:colOff>0</xdr:colOff>
                <xdr:row>4</xdr:row>
                <xdr:rowOff>85725</xdr:rowOff>
              </to>
            </anchor>
          </controlPr>
        </control>
      </mc:Choice>
      <mc:Fallback>
        <control shapeId="60425" r:id="rId19" name="cmdSpecifyIEOptcode"/>
      </mc:Fallback>
    </mc:AlternateContent>
    <mc:AlternateContent xmlns:mc="http://schemas.openxmlformats.org/markup-compatibility/2006">
      <mc:Choice Requires="x14">
        <control shapeId="60426" r:id="rId21" name="cmdCheckTSTradeSheet">
          <controlPr defaultSize="0" autoLine="0" r:id="rId22">
            <anchor moveWithCells="1">
              <from>
                <xdr:col>0</xdr:col>
                <xdr:colOff>19050</xdr:colOff>
                <xdr:row>2</xdr:row>
                <xdr:rowOff>0</xdr:rowOff>
              </from>
              <to>
                <xdr:col>0</xdr:col>
                <xdr:colOff>838200</xdr:colOff>
                <xdr:row>3</xdr:row>
                <xdr:rowOff>0</xdr:rowOff>
              </to>
            </anchor>
          </controlPr>
        </control>
      </mc:Choice>
      <mc:Fallback>
        <control shapeId="60426" r:id="rId21" name="cmdCheckTSTradeSheet"/>
      </mc:Fallback>
    </mc:AlternateContent>
  </controls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13"/>
  <dimension ref="A1:J9"/>
  <sheetViews>
    <sheetView workbookViewId="0"/>
  </sheetViews>
  <sheetFormatPr defaultColWidth="9.140625" defaultRowHeight="11.25" x14ac:dyDescent="0.2"/>
  <cols>
    <col min="1" max="1" width="13.140625" style="3" customWidth="1"/>
    <col min="2" max="2" width="10.7109375" style="3" customWidth="1"/>
    <col min="3" max="3" width="11.85546875" style="3" customWidth="1"/>
    <col min="4" max="4" width="9.42578125" style="3" customWidth="1"/>
    <col min="5" max="5" width="9.28515625" style="3" customWidth="1"/>
    <col min="6" max="16384" width="9.140625" style="3"/>
  </cols>
  <sheetData>
    <row r="1" spans="1:10" x14ac:dyDescent="0.2">
      <c r="A1" s="2" t="s">
        <v>12</v>
      </c>
    </row>
    <row r="3" spans="1:10" ht="15.75" customHeight="1" x14ac:dyDescent="0.2"/>
    <row r="7" spans="1:10" x14ac:dyDescent="0.2">
      <c r="A7" s="2" t="s">
        <v>16</v>
      </c>
      <c r="B7" s="2" t="s">
        <v>24</v>
      </c>
      <c r="C7" s="2" t="s">
        <v>2</v>
      </c>
      <c r="D7" s="2" t="s">
        <v>3</v>
      </c>
      <c r="E7" s="2" t="s">
        <v>4</v>
      </c>
      <c r="F7" s="2" t="s">
        <v>5</v>
      </c>
      <c r="G7" s="2" t="s">
        <v>6</v>
      </c>
      <c r="H7" s="2" t="s">
        <v>7</v>
      </c>
      <c r="I7" s="2" t="s">
        <v>8</v>
      </c>
      <c r="J7" s="2" t="s">
        <v>21</v>
      </c>
    </row>
    <row r="9" spans="1:10" x14ac:dyDescent="0.2">
      <c r="A9" s="2" t="s">
        <v>112</v>
      </c>
    </row>
  </sheetData>
  <phoneticPr fontId="22" type="noConversion"/>
  <pageMargins left="0.75" right="0.75" top="1" bottom="1" header="0.5" footer="0.5"/>
  <pageSetup paperSize="9" orientation="portrait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61442" r:id="rId4" name="cmdCheckTIDTradeSheet">
          <controlPr defaultSize="0" autoLine="0" r:id="rId5">
            <anchor moveWithCells="1">
              <from>
                <xdr:col>0</xdr:col>
                <xdr:colOff>9525</xdr:colOff>
                <xdr:row>2</xdr:row>
                <xdr:rowOff>0</xdr:rowOff>
              </from>
              <to>
                <xdr:col>0</xdr:col>
                <xdr:colOff>828675</xdr:colOff>
                <xdr:row>3</xdr:row>
                <xdr:rowOff>38100</xdr:rowOff>
              </to>
            </anchor>
          </controlPr>
        </control>
      </mc:Choice>
      <mc:Fallback>
        <control shapeId="61442" r:id="rId4" name="cmdCheckTIDTradeSheet"/>
      </mc:Fallback>
    </mc:AlternateContent>
    <mc:AlternateContent xmlns:mc="http://schemas.openxmlformats.org/markup-compatibility/2006">
      <mc:Choice Requires="x14">
        <control shapeId="61443" r:id="rId6" name="cmdSpecifyParameter">
          <controlPr defaultSize="0" autoLine="0" r:id="rId7">
            <anchor moveWithCells="1">
              <from>
                <xdr:col>2</xdr:col>
                <xdr:colOff>0</xdr:colOff>
                <xdr:row>3</xdr:row>
                <xdr:rowOff>9525</xdr:rowOff>
              </from>
              <to>
                <xdr:col>3</xdr:col>
                <xdr:colOff>28575</xdr:colOff>
                <xdr:row>4</xdr:row>
                <xdr:rowOff>114300</xdr:rowOff>
              </to>
            </anchor>
          </controlPr>
        </control>
      </mc:Choice>
      <mc:Fallback>
        <control shapeId="61443" r:id="rId6" name="cmdSpecifyParameter"/>
      </mc:Fallback>
    </mc:AlternateContent>
    <mc:AlternateContent xmlns:mc="http://schemas.openxmlformats.org/markup-compatibility/2006">
      <mc:Choice Requires="x14">
        <control shapeId="61444" r:id="rId8" name="cmdSpecifyArg1">
          <controlPr defaultSize="0" autoLine="0" r:id="rId9">
            <anchor moveWithCells="1">
              <from>
                <xdr:col>3</xdr:col>
                <xdr:colOff>9525</xdr:colOff>
                <xdr:row>3</xdr:row>
                <xdr:rowOff>9525</xdr:rowOff>
              </from>
              <to>
                <xdr:col>4</xdr:col>
                <xdr:colOff>0</xdr:colOff>
                <xdr:row>4</xdr:row>
                <xdr:rowOff>114300</xdr:rowOff>
              </to>
            </anchor>
          </controlPr>
        </control>
      </mc:Choice>
      <mc:Fallback>
        <control shapeId="61444" r:id="rId8" name="cmdSpecifyArg1"/>
      </mc:Fallback>
    </mc:AlternateContent>
    <mc:AlternateContent xmlns:mc="http://schemas.openxmlformats.org/markup-compatibility/2006">
      <mc:Choice Requires="x14">
        <control shapeId="61445" r:id="rId10" name="cmdSpecifyArg2">
          <controlPr defaultSize="0" autoLine="0" r:id="rId11">
            <anchor moveWithCells="1">
              <from>
                <xdr:col>4</xdr:col>
                <xdr:colOff>9525</xdr:colOff>
                <xdr:row>3</xdr:row>
                <xdr:rowOff>9525</xdr:rowOff>
              </from>
              <to>
                <xdr:col>5</xdr:col>
                <xdr:colOff>9525</xdr:colOff>
                <xdr:row>4</xdr:row>
                <xdr:rowOff>114300</xdr:rowOff>
              </to>
            </anchor>
          </controlPr>
        </control>
      </mc:Choice>
      <mc:Fallback>
        <control shapeId="61445" r:id="rId10" name="cmdSpecifyArg2"/>
      </mc:Fallback>
    </mc:AlternateContent>
    <mc:AlternateContent xmlns:mc="http://schemas.openxmlformats.org/markup-compatibility/2006">
      <mc:Choice Requires="x14">
        <control shapeId="61446" r:id="rId12" name="cmdSpecifyArg3">
          <controlPr defaultSize="0" autoLine="0" r:id="rId13">
            <anchor moveWithCells="1">
              <from>
                <xdr:col>5</xdr:col>
                <xdr:colOff>9525</xdr:colOff>
                <xdr:row>3</xdr:row>
                <xdr:rowOff>9525</xdr:rowOff>
              </from>
              <to>
                <xdr:col>6</xdr:col>
                <xdr:colOff>19050</xdr:colOff>
                <xdr:row>4</xdr:row>
                <xdr:rowOff>114300</xdr:rowOff>
              </to>
            </anchor>
          </controlPr>
        </control>
      </mc:Choice>
      <mc:Fallback>
        <control shapeId="61446" r:id="rId12" name="cmdSpecifyArg3"/>
      </mc:Fallback>
    </mc:AlternateContent>
    <mc:AlternateContent xmlns:mc="http://schemas.openxmlformats.org/markup-compatibility/2006">
      <mc:Choice Requires="x14">
        <control shapeId="61447" r:id="rId14" name="cmdSpecifyArg4">
          <controlPr defaultSize="0" autoLine="0" r:id="rId15">
            <anchor moveWithCells="1">
              <from>
                <xdr:col>6</xdr:col>
                <xdr:colOff>9525</xdr:colOff>
                <xdr:row>3</xdr:row>
                <xdr:rowOff>9525</xdr:rowOff>
              </from>
              <to>
                <xdr:col>7</xdr:col>
                <xdr:colOff>19050</xdr:colOff>
                <xdr:row>4</xdr:row>
                <xdr:rowOff>114300</xdr:rowOff>
              </to>
            </anchor>
          </controlPr>
        </control>
      </mc:Choice>
      <mc:Fallback>
        <control shapeId="61447" r:id="rId14" name="cmdSpecifyArg4"/>
      </mc:Fallback>
    </mc:AlternateContent>
    <mc:AlternateContent xmlns:mc="http://schemas.openxmlformats.org/markup-compatibility/2006">
      <mc:Choice Requires="x14">
        <control shapeId="61448" r:id="rId16" name="cmdSpecifyArg5">
          <controlPr defaultSize="0" autoLine="0" r:id="rId17">
            <anchor moveWithCells="1">
              <from>
                <xdr:col>7</xdr:col>
                <xdr:colOff>9525</xdr:colOff>
                <xdr:row>3</xdr:row>
                <xdr:rowOff>9525</xdr:rowOff>
              </from>
              <to>
                <xdr:col>8</xdr:col>
                <xdr:colOff>19050</xdr:colOff>
                <xdr:row>4</xdr:row>
                <xdr:rowOff>114300</xdr:rowOff>
              </to>
            </anchor>
          </controlPr>
        </control>
      </mc:Choice>
      <mc:Fallback>
        <control shapeId="61448" r:id="rId16" name="cmdSpecifyArg5"/>
      </mc:Fallback>
    </mc:AlternateContent>
    <mc:AlternateContent xmlns:mc="http://schemas.openxmlformats.org/markup-compatibility/2006">
      <mc:Choice Requires="x14">
        <control shapeId="61449" r:id="rId18" name="cmdSpecifyArg6">
          <controlPr defaultSize="0" autoLine="0" r:id="rId19">
            <anchor moveWithCells="1">
              <from>
                <xdr:col>8</xdr:col>
                <xdr:colOff>9525</xdr:colOff>
                <xdr:row>3</xdr:row>
                <xdr:rowOff>9525</xdr:rowOff>
              </from>
              <to>
                <xdr:col>9</xdr:col>
                <xdr:colOff>19050</xdr:colOff>
                <xdr:row>4</xdr:row>
                <xdr:rowOff>114300</xdr:rowOff>
              </to>
            </anchor>
          </controlPr>
        </control>
      </mc:Choice>
      <mc:Fallback>
        <control shapeId="61449" r:id="rId18" name="cmdSpecifyArg6"/>
      </mc:Fallback>
    </mc:AlternateContent>
  </controls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14"/>
  <dimension ref="A1:S9"/>
  <sheetViews>
    <sheetView workbookViewId="0"/>
  </sheetViews>
  <sheetFormatPr defaultColWidth="9.140625" defaultRowHeight="13.5" customHeight="1" x14ac:dyDescent="0.2"/>
  <cols>
    <col min="1" max="1" width="12.5703125" style="3" customWidth="1"/>
    <col min="2" max="2" width="9.140625" style="3"/>
    <col min="3" max="3" width="12.28515625" style="3" customWidth="1"/>
    <col min="4" max="9" width="9.140625" style="3"/>
    <col min="10" max="10" width="7.42578125" style="3" customWidth="1"/>
    <col min="11" max="16384" width="9.140625" style="3"/>
  </cols>
  <sheetData>
    <row r="1" spans="1:19" ht="13.5" customHeight="1" x14ac:dyDescent="0.2">
      <c r="A1" s="2" t="s">
        <v>109</v>
      </c>
    </row>
    <row r="3" spans="1:19" ht="20.25" customHeight="1" x14ac:dyDescent="0.2"/>
    <row r="7" spans="1:19" ht="23.25" customHeight="1" x14ac:dyDescent="0.2">
      <c r="A7" s="2" t="s">
        <v>16</v>
      </c>
      <c r="B7" s="2" t="s">
        <v>24</v>
      </c>
      <c r="C7" s="2" t="s">
        <v>2</v>
      </c>
      <c r="D7" s="2" t="s">
        <v>3</v>
      </c>
      <c r="E7" s="2" t="s">
        <v>4</v>
      </c>
      <c r="F7" s="2" t="s">
        <v>5</v>
      </c>
      <c r="G7" s="2" t="s">
        <v>6</v>
      </c>
      <c r="H7" s="2" t="s">
        <v>7</v>
      </c>
      <c r="I7" s="2" t="s">
        <v>8</v>
      </c>
      <c r="J7" s="6" t="s">
        <v>22</v>
      </c>
      <c r="K7" s="2"/>
      <c r="L7" s="2"/>
      <c r="M7" s="2"/>
      <c r="N7" s="2"/>
      <c r="O7" s="2"/>
      <c r="P7" s="2"/>
      <c r="Q7" s="2"/>
      <c r="R7" s="2"/>
      <c r="S7" s="2"/>
    </row>
    <row r="9" spans="1:19" ht="13.5" customHeight="1" x14ac:dyDescent="0.2">
      <c r="A9" s="2" t="s">
        <v>111</v>
      </c>
    </row>
  </sheetData>
  <phoneticPr fontId="22" type="noConversion"/>
  <pageMargins left="0.75" right="0.75" top="1" bottom="1" header="0.5" footer="0.5"/>
  <pageSetup paperSize="9" orientation="portrait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62475" r:id="rId4" name="cmdPopulateDataYears">
          <controlPr defaultSize="0" autoLine="0" r:id="rId5">
            <anchor moveWithCells="1">
              <from>
                <xdr:col>0</xdr:col>
                <xdr:colOff>9525</xdr:colOff>
                <xdr:row>4</xdr:row>
                <xdr:rowOff>19050</xdr:rowOff>
              </from>
              <to>
                <xdr:col>0</xdr:col>
                <xdr:colOff>666750</xdr:colOff>
                <xdr:row>6</xdr:row>
                <xdr:rowOff>38100</xdr:rowOff>
              </to>
            </anchor>
          </controlPr>
        </control>
      </mc:Choice>
      <mc:Fallback>
        <control shapeId="62475" r:id="rId4" name="cmdPopulateDataYears"/>
      </mc:Fallback>
    </mc:AlternateContent>
    <mc:AlternateContent xmlns:mc="http://schemas.openxmlformats.org/markup-compatibility/2006">
      <mc:Choice Requires="x14">
        <control shapeId="62466" r:id="rId6" name="cmdCheckTSandTIDTradeSheet">
          <controlPr defaultSize="0" autoLine="0" r:id="rId7">
            <anchor moveWithCells="1">
              <from>
                <xdr:col>0</xdr:col>
                <xdr:colOff>9525</xdr:colOff>
                <xdr:row>2</xdr:row>
                <xdr:rowOff>19050</xdr:rowOff>
              </from>
              <to>
                <xdr:col>0</xdr:col>
                <xdr:colOff>828675</xdr:colOff>
                <xdr:row>3</xdr:row>
                <xdr:rowOff>0</xdr:rowOff>
              </to>
            </anchor>
          </controlPr>
        </control>
      </mc:Choice>
      <mc:Fallback>
        <control shapeId="62466" r:id="rId6" name="cmdCheckTSandTIDTradeSheet"/>
      </mc:Fallback>
    </mc:AlternateContent>
    <mc:AlternateContent xmlns:mc="http://schemas.openxmlformats.org/markup-compatibility/2006">
      <mc:Choice Requires="x14">
        <control shapeId="62467" r:id="rId8" name="cmdSpecifyParameter">
          <controlPr defaultSize="0" autoLine="0" r:id="rId9">
            <anchor moveWithCells="1">
              <from>
                <xdr:col>2</xdr:col>
                <xdr:colOff>9525</xdr:colOff>
                <xdr:row>3</xdr:row>
                <xdr:rowOff>9525</xdr:rowOff>
              </from>
              <to>
                <xdr:col>3</xdr:col>
                <xdr:colOff>9525</xdr:colOff>
                <xdr:row>4</xdr:row>
                <xdr:rowOff>85725</xdr:rowOff>
              </to>
            </anchor>
          </controlPr>
        </control>
      </mc:Choice>
      <mc:Fallback>
        <control shapeId="62467" r:id="rId8" name="cmdSpecifyParameter"/>
      </mc:Fallback>
    </mc:AlternateContent>
    <mc:AlternateContent xmlns:mc="http://schemas.openxmlformats.org/markup-compatibility/2006">
      <mc:Choice Requires="x14">
        <control shapeId="62468" r:id="rId10" name="cmdSpecifyArg1">
          <controlPr defaultSize="0" autoLine="0" r:id="rId11">
            <anchor moveWithCells="1">
              <from>
                <xdr:col>3</xdr:col>
                <xdr:colOff>9525</xdr:colOff>
                <xdr:row>3</xdr:row>
                <xdr:rowOff>9525</xdr:rowOff>
              </from>
              <to>
                <xdr:col>4</xdr:col>
                <xdr:colOff>19050</xdr:colOff>
                <xdr:row>4</xdr:row>
                <xdr:rowOff>85725</xdr:rowOff>
              </to>
            </anchor>
          </controlPr>
        </control>
      </mc:Choice>
      <mc:Fallback>
        <control shapeId="62468" r:id="rId10" name="cmdSpecifyArg1"/>
      </mc:Fallback>
    </mc:AlternateContent>
    <mc:AlternateContent xmlns:mc="http://schemas.openxmlformats.org/markup-compatibility/2006">
      <mc:Choice Requires="x14">
        <control shapeId="62469" r:id="rId12" name="cmdSpecifyArg2">
          <controlPr defaultSize="0" autoLine="0" r:id="rId13">
            <anchor moveWithCells="1">
              <from>
                <xdr:col>4</xdr:col>
                <xdr:colOff>9525</xdr:colOff>
                <xdr:row>3</xdr:row>
                <xdr:rowOff>9525</xdr:rowOff>
              </from>
              <to>
                <xdr:col>5</xdr:col>
                <xdr:colOff>19050</xdr:colOff>
                <xdr:row>4</xdr:row>
                <xdr:rowOff>85725</xdr:rowOff>
              </to>
            </anchor>
          </controlPr>
        </control>
      </mc:Choice>
      <mc:Fallback>
        <control shapeId="62469" r:id="rId12" name="cmdSpecifyArg2"/>
      </mc:Fallback>
    </mc:AlternateContent>
    <mc:AlternateContent xmlns:mc="http://schemas.openxmlformats.org/markup-compatibility/2006">
      <mc:Choice Requires="x14">
        <control shapeId="62470" r:id="rId14" name="cmdSpecifyArg3">
          <controlPr defaultSize="0" autoLine="0" r:id="rId15">
            <anchor moveWithCells="1">
              <from>
                <xdr:col>5</xdr:col>
                <xdr:colOff>9525</xdr:colOff>
                <xdr:row>3</xdr:row>
                <xdr:rowOff>9525</xdr:rowOff>
              </from>
              <to>
                <xdr:col>6</xdr:col>
                <xdr:colOff>19050</xdr:colOff>
                <xdr:row>4</xdr:row>
                <xdr:rowOff>85725</xdr:rowOff>
              </to>
            </anchor>
          </controlPr>
        </control>
      </mc:Choice>
      <mc:Fallback>
        <control shapeId="62470" r:id="rId14" name="cmdSpecifyArg3"/>
      </mc:Fallback>
    </mc:AlternateContent>
    <mc:AlternateContent xmlns:mc="http://schemas.openxmlformats.org/markup-compatibility/2006">
      <mc:Choice Requires="x14">
        <control shapeId="62471" r:id="rId16" name="cmdSpecifyArg4">
          <controlPr defaultSize="0" autoLine="0" r:id="rId17">
            <anchor moveWithCells="1">
              <from>
                <xdr:col>6</xdr:col>
                <xdr:colOff>9525</xdr:colOff>
                <xdr:row>3</xdr:row>
                <xdr:rowOff>9525</xdr:rowOff>
              </from>
              <to>
                <xdr:col>7</xdr:col>
                <xdr:colOff>19050</xdr:colOff>
                <xdr:row>4</xdr:row>
                <xdr:rowOff>85725</xdr:rowOff>
              </to>
            </anchor>
          </controlPr>
        </control>
      </mc:Choice>
      <mc:Fallback>
        <control shapeId="62471" r:id="rId16" name="cmdSpecifyArg4"/>
      </mc:Fallback>
    </mc:AlternateContent>
    <mc:AlternateContent xmlns:mc="http://schemas.openxmlformats.org/markup-compatibility/2006">
      <mc:Choice Requires="x14">
        <control shapeId="62472" r:id="rId18" name="cmdSpecifyArg5">
          <controlPr defaultSize="0" autoLine="0" r:id="rId19">
            <anchor moveWithCells="1">
              <from>
                <xdr:col>7</xdr:col>
                <xdr:colOff>9525</xdr:colOff>
                <xdr:row>3</xdr:row>
                <xdr:rowOff>9525</xdr:rowOff>
              </from>
              <to>
                <xdr:col>8</xdr:col>
                <xdr:colOff>19050</xdr:colOff>
                <xdr:row>4</xdr:row>
                <xdr:rowOff>85725</xdr:rowOff>
              </to>
            </anchor>
          </controlPr>
        </control>
      </mc:Choice>
      <mc:Fallback>
        <control shapeId="62472" r:id="rId18" name="cmdSpecifyArg5"/>
      </mc:Fallback>
    </mc:AlternateContent>
    <mc:AlternateContent xmlns:mc="http://schemas.openxmlformats.org/markup-compatibility/2006">
      <mc:Choice Requires="x14">
        <control shapeId="62473" r:id="rId20" name="cmdSpecifyArg6">
          <controlPr defaultSize="0" autoLine="0" r:id="rId21">
            <anchor moveWithCells="1">
              <from>
                <xdr:col>8</xdr:col>
                <xdr:colOff>9525</xdr:colOff>
                <xdr:row>3</xdr:row>
                <xdr:rowOff>9525</xdr:rowOff>
              </from>
              <to>
                <xdr:col>9</xdr:col>
                <xdr:colOff>19050</xdr:colOff>
                <xdr:row>4</xdr:row>
                <xdr:rowOff>85725</xdr:rowOff>
              </to>
            </anchor>
          </controlPr>
        </control>
      </mc:Choice>
      <mc:Fallback>
        <control shapeId="62473" r:id="rId20" name="cmdSpecifyArg6"/>
      </mc:Fallback>
    </mc:AlternateContent>
    <mc:AlternateContent xmlns:mc="http://schemas.openxmlformats.org/markup-compatibility/2006">
      <mc:Choice Requires="x14">
        <control shapeId="62474" r:id="rId22" name="cmdSpecifyIEOptcode">
          <controlPr defaultSize="0" autoLine="0" r:id="rId23">
            <anchor moveWithCells="1">
              <from>
                <xdr:col>9</xdr:col>
                <xdr:colOff>28575</xdr:colOff>
                <xdr:row>3</xdr:row>
                <xdr:rowOff>9525</xdr:rowOff>
              </from>
              <to>
                <xdr:col>10</xdr:col>
                <xdr:colOff>9525</xdr:colOff>
                <xdr:row>4</xdr:row>
                <xdr:rowOff>85725</xdr:rowOff>
              </to>
            </anchor>
          </controlPr>
        </control>
      </mc:Choice>
      <mc:Fallback>
        <control shapeId="62474" r:id="rId22" name="cmdSpecifyIEOptcode"/>
      </mc:Fallback>
    </mc:AlternateContent>
  </contro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Issues outstanding</vt:lpstr>
      <vt:lpstr>Log</vt:lpstr>
      <vt:lpstr>Index</vt:lpstr>
      <vt:lpstr>RES</vt:lpstr>
      <vt:lpstr>EB_Exist</vt:lpstr>
      <vt:lpstr>Commodities_BASE</vt:lpstr>
      <vt:lpstr>Processes_BASE</vt:lpstr>
      <vt:lpstr>CommData_BASE</vt:lpstr>
      <vt:lpstr>ProcData_PGM</vt:lpstr>
      <vt:lpstr>ProcData_PGMexports</vt:lpstr>
      <vt:lpstr>PGM methodology</vt:lpstr>
      <vt:lpstr>Production of minerals</vt:lpstr>
      <vt:lpstr>Energy data</vt:lpstr>
      <vt:lpstr>Students report</vt:lpstr>
      <vt:lpstr>Mudd 2009 paper</vt:lpstr>
      <vt:lpstr>Sheet1</vt:lpstr>
      <vt:lpstr>Waterberg project</vt:lpstr>
      <vt:lpstr>Costs</vt:lpstr>
      <vt:lpstr>Students worksheet</vt:lpstr>
      <vt:lpstr>Minerals council report 2017</vt:lpstr>
      <vt:lpstr>Brunos EB</vt:lpstr>
    </vt:vector>
  </TitlesOfParts>
  <Company>Noble-Soft Systems Pty Ltd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 Ken Noble</dc:creator>
  <cp:lastModifiedBy>Bryce Mccall</cp:lastModifiedBy>
  <cp:lastPrinted>2005-06-23T04:07:43Z</cp:lastPrinted>
  <dcterms:created xsi:type="dcterms:W3CDTF">2005-05-01T12:39:10Z</dcterms:created>
  <dcterms:modified xsi:type="dcterms:W3CDTF">2023-08-29T11:59:45Z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713de5e5-8630-4467-b717-77e01c35d4d4</vt:lpwstr>
  </property>
  <property fmtid="{D5CDD505-2E9C-101B-9397-08002B2CF9AE}" pid="3" name="SaveCode">
    <vt:r8>568371057510375</vt:r8>
  </property>
</Properties>
</file>