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A6540B56-D71F-42EE-9C54-9097AC1D96FB}" xr6:coauthVersionLast="47" xr6:coauthVersionMax="47" xr10:uidLastSave="{00000000-0000-0000-0000-000000000000}"/>
  <bookViews>
    <workbookView xWindow="-120" yWindow="-120" windowWidth="29040" windowHeight="15840" tabRatio="793" firstSheet="4" activeTab="8" xr2:uid="{8E1A42FA-0499-49B0-BB74-20CC93AC9051}"/>
  </bookViews>
  <sheets>
    <sheet name="Log" sheetId="44" r:id="rId1"/>
    <sheet name="HDRI scenarios" sheetId="29" r:id="rId2"/>
    <sheet name="INPUT GreenSteel" sheetId="35" r:id="rId3"/>
    <sheet name="Summary Hydrogen DRI old" sheetId="34" r:id="rId4"/>
    <sheet name="INPUT Energy and Emissions" sheetId="10" r:id="rId5"/>
    <sheet name="INPUT Emissions" sheetId="1" r:id="rId6"/>
    <sheet name="INPUT Capacity &amp; Production" sheetId="2" r:id="rId7"/>
    <sheet name="INPUT Coke" sheetId="11" r:id="rId8"/>
    <sheet name="INPUT opex costs TNapp" sheetId="23" r:id="rId9"/>
    <sheet name="INPUT Capex costs TNapp" sheetId="37" r:id="rId10"/>
    <sheet name="Scrap" sheetId="15" r:id="rId11"/>
    <sheet name="TNapp - I&amp;S intensity" sheetId="4" r:id="rId12"/>
    <sheet name="AMSA reports" sheetId="9" r:id="rId13"/>
    <sheet name="AcelorMittal sus report data" sheetId="7" r:id="rId14"/>
    <sheet name="AMSA - Saldanha" sheetId="5" r:id="rId15"/>
    <sheet name="AMSA - Vndbjl park" sheetId="17" r:id="rId16"/>
    <sheet name="Blast furnace JPN info" sheetId="8" r:id="rId17"/>
    <sheet name="Vereeniging" sheetId="45" r:id="rId18"/>
    <sheet name="Evraz Highveld" sheetId="6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Lswitch">[2]IND!$M$13</definedName>
    <definedName name="Cars_12" localSheetId="9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13">'[5]Financial Indicators'!$Y$9</definedName>
    <definedName name="CPI.2011" localSheetId="9">'[6]Financial Indicators'!$Y$9</definedName>
    <definedName name="CPI.2011" localSheetId="8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13">'[5]Financial Indicators'!$C$25:$Z$28</definedName>
    <definedName name="Deflator" localSheetId="9">'[6]Financial Indicators'!$C$25:$Z$28</definedName>
    <definedName name="Deflator" localSheetId="8">'[7]Financial Indicators'!$C$25:$Z$28</definedName>
    <definedName name="Deflator">'[8]Financial Indicators'!$C$25:$Z$28</definedName>
    <definedName name="DISCRATE" localSheetId="9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13">'[5]Financial Indicators'!$C$12:$Y$15</definedName>
    <definedName name="EXCH" localSheetId="9">'[6]Financial Indicators'!$C$12:$Y$15</definedName>
    <definedName name="EXCH" localSheetId="8">'[7]Financial Indicators'!$C$12:$Y$15</definedName>
    <definedName name="EXCH">'[8]Financial Indicators'!$C$12:$Y$15</definedName>
    <definedName name="EXCH.year" localSheetId="13">'[5]Financial Indicators'!$D$3:$Y$3</definedName>
    <definedName name="EXCH.year" localSheetId="9">'[6]Financial Indicators'!$D$3:$Y$3</definedName>
    <definedName name="EXCH.year" localSheetId="8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9">'[3]TechRep-Doc'!#REF!</definedName>
    <definedName name="GROWTH">'[3]TechRep-Doc'!#REF!</definedName>
    <definedName name="GROWTH_TID" localSheetId="9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9">'[3]TechRep-Doc'!#REF!</definedName>
    <definedName name="INVCOST">'[3]TechRep-Doc'!#REF!</definedName>
    <definedName name="IS_EE_switch">[2]IND!#REF!</definedName>
    <definedName name="LIFE" localSheetId="9">'[3]TechRep-Doc'!#REF!</definedName>
    <definedName name="LIFE">'[3]TechRep-Doc'!#REF!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9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13">#REF!</definedName>
    <definedName name="SASApp_GDPDATA_DISCREPANCY_TABLE" localSheetId="9">#REF!</definedName>
    <definedName name="SASApp_GDPDATA_DISCREPANCY_TABLE" localSheetId="8">#REF!</definedName>
    <definedName name="SASApp_GDPDATA_DISCREPANCY_TABLE" localSheetId="11">#REF!</definedName>
    <definedName name="SASApp_GDPDATA_DISCREPANCY_TABLE">#REF!</definedName>
    <definedName name="SASApp_GDPDATA_SUPPLY_TABLE_FIRST" localSheetId="13">#REF!</definedName>
    <definedName name="SASApp_GDPDATA_SUPPLY_TABLE_FIRST" localSheetId="9">#REF!</definedName>
    <definedName name="SASApp_GDPDATA_SUPPLY_TABLE_FIRST" localSheetId="8">#REF!</definedName>
    <definedName name="SASApp_GDPDATA_SUPPLY_TABLE_FIRST" localSheetId="11">#REF!</definedName>
    <definedName name="SASApp_GDPDATA_SUPPLY_TABLE_FIRST">#REF!</definedName>
    <definedName name="SASApp_GDPDATA_SUPPLY_TABLE_SECOND" localSheetId="13">#REF!</definedName>
    <definedName name="SASApp_GDPDATA_SUPPLY_TABLE_SECOND" localSheetId="9">#REF!</definedName>
    <definedName name="SASApp_GDPDATA_SUPPLY_TABLE_SECOND" localSheetId="8">#REF!</definedName>
    <definedName name="SASApp_GDPDATA_SUPPLY_TABLE_SECOND" localSheetId="11">#REF!</definedName>
    <definedName name="SASApp_GDPDATA_SUPPLY_TABLE_SECOND">#REF!</definedName>
    <definedName name="SASApp_GDPDATA_USE_TABLE_FIRST" localSheetId="13">#REF!</definedName>
    <definedName name="SASApp_GDPDATA_USE_TABLE_FIRST" localSheetId="9">#REF!</definedName>
    <definedName name="SASApp_GDPDATA_USE_TABLE_FIRST" localSheetId="8">#REF!</definedName>
    <definedName name="SASApp_GDPDATA_USE_TABLE_FIRST" localSheetId="11">#REF!</definedName>
    <definedName name="SASApp_GDPDATA_USE_TABLE_FIRST">#REF!</definedName>
    <definedName name="SASApp_GDPDATA_USE_TABLE_SECOND" localSheetId="13">#REF!</definedName>
    <definedName name="SASApp_GDPDATA_USE_TABLE_SECOND" localSheetId="9">#REF!</definedName>
    <definedName name="SASApp_GDPDATA_USE_TABLE_SECOND" localSheetId="8">#REF!</definedName>
    <definedName name="SASApp_GDPDATA_USE_TABLE_SECOND" localSheetId="11">#REF!</definedName>
    <definedName name="SASApp_GDPDATA_USE_TABLE_SECOND">#REF!</definedName>
    <definedName name="SETS" localSheetId="9">'[3]TechRep-Doc'!#REF!</definedName>
    <definedName name="SETS">'[3]TechRep-Doc'!#REF!</definedName>
    <definedName name="TRTGAB005" localSheetId="9">'[3]TechRep-Doc'!#REF!</definedName>
    <definedName name="TRTGAB005">'[3]TechRep-Doc'!#REF!</definedName>
    <definedName name="TRTGAC005" localSheetId="9">'[3]TechRep-Doc'!#REF!</definedName>
    <definedName name="TRTGAC005">'[3]TechRep-Doc'!#REF!</definedName>
    <definedName name="Trucks_15" localSheetId="9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13">'[5]Unit conversion'!$E$7</definedName>
    <definedName name="Unit.GJ" localSheetId="9">'[6]Unit conversion'!$E$7</definedName>
    <definedName name="Unit.GJ" localSheetId="8">'[7]Unit conversion'!$E$7</definedName>
    <definedName name="Unit.GJ">'[8]Unit conversion'!$E$7</definedName>
    <definedName name="Unit.GWh" localSheetId="13">'[5]Unit conversion'!$E$13</definedName>
    <definedName name="Unit.GWh" localSheetId="9">'[6]Unit conversion'!$E$13</definedName>
    <definedName name="Unit.GWh" localSheetId="8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13">'[5]Unit conversion'!$E$22</definedName>
    <definedName name="Unit.kgce" localSheetId="9">'[6]Unit conversion'!$E$22</definedName>
    <definedName name="Unit.kgce" localSheetId="8">'[7]Unit conversion'!$E$22</definedName>
    <definedName name="Unit.kgce">'[8]Unit conversion'!$E$22</definedName>
    <definedName name="Unit.minute">'[4]Unit conversion'!$F$45</definedName>
    <definedName name="Unit.TJ" localSheetId="13">'[5]Unit conversion'!$E$6</definedName>
    <definedName name="Unit.TJ" localSheetId="9">'[6]Unit conversion'!$E$6</definedName>
    <definedName name="Unit.TJ" localSheetId="8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97" i="23" l="1"/>
  <c r="E122" i="23" s="1"/>
  <c r="E123" i="23" s="1"/>
  <c r="I138" i="23"/>
  <c r="H96" i="23"/>
  <c r="H53" i="23"/>
  <c r="Q213" i="10"/>
  <c r="C219" i="10"/>
  <c r="C220" i="10"/>
  <c r="J221" i="10"/>
  <c r="C222" i="10"/>
  <c r="C224" i="10"/>
  <c r="J226" i="10"/>
  <c r="J222" i="10" s="1"/>
  <c r="C223" i="10" s="1"/>
  <c r="C229" i="10"/>
  <c r="C239" i="10" s="1"/>
  <c r="D229" i="10"/>
  <c r="E229" i="10"/>
  <c r="F229" i="10"/>
  <c r="G229" i="10"/>
  <c r="H229" i="10"/>
  <c r="C230" i="10"/>
  <c r="D230" i="10"/>
  <c r="E230" i="10"/>
  <c r="F230" i="10"/>
  <c r="G230" i="10"/>
  <c r="H230" i="10"/>
  <c r="C231" i="10"/>
  <c r="C241" i="10" s="1"/>
  <c r="D231" i="10"/>
  <c r="E231" i="10"/>
  <c r="F231" i="10"/>
  <c r="G231" i="10"/>
  <c r="H231" i="10"/>
  <c r="C232" i="10"/>
  <c r="D232" i="10"/>
  <c r="E232" i="10"/>
  <c r="F232" i="10"/>
  <c r="G232" i="10"/>
  <c r="H232" i="10"/>
  <c r="C233" i="10"/>
  <c r="D233" i="10"/>
  <c r="E233" i="10"/>
  <c r="F233" i="10"/>
  <c r="G233" i="10"/>
  <c r="H233" i="10"/>
  <c r="C234" i="10"/>
  <c r="D234" i="10"/>
  <c r="E234" i="10"/>
  <c r="F234" i="10"/>
  <c r="G234" i="10"/>
  <c r="H234" i="10"/>
  <c r="F235" i="10"/>
  <c r="G235" i="10"/>
  <c r="H235" i="10"/>
  <c r="C236" i="10"/>
  <c r="F236" i="10"/>
  <c r="G236" i="10"/>
  <c r="H236" i="10"/>
  <c r="P236" i="10"/>
  <c r="F239" i="10"/>
  <c r="G239" i="10"/>
  <c r="H239" i="10"/>
  <c r="C240" i="10"/>
  <c r="F240" i="10"/>
  <c r="G240" i="10"/>
  <c r="H240" i="10"/>
  <c r="F241" i="10"/>
  <c r="G241" i="10"/>
  <c r="H241" i="10"/>
  <c r="K241" i="10"/>
  <c r="L241" i="10"/>
  <c r="M241" i="10"/>
  <c r="N241" i="10"/>
  <c r="H251" i="10" s="1"/>
  <c r="C242" i="10"/>
  <c r="F242" i="10"/>
  <c r="G242" i="10"/>
  <c r="H242" i="10"/>
  <c r="C244" i="10"/>
  <c r="F244" i="10"/>
  <c r="G244" i="10"/>
  <c r="H244" i="10"/>
  <c r="U245" i="10"/>
  <c r="C246" i="10"/>
  <c r="U246" i="10"/>
  <c r="C251" i="10"/>
  <c r="F251" i="10"/>
  <c r="G251" i="10"/>
  <c r="L253" i="10"/>
  <c r="M253" i="10"/>
  <c r="N253" i="10"/>
  <c r="O253" i="10"/>
  <c r="F246" i="10" s="1"/>
  <c r="P253" i="10"/>
  <c r="G246" i="10" s="1"/>
  <c r="Q253" i="10"/>
  <c r="H246" i="10" s="1"/>
  <c r="D262" i="10"/>
  <c r="C272" i="10" s="1"/>
  <c r="C273" i="10" s="1"/>
  <c r="D264" i="10"/>
  <c r="C275" i="10" s="1"/>
  <c r="C276" i="10" s="1"/>
  <c r="C277" i="10" s="1"/>
  <c r="D265" i="10"/>
  <c r="C278" i="10" s="1"/>
  <c r="D266" i="10"/>
  <c r="C279" i="10" s="1"/>
  <c r="C280" i="10" s="1"/>
  <c r="C271" i="10"/>
  <c r="C50" i="2"/>
  <c r="C51" i="2"/>
  <c r="C52" i="2"/>
  <c r="C49" i="2"/>
  <c r="J113" i="35"/>
  <c r="E77" i="35"/>
  <c r="C148" i="35"/>
  <c r="C151" i="35"/>
  <c r="F113" i="35"/>
  <c r="R114" i="35"/>
  <c r="Q114" i="35"/>
  <c r="P114" i="35"/>
  <c r="O114" i="35"/>
  <c r="R113" i="35"/>
  <c r="Q113" i="35"/>
  <c r="P113" i="35"/>
  <c r="O113" i="35"/>
  <c r="E113" i="35"/>
  <c r="D113" i="35"/>
  <c r="I113" i="35"/>
  <c r="G113" i="35"/>
  <c r="B113" i="35"/>
  <c r="G85" i="37"/>
  <c r="G128" i="23"/>
  <c r="Z91" i="2"/>
  <c r="Z95" i="2" s="1"/>
  <c r="AA184" i="10"/>
  <c r="T182" i="10" s="1"/>
  <c r="AA185" i="10"/>
  <c r="Q182" i="10" s="1"/>
  <c r="AA183" i="10"/>
  <c r="O182" i="10" s="1"/>
  <c r="L183" i="10"/>
  <c r="M183" i="10"/>
  <c r="M182" i="10"/>
  <c r="M181" i="10"/>
  <c r="Q143" i="10"/>
  <c r="T143" i="10"/>
  <c r="Q144" i="10"/>
  <c r="T144" i="10"/>
  <c r="Q145" i="10"/>
  <c r="T145" i="10"/>
  <c r="Q146" i="10"/>
  <c r="T146" i="10"/>
  <c r="P147" i="10"/>
  <c r="P156" i="10" s="1"/>
  <c r="Q147" i="10"/>
  <c r="R147" i="10"/>
  <c r="Q156" i="10" s="1"/>
  <c r="T147" i="10"/>
  <c r="F186" i="10"/>
  <c r="F192" i="10" s="1"/>
  <c r="E132" i="10"/>
  <c r="E133" i="10"/>
  <c r="E134" i="10"/>
  <c r="E135" i="10"/>
  <c r="B23" i="15"/>
  <c r="B24" i="15" s="1"/>
  <c r="D295" i="2"/>
  <c r="P315" i="2" s="1"/>
  <c r="D294" i="2"/>
  <c r="P314" i="2" s="1"/>
  <c r="D293" i="2"/>
  <c r="P313" i="2" s="1"/>
  <c r="D292" i="2"/>
  <c r="P312" i="2" s="1"/>
  <c r="D291" i="2"/>
  <c r="P311" i="2" s="1"/>
  <c r="S310" i="2"/>
  <c r="T310" i="2"/>
  <c r="U310" i="2"/>
  <c r="R310" i="2"/>
  <c r="J80" i="2"/>
  <c r="J79" i="2"/>
  <c r="J78" i="2"/>
  <c r="J77" i="2"/>
  <c r="J76" i="2"/>
  <c r="S74" i="2"/>
  <c r="T74" i="2"/>
  <c r="U74" i="2"/>
  <c r="V74" i="2" s="1"/>
  <c r="R74" i="2"/>
  <c r="L80" i="2"/>
  <c r="D32" i="2"/>
  <c r="D31" i="2"/>
  <c r="D30" i="2"/>
  <c r="D29" i="2"/>
  <c r="D28" i="2"/>
  <c r="D138" i="23" l="1"/>
  <c r="C243" i="10"/>
  <c r="C245" i="10"/>
  <c r="D263" i="10"/>
  <c r="C274" i="10" s="1"/>
  <c r="F243" i="10"/>
  <c r="F245" i="10" s="1"/>
  <c r="F250" i="10" s="1"/>
  <c r="G243" i="10"/>
  <c r="G245" i="10" s="1"/>
  <c r="G250" i="10" s="1"/>
  <c r="H243" i="10"/>
  <c r="H245" i="10"/>
  <c r="H250" i="10" s="1"/>
  <c r="H247" i="10"/>
  <c r="C235" i="10"/>
  <c r="W74" i="2"/>
  <c r="C250" i="10" l="1"/>
  <c r="X74" i="2"/>
  <c r="Y74" i="2" l="1"/>
  <c r="Z74" i="2" l="1"/>
  <c r="AA74" i="2" s="1"/>
  <c r="AB74" i="2" s="1"/>
  <c r="AC74" i="2" s="1"/>
  <c r="AD74" i="2" s="1"/>
  <c r="AE74" i="2" s="1"/>
  <c r="AF74" i="2" l="1"/>
  <c r="AE79" i="2"/>
  <c r="AE80" i="2"/>
  <c r="AG74" i="2" l="1"/>
  <c r="AF79" i="2"/>
  <c r="AF80" i="2"/>
  <c r="AH74" i="2" l="1"/>
  <c r="AG79" i="2"/>
  <c r="AG80" i="2"/>
  <c r="AI74" i="2" l="1"/>
  <c r="AH79" i="2"/>
  <c r="AH80" i="2"/>
  <c r="AI80" i="2" l="1"/>
  <c r="AI79" i="2"/>
  <c r="F151" i="35" l="1"/>
  <c r="G148" i="35"/>
  <c r="F147" i="35"/>
  <c r="E146" i="35"/>
  <c r="AC40" i="17" l="1"/>
  <c r="AA43" i="17"/>
  <c r="O6" i="29"/>
  <c r="B8" i="29"/>
  <c r="H72" i="35"/>
  <c r="H44" i="35"/>
  <c r="M51" i="11"/>
  <c r="M54" i="11"/>
  <c r="I109" i="11" l="1"/>
  <c r="H109" i="11"/>
  <c r="J27" i="11"/>
  <c r="J26" i="11"/>
  <c r="J23" i="11"/>
  <c r="D109" i="11"/>
  <c r="I108" i="11"/>
  <c r="P305" i="2"/>
  <c r="J76" i="35"/>
  <c r="I76" i="35"/>
  <c r="H76" i="35"/>
  <c r="E72" i="35"/>
  <c r="G60" i="35"/>
  <c r="H77" i="35" s="1"/>
  <c r="I77" i="35"/>
  <c r="J77" i="35"/>
  <c r="F77" i="35"/>
  <c r="J71" i="35" l="1"/>
  <c r="I71" i="35"/>
  <c r="H71" i="35"/>
  <c r="G71" i="35"/>
  <c r="F71" i="35"/>
  <c r="E71" i="35"/>
  <c r="L152" i="35"/>
  <c r="D135" i="35"/>
  <c r="H152" i="35" s="1"/>
  <c r="D123" i="35"/>
  <c r="H149" i="35" s="1"/>
  <c r="K152" i="35"/>
  <c r="K149" i="35"/>
  <c r="C43" i="35"/>
  <c r="C44" i="35"/>
  <c r="C45" i="35"/>
  <c r="C46" i="35"/>
  <c r="C47" i="35"/>
  <c r="C48" i="35"/>
  <c r="C49" i="35"/>
  <c r="C50" i="35"/>
  <c r="C51" i="35"/>
  <c r="C52" i="35"/>
  <c r="E193" i="35"/>
  <c r="E194" i="35"/>
  <c r="E195" i="35"/>
  <c r="E196" i="35"/>
  <c r="E197" i="35"/>
  <c r="D137" i="35" l="1"/>
  <c r="M66" i="2" l="1"/>
  <c r="M78" i="2" s="1"/>
  <c r="M64" i="2"/>
  <c r="M76" i="2" s="1"/>
  <c r="H11" i="2" l="1"/>
  <c r="E159" i="35" l="1"/>
  <c r="AA241" i="35"/>
  <c r="D159" i="35" s="1"/>
  <c r="D160" i="35" s="1"/>
  <c r="E36" i="10" l="1"/>
  <c r="E91" i="4" a="1"/>
  <c r="E91" i="4" s="1"/>
  <c r="F97" i="4"/>
  <c r="F187" i="4"/>
  <c r="J63" i="37" l="1"/>
  <c r="J62" i="37"/>
  <c r="J61" i="37"/>
  <c r="J60" i="37"/>
  <c r="J59" i="37"/>
  <c r="J58" i="37"/>
  <c r="J53" i="37"/>
  <c r="J52" i="37"/>
  <c r="J48" i="37"/>
  <c r="J47" i="37"/>
  <c r="J46" i="37"/>
  <c r="J45" i="37"/>
  <c r="J44" i="37"/>
  <c r="J43" i="37"/>
  <c r="J42" i="37"/>
  <c r="J33" i="37"/>
  <c r="J32" i="37"/>
  <c r="J31" i="37"/>
  <c r="J30" i="37"/>
  <c r="J29" i="37"/>
  <c r="J28" i="37"/>
  <c r="J26" i="37"/>
  <c r="J25" i="37"/>
  <c r="J20" i="37"/>
  <c r="J19" i="37"/>
  <c r="J18" i="37"/>
  <c r="J17" i="37"/>
  <c r="J16" i="37"/>
  <c r="J15" i="37"/>
  <c r="J14" i="37"/>
  <c r="J13" i="37"/>
  <c r="J12" i="37"/>
  <c r="J11" i="37"/>
  <c r="J10" i="37"/>
  <c r="J9" i="37"/>
  <c r="J8" i="37"/>
  <c r="J40" i="37" l="1"/>
  <c r="J39" i="37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C74" i="37" l="1" a="1"/>
  <c r="C74" i="37" s="1"/>
  <c r="D74" i="37" s="1"/>
  <c r="D85" i="37" s="1"/>
  <c r="C73" i="37" a="1"/>
  <c r="C73" i="37" s="1"/>
  <c r="D73" i="37" s="1"/>
  <c r="D86" i="37" s="1"/>
  <c r="C72" i="37" a="1"/>
  <c r="C72" i="37" s="1"/>
  <c r="D72" i="37" s="1"/>
  <c r="D87" i="37" s="1"/>
  <c r="C75" i="37" l="1"/>
  <c r="D75" i="37" s="1"/>
  <c r="G58" i="23"/>
  <c r="J152" i="35" l="1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2" i="35" s="1"/>
  <c r="H66" i="35"/>
  <c r="I72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Z225" i="35"/>
  <c r="Z230" i="35"/>
  <c r="Z232" i="35" s="1"/>
  <c r="AH61" i="35"/>
  <c r="AG61" i="35"/>
  <c r="AF61" i="35"/>
  <c r="AH64" i="35"/>
  <c r="I63" i="35" s="1"/>
  <c r="G72" i="35" s="1"/>
  <c r="AG64" i="35"/>
  <c r="H63" i="35" s="1"/>
  <c r="F72" i="35" s="1"/>
  <c r="AF64" i="35"/>
  <c r="G63" i="35" s="1"/>
  <c r="AH67" i="35"/>
  <c r="AG67" i="35"/>
  <c r="AF67" i="35"/>
  <c r="AE67" i="35"/>
  <c r="AD67" i="35"/>
  <c r="AC67" i="35"/>
  <c r="AE61" i="35"/>
  <c r="AD61" i="35"/>
  <c r="AC61" i="35"/>
  <c r="AE64" i="35"/>
  <c r="F63" i="35" s="1"/>
  <c r="AD64" i="35"/>
  <c r="E63" i="35" s="1"/>
  <c r="AC64" i="35"/>
  <c r="D63" i="35" s="1"/>
  <c r="P8" i="29"/>
  <c r="H9" i="29"/>
  <c r="O9" i="29" s="1"/>
  <c r="I9" i="29"/>
  <c r="J9" i="29"/>
  <c r="Q6" i="29" s="1"/>
  <c r="Q9" i="29" s="1"/>
  <c r="H16" i="29"/>
  <c r="O7" i="29" s="1"/>
  <c r="I16" i="29"/>
  <c r="P7" i="29" s="1"/>
  <c r="J16" i="29"/>
  <c r="Q7" i="29" s="1"/>
  <c r="H22" i="29"/>
  <c r="O8" i="29" s="1"/>
  <c r="I22" i="29"/>
  <c r="J22" i="29"/>
  <c r="Q8" i="29" s="1"/>
  <c r="P6" i="29" l="1"/>
  <c r="P9" i="29" s="1"/>
  <c r="D139" i="35"/>
  <c r="AJ213" i="35"/>
  <c r="AG137" i="35"/>
  <c r="P23" i="9"/>
  <c r="P22" i="9"/>
  <c r="O13" i="9"/>
  <c r="AN145" i="35" l="1"/>
  <c r="AN146" i="35" s="1"/>
  <c r="D140" i="35"/>
  <c r="D124" i="35"/>
  <c r="D136" i="35" l="1"/>
  <c r="I152" i="35" s="1"/>
  <c r="I149" i="35"/>
  <c r="D128" i="35"/>
  <c r="AA107" i="35" l="1"/>
  <c r="AA109" i="35" s="1"/>
  <c r="C106" i="35"/>
  <c r="C104" i="35" l="1"/>
  <c r="C107" i="35" s="1"/>
  <c r="AB109" i="35"/>
  <c r="D104" i="35" l="1"/>
  <c r="D107" i="35" s="1"/>
  <c r="AF107" i="35"/>
  <c r="E104" i="35"/>
  <c r="E107" i="35" s="1"/>
  <c r="L76" i="2" l="1"/>
  <c r="L78" i="2" l="1"/>
  <c r="AI78" i="2" s="1"/>
  <c r="L77" i="2"/>
  <c r="AI77" i="2" s="1"/>
  <c r="AI76" i="2"/>
  <c r="AI82" i="2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G82" i="23" s="1"/>
  <c r="H82" i="23" s="1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D141" i="23" l="1"/>
  <c r="H74" i="23"/>
  <c r="H75" i="23" s="1"/>
  <c r="D122" i="23" s="1"/>
  <c r="D123" i="23" s="1"/>
  <c r="D136" i="23" s="1"/>
  <c r="D140" i="23" s="1"/>
  <c r="H52" i="23"/>
  <c r="C122" i="23" s="1"/>
  <c r="C123" i="23" s="1"/>
  <c r="D134" i="23" s="1"/>
  <c r="H118" i="23"/>
  <c r="H119" i="23" s="1"/>
  <c r="F122" i="23" s="1"/>
  <c r="F123" i="23" s="1"/>
  <c r="D137" i="23" s="1"/>
  <c r="D139" i="23" l="1"/>
  <c r="D135" i="23"/>
  <c r="Q26" i="10"/>
  <c r="J52" i="11"/>
  <c r="J51" i="11"/>
  <c r="G101" i="11"/>
  <c r="G100" i="11"/>
  <c r="Q219" i="2" l="1"/>
  <c r="R232" i="2"/>
  <c r="S232" i="2"/>
  <c r="Q232" i="2"/>
  <c r="S204" i="2"/>
  <c r="S219" i="2"/>
  <c r="R219" i="2"/>
  <c r="R181" i="2" l="1"/>
  <c r="R214" i="2" s="1"/>
  <c r="R179" i="2"/>
  <c r="Q221" i="2"/>
  <c r="W29" i="17"/>
  <c r="W28" i="17"/>
  <c r="S223" i="2"/>
  <c r="R223" i="2"/>
  <c r="Q223" i="2"/>
  <c r="S221" i="2"/>
  <c r="S218" i="2" s="1"/>
  <c r="R221" i="2"/>
  <c r="R218" i="2" s="1"/>
  <c r="Q218" i="2" l="1"/>
  <c r="Q236" i="2"/>
  <c r="Q231" i="2" s="1"/>
  <c r="Q235" i="2"/>
  <c r="R236" i="2"/>
  <c r="R231" i="2" s="1"/>
  <c r="R235" i="2"/>
  <c r="S235" i="2"/>
  <c r="S236" i="2"/>
  <c r="S231" i="2" s="1"/>
  <c r="S209" i="2"/>
  <c r="Q234" i="2" l="1"/>
  <c r="Q224" i="2" s="1"/>
  <c r="Q249" i="2" s="1"/>
  <c r="R234" i="2"/>
  <c r="R225" i="2" s="1"/>
  <c r="S234" i="2"/>
  <c r="S224" i="2" s="1"/>
  <c r="S249" i="2" s="1"/>
  <c r="S247" i="2"/>
  <c r="S230" i="2"/>
  <c r="S246" i="2" s="1"/>
  <c r="R230" i="2"/>
  <c r="R246" i="2" s="1"/>
  <c r="R247" i="2"/>
  <c r="Q247" i="2"/>
  <c r="Q230" i="2"/>
  <c r="Q246" i="2" s="1"/>
  <c r="J11" i="2"/>
  <c r="J10" i="2"/>
  <c r="H10" i="2"/>
  <c r="R176" i="2"/>
  <c r="V41" i="7"/>
  <c r="V42" i="7"/>
  <c r="V43" i="7"/>
  <c r="V44" i="7"/>
  <c r="S211" i="2"/>
  <c r="S212" i="2" s="1"/>
  <c r="R204" i="2"/>
  <c r="Q204" i="2"/>
  <c r="P204" i="2"/>
  <c r="O204" i="2"/>
  <c r="N204" i="2"/>
  <c r="Q209" i="2"/>
  <c r="R209" i="2"/>
  <c r="M204" i="2"/>
  <c r="Q248" i="2" l="1"/>
  <c r="S248" i="2"/>
  <c r="R248" i="2"/>
  <c r="R211" i="2"/>
  <c r="R212" i="2" s="1"/>
  <c r="R215" i="2"/>
  <c r="Q225" i="2"/>
  <c r="Q211" i="2"/>
  <c r="Q212" i="2" s="1"/>
  <c r="Q243" i="2"/>
  <c r="S225" i="2"/>
  <c r="R224" i="2"/>
  <c r="R249" i="2" s="1"/>
  <c r="S229" i="2"/>
  <c r="Q229" i="2"/>
  <c r="R229" i="2"/>
  <c r="S243" i="2"/>
  <c r="B76" i="5"/>
  <c r="Q250" i="2" l="1"/>
  <c r="Q251" i="2" s="1"/>
  <c r="R243" i="2"/>
  <c r="R250" i="2" s="1"/>
  <c r="R251" i="2" s="1"/>
  <c r="S250" i="2"/>
  <c r="M68" i="2"/>
  <c r="M80" i="2" s="1"/>
  <c r="Q252" i="2" l="1"/>
  <c r="Q253" i="2" s="1"/>
  <c r="R252" i="2"/>
  <c r="R253" i="2" s="1"/>
  <c r="S252" i="2"/>
  <c r="S253" i="2" s="1"/>
  <c r="S251" i="2"/>
  <c r="M52" i="11" l="1"/>
  <c r="Q56" i="10" l="1"/>
  <c r="P125" i="10" l="1"/>
  <c r="P119" i="10"/>
  <c r="U118" i="10"/>
  <c r="P117" i="10"/>
  <c r="P122" i="10" s="1"/>
  <c r="Q72" i="10"/>
  <c r="R72" i="10"/>
  <c r="T72" i="10"/>
  <c r="U72" i="10"/>
  <c r="V72" i="10"/>
  <c r="Q73" i="10"/>
  <c r="R73" i="10"/>
  <c r="T73" i="10"/>
  <c r="U73" i="10"/>
  <c r="F102" i="10" s="1"/>
  <c r="O146" i="10" s="1"/>
  <c r="O154" i="10" s="1"/>
  <c r="V73" i="10"/>
  <c r="Q74" i="10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F99" i="10" l="1"/>
  <c r="O143" i="10" s="1"/>
  <c r="O153" i="10" s="1"/>
  <c r="O181" i="10" s="1"/>
  <c r="V75" i="10"/>
  <c r="U75" i="10"/>
  <c r="Q75" i="10"/>
  <c r="P121" i="10"/>
  <c r="T75" i="10"/>
  <c r="F101" i="10" s="1"/>
  <c r="O145" i="10" s="1"/>
  <c r="O157" i="10" s="1"/>
  <c r="O183" i="10" s="1"/>
  <c r="G35" i="4"/>
  <c r="D54" i="4" a="1"/>
  <c r="D54" i="4" s="1"/>
  <c r="G168" i="4"/>
  <c r="R28" i="10"/>
  <c r="F92" i="10" s="1"/>
  <c r="E90" i="10"/>
  <c r="S29" i="10"/>
  <c r="G93" i="10" s="1"/>
  <c r="R105" i="10"/>
  <c r="R107" i="10" s="1"/>
  <c r="R52" i="10"/>
  <c r="E53" i="10" l="1"/>
  <c r="I66" i="10" l="1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E67" i="10" l="1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F90" i="10" s="1"/>
  <c r="S26" i="10"/>
  <c r="G90" i="10" s="1"/>
  <c r="T26" i="10"/>
  <c r="H90" i="10" s="1"/>
  <c r="U26" i="10"/>
  <c r="I90" i="10" s="1"/>
  <c r="I99" i="10" s="1"/>
  <c r="R143" i="10" s="1"/>
  <c r="Q153" i="10" s="1"/>
  <c r="Q181" i="10" s="1"/>
  <c r="V26" i="10"/>
  <c r="J90" i="10" s="1"/>
  <c r="W26" i="10"/>
  <c r="K90" i="10" s="1"/>
  <c r="R27" i="10"/>
  <c r="F91" i="10" s="1"/>
  <c r="S27" i="10"/>
  <c r="G91" i="10" s="1"/>
  <c r="T27" i="10"/>
  <c r="H91" i="10" s="1"/>
  <c r="U27" i="10"/>
  <c r="I91" i="10" s="1"/>
  <c r="I100" i="10" s="1"/>
  <c r="R144" i="10" s="1"/>
  <c r="V27" i="10"/>
  <c r="J91" i="10" s="1"/>
  <c r="W27" i="10"/>
  <c r="K91" i="10" s="1"/>
  <c r="S28" i="10"/>
  <c r="G92" i="10" s="1"/>
  <c r="T28" i="10"/>
  <c r="H92" i="10" s="1"/>
  <c r="U28" i="10"/>
  <c r="I92" i="10" s="1"/>
  <c r="I101" i="10" s="1"/>
  <c r="V28" i="10"/>
  <c r="J92" i="10" s="1"/>
  <c r="J101" i="10" s="1"/>
  <c r="W28" i="10"/>
  <c r="K92" i="10" s="1"/>
  <c r="R29" i="10"/>
  <c r="F93" i="10" s="1"/>
  <c r="T29" i="10"/>
  <c r="H93" i="10" s="1"/>
  <c r="U29" i="10"/>
  <c r="I93" i="10" s="1"/>
  <c r="V29" i="10"/>
  <c r="J93" i="10" s="1"/>
  <c r="J102" i="10" s="1"/>
  <c r="S146" i="10" s="1"/>
  <c r="R154" i="10" s="1"/>
  <c r="W29" i="10"/>
  <c r="K93" i="10" s="1"/>
  <c r="Q29" i="10"/>
  <c r="E93" i="10" s="1"/>
  <c r="Q28" i="10"/>
  <c r="E92" i="10" s="1"/>
  <c r="Q27" i="10"/>
  <c r="E91" i="10" s="1"/>
  <c r="Q155" i="10" l="1"/>
  <c r="S145" i="10"/>
  <c r="R157" i="10" s="1"/>
  <c r="R183" i="10" s="1"/>
  <c r="R145" i="10"/>
  <c r="Q157" i="10" s="1"/>
  <c r="Q183" i="10" s="1"/>
  <c r="X26" i="10"/>
  <c r="X29" i="10"/>
  <c r="X27" i="10"/>
  <c r="O26" i="10"/>
  <c r="X28" i="10"/>
  <c r="I197" i="4"/>
  <c r="G47" i="7"/>
  <c r="F47" i="7"/>
  <c r="D36" i="10" l="1"/>
  <c r="C44" i="10" s="1"/>
  <c r="E81" i="10" s="1"/>
  <c r="E99" i="10" s="1"/>
  <c r="N143" i="10" s="1"/>
  <c r="N153" i="10" s="1"/>
  <c r="N181" i="10" s="1"/>
  <c r="B77" i="5" l="1"/>
  <c r="B79" i="5" s="1"/>
  <c r="B81" i="5" s="1"/>
  <c r="D15" i="11" l="1"/>
  <c r="E15" i="11"/>
  <c r="C15" i="11"/>
  <c r="D61" i="5" l="1"/>
  <c r="D60" i="5"/>
  <c r="H37" i="10"/>
  <c r="E47" i="10" s="1"/>
  <c r="G84" i="10" s="1"/>
  <c r="G102" i="10" s="1"/>
  <c r="P146" i="10" s="1"/>
  <c r="P154" i="10" s="1"/>
  <c r="H38" i="10"/>
  <c r="H39" i="10"/>
  <c r="H40" i="10"/>
  <c r="H36" i="10"/>
  <c r="C47" i="10" s="1"/>
  <c r="E84" i="10" s="1"/>
  <c r="E102" i="10" s="1"/>
  <c r="N146" i="10" s="1"/>
  <c r="N154" i="10" s="1"/>
  <c r="G36" i="10"/>
  <c r="I36" i="10"/>
  <c r="E103" i="10" s="1"/>
  <c r="G37" i="10"/>
  <c r="E46" i="10" s="1"/>
  <c r="G83" i="10" s="1"/>
  <c r="G101" i="10" s="1"/>
  <c r="P145" i="10" s="1"/>
  <c r="P157" i="10" s="1"/>
  <c r="P183" i="10" s="1"/>
  <c r="I37" i="10"/>
  <c r="G38" i="10"/>
  <c r="I38" i="10"/>
  <c r="F103" i="10" s="1"/>
  <c r="G39" i="10"/>
  <c r="I39" i="10"/>
  <c r="J103" i="10" s="1"/>
  <c r="G40" i="10"/>
  <c r="I40" i="10"/>
  <c r="D37" i="10"/>
  <c r="E44" i="10" s="1"/>
  <c r="G81" i="10" s="1"/>
  <c r="G99" i="10" s="1"/>
  <c r="P143" i="10" s="1"/>
  <c r="P153" i="10" s="1"/>
  <c r="P181" i="10" s="1"/>
  <c r="E37" i="10"/>
  <c r="E45" i="10" s="1"/>
  <c r="G82" i="10" s="1"/>
  <c r="G100" i="10" s="1"/>
  <c r="D38" i="10"/>
  <c r="D44" i="10" s="1"/>
  <c r="F81" i="10" s="1"/>
  <c r="E38" i="10"/>
  <c r="D39" i="10"/>
  <c r="E39" i="10"/>
  <c r="D40" i="10"/>
  <c r="E40" i="10"/>
  <c r="H13" i="10"/>
  <c r="P144" i="10" l="1"/>
  <c r="P155" i="10" s="1"/>
  <c r="N147" i="10"/>
  <c r="N156" i="10" s="1"/>
  <c r="L103" i="10"/>
  <c r="S147" i="10"/>
  <c r="R156" i="10" s="1"/>
  <c r="O147" i="10"/>
  <c r="O156" i="10" s="1"/>
  <c r="D47" i="10"/>
  <c r="F84" i="10" s="1"/>
  <c r="C45" i="10"/>
  <c r="E82" i="10" s="1"/>
  <c r="E100" i="10" s="1"/>
  <c r="N144" i="10" s="1"/>
  <c r="N155" i="10" s="1"/>
  <c r="D46" i="10"/>
  <c r="F83" i="10" s="1"/>
  <c r="D45" i="10"/>
  <c r="F82" i="10" s="1"/>
  <c r="C46" i="10"/>
  <c r="E83" i="10" s="1"/>
  <c r="E101" i="10" s="1"/>
  <c r="H41" i="10"/>
  <c r="I41" i="10"/>
  <c r="D41" i="10"/>
  <c r="G41" i="10"/>
  <c r="E41" i="10"/>
  <c r="U60" i="5"/>
  <c r="N145" i="10" l="1"/>
  <c r="L101" i="10"/>
  <c r="N157" i="10" l="1"/>
  <c r="N183" i="10" s="1"/>
  <c r="E9" i="9"/>
  <c r="E11" i="9" s="1"/>
  <c r="F9" i="9"/>
  <c r="F11" i="9" s="1"/>
  <c r="D9" i="9"/>
  <c r="D11" i="9" s="1"/>
  <c r="H55" i="5"/>
  <c r="I54" i="5" s="1"/>
  <c r="I55" i="5" s="1"/>
  <c r="H54" i="5"/>
  <c r="M146" i="2" l="1"/>
  <c r="M294" i="2"/>
  <c r="Z29" i="10" l="1"/>
  <c r="S192" i="2"/>
  <c r="Q190" i="2"/>
  <c r="N296" i="2"/>
  <c r="U37" i="10" l="1"/>
  <c r="Q37" i="10"/>
  <c r="S37" i="10"/>
  <c r="T37" i="10"/>
  <c r="R37" i="10"/>
  <c r="V37" i="10"/>
  <c r="W37" i="10"/>
  <c r="M291" i="2"/>
  <c r="Q173" i="2"/>
  <c r="Z26" i="10" l="1"/>
  <c r="O296" i="2"/>
  <c r="T34" i="10" l="1"/>
  <c r="U34" i="10"/>
  <c r="Q34" i="10"/>
  <c r="S34" i="10"/>
  <c r="V34" i="10"/>
  <c r="R34" i="10"/>
  <c r="W34" i="10"/>
  <c r="H51" i="5"/>
  <c r="E94" i="4" l="1"/>
  <c r="Q179" i="2" l="1"/>
  <c r="U292" i="2"/>
  <c r="U312" i="2" s="1"/>
  <c r="V312" i="2" s="1"/>
  <c r="W312" i="2" s="1"/>
  <c r="X312" i="2" s="1"/>
  <c r="M295" i="2"/>
  <c r="U294" i="2"/>
  <c r="U314" i="2" s="1"/>
  <c r="V314" i="2" s="1"/>
  <c r="W314" i="2" s="1"/>
  <c r="X314" i="2" s="1"/>
  <c r="T294" i="2"/>
  <c r="T314" i="2" s="1"/>
  <c r="S294" i="2"/>
  <c r="S314" i="2" s="1"/>
  <c r="R294" i="2"/>
  <c r="R314" i="2" s="1"/>
  <c r="Q294" i="2"/>
  <c r="M293" i="2"/>
  <c r="M292" i="2"/>
  <c r="R267" i="2"/>
  <c r="R268" i="2" s="1"/>
  <c r="S267" i="2"/>
  <c r="S268" i="2" s="1"/>
  <c r="R269" i="2"/>
  <c r="T269" i="2" s="1"/>
  <c r="U269" i="2" s="1"/>
  <c r="S269" i="2"/>
  <c r="Q269" i="2"/>
  <c r="Q267" i="2"/>
  <c r="Q268" i="2" s="1"/>
  <c r="S181" i="2"/>
  <c r="S214" i="2" s="1"/>
  <c r="S215" i="2" s="1"/>
  <c r="Q181" i="2"/>
  <c r="Q214" i="2" s="1"/>
  <c r="Q215" i="2" s="1"/>
  <c r="P190" i="2"/>
  <c r="R190" i="2"/>
  <c r="S190" i="2"/>
  <c r="R192" i="2"/>
  <c r="R193" i="2" s="1"/>
  <c r="S193" i="2"/>
  <c r="T283" i="2" s="1"/>
  <c r="Q192" i="2"/>
  <c r="S179" i="2"/>
  <c r="S173" i="2"/>
  <c r="R173" i="2"/>
  <c r="S176" i="2"/>
  <c r="Q176" i="2"/>
  <c r="M65" i="2"/>
  <c r="M77" i="2" s="1"/>
  <c r="M67" i="2"/>
  <c r="M79" i="2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31" i="2"/>
  <c r="I131" i="2"/>
  <c r="J131" i="2"/>
  <c r="K131" i="2"/>
  <c r="L131" i="2"/>
  <c r="M131" i="2"/>
  <c r="N131" i="2"/>
  <c r="O131" i="2"/>
  <c r="P131" i="2"/>
  <c r="G131" i="2"/>
  <c r="H115" i="2"/>
  <c r="H113" i="2" s="1"/>
  <c r="I115" i="2"/>
  <c r="I113" i="2" s="1"/>
  <c r="I125" i="2" s="1"/>
  <c r="J115" i="2"/>
  <c r="J113" i="2" s="1"/>
  <c r="K115" i="2"/>
  <c r="K113" i="2" s="1"/>
  <c r="L115" i="2"/>
  <c r="L113" i="2" s="1"/>
  <c r="M115" i="2"/>
  <c r="M113" i="2" s="1"/>
  <c r="M125" i="2" s="1"/>
  <c r="N115" i="2"/>
  <c r="N113" i="2" s="1"/>
  <c r="O115" i="2"/>
  <c r="O113" i="2" s="1"/>
  <c r="P115" i="2"/>
  <c r="P113" i="2" s="1"/>
  <c r="H117" i="2"/>
  <c r="I117" i="2"/>
  <c r="J117" i="2"/>
  <c r="K117" i="2"/>
  <c r="L117" i="2"/>
  <c r="M117" i="2"/>
  <c r="N117" i="2"/>
  <c r="O117" i="2"/>
  <c r="P117" i="2"/>
  <c r="H118" i="2"/>
  <c r="H114" i="2" s="1"/>
  <c r="I118" i="2"/>
  <c r="I114" i="2" s="1"/>
  <c r="J118" i="2"/>
  <c r="J114" i="2" s="1"/>
  <c r="K118" i="2"/>
  <c r="K114" i="2" s="1"/>
  <c r="L118" i="2"/>
  <c r="L114" i="2" s="1"/>
  <c r="M118" i="2"/>
  <c r="M114" i="2" s="1"/>
  <c r="N118" i="2"/>
  <c r="N114" i="2" s="1"/>
  <c r="O118" i="2"/>
  <c r="O114" i="2" s="1"/>
  <c r="P118" i="2"/>
  <c r="P114" i="2" s="1"/>
  <c r="H119" i="2"/>
  <c r="I119" i="2"/>
  <c r="J119" i="2"/>
  <c r="K119" i="2"/>
  <c r="L119" i="2"/>
  <c r="M119" i="2"/>
  <c r="N119" i="2"/>
  <c r="O119" i="2"/>
  <c r="P119" i="2"/>
  <c r="G119" i="2"/>
  <c r="G115" i="2"/>
  <c r="G113" i="2" s="1"/>
  <c r="G118" i="2"/>
  <c r="G114" i="2" s="1"/>
  <c r="G117" i="2"/>
  <c r="S41" i="7"/>
  <c r="T41" i="7"/>
  <c r="U41" i="7"/>
  <c r="P129" i="2" s="1"/>
  <c r="P130" i="2" s="1"/>
  <c r="P193" i="2" s="1"/>
  <c r="S42" i="7"/>
  <c r="T42" i="7"/>
  <c r="U42" i="7"/>
  <c r="S43" i="7"/>
  <c r="N127" i="2" s="1"/>
  <c r="T43" i="7"/>
  <c r="O127" i="2" s="1"/>
  <c r="U43" i="7"/>
  <c r="P127" i="2" s="1"/>
  <c r="S44" i="7"/>
  <c r="N128" i="2" s="1"/>
  <c r="T44" i="7"/>
  <c r="O128" i="2" s="1"/>
  <c r="U44" i="7"/>
  <c r="P128" i="2" s="1"/>
  <c r="P191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M82" i="2" l="1"/>
  <c r="Z27" i="10"/>
  <c r="Z28" i="10"/>
  <c r="N65" i="2"/>
  <c r="N77" i="2" s="1"/>
  <c r="AT18" i="7"/>
  <c r="N68" i="2"/>
  <c r="N80" i="2" s="1"/>
  <c r="T280" i="2"/>
  <c r="U280" i="2" s="1"/>
  <c r="O11" i="2"/>
  <c r="P11" i="2" s="1"/>
  <c r="N66" i="2"/>
  <c r="N78" i="2" s="1"/>
  <c r="M329" i="2"/>
  <c r="S182" i="2"/>
  <c r="S183" i="2" s="1"/>
  <c r="AT17" i="7"/>
  <c r="T267" i="2"/>
  <c r="U267" i="2" s="1"/>
  <c r="Q182" i="2"/>
  <c r="Q183" i="2" s="1"/>
  <c r="M328" i="2"/>
  <c r="O122" i="2"/>
  <c r="K122" i="2"/>
  <c r="I127" i="2"/>
  <c r="I134" i="2" s="1"/>
  <c r="R182" i="2"/>
  <c r="R183" i="2" s="1"/>
  <c r="P192" i="2"/>
  <c r="P292" i="2" s="1"/>
  <c r="P194" i="2"/>
  <c r="P294" i="2" s="1"/>
  <c r="P122" i="2"/>
  <c r="P125" i="2"/>
  <c r="P134" i="2" s="1"/>
  <c r="M127" i="2"/>
  <c r="M134" i="2" s="1"/>
  <c r="G125" i="2"/>
  <c r="G122" i="2"/>
  <c r="O67" i="2"/>
  <c r="O79" i="2" s="1"/>
  <c r="P16" i="2"/>
  <c r="L122" i="2"/>
  <c r="L125" i="2"/>
  <c r="L127" i="2" s="1"/>
  <c r="L134" i="2" s="1"/>
  <c r="H122" i="2"/>
  <c r="H125" i="2"/>
  <c r="H127" i="2" s="1"/>
  <c r="H134" i="2" s="1"/>
  <c r="N67" i="2"/>
  <c r="N79" i="2" s="1"/>
  <c r="T282" i="2"/>
  <c r="T292" i="2" s="1"/>
  <c r="T312" i="2" s="1"/>
  <c r="O125" i="2"/>
  <c r="O134" i="2" s="1"/>
  <c r="K125" i="2"/>
  <c r="K127" i="2" s="1"/>
  <c r="K134" i="2" s="1"/>
  <c r="N122" i="2"/>
  <c r="J122" i="2"/>
  <c r="N125" i="2"/>
  <c r="N134" i="2" s="1"/>
  <c r="J125" i="2"/>
  <c r="J127" i="2" s="1"/>
  <c r="J134" i="2" s="1"/>
  <c r="Q193" i="2"/>
  <c r="Q292" i="2" s="1"/>
  <c r="S292" i="2"/>
  <c r="S312" i="2" s="1"/>
  <c r="R292" i="2"/>
  <c r="R312" i="2" s="1"/>
  <c r="N64" i="2"/>
  <c r="N76" i="2" s="1"/>
  <c r="O13" i="2"/>
  <c r="O10" i="2"/>
  <c r="O14" i="2"/>
  <c r="I122" i="2"/>
  <c r="M122" i="2"/>
  <c r="M296" i="2"/>
  <c r="AT16" i="7"/>
  <c r="N18" i="7"/>
  <c r="D45" i="7"/>
  <c r="M44" i="5"/>
  <c r="N82" i="2" l="1"/>
  <c r="N295" i="2"/>
  <c r="O295" i="2" s="1"/>
  <c r="R36" i="10"/>
  <c r="W36" i="10"/>
  <c r="Q36" i="10"/>
  <c r="S36" i="10"/>
  <c r="T36" i="10"/>
  <c r="V36" i="10"/>
  <c r="U36" i="10"/>
  <c r="N293" i="2"/>
  <c r="T35" i="10"/>
  <c r="Q35" i="10"/>
  <c r="S35" i="10"/>
  <c r="U35" i="10"/>
  <c r="V35" i="10"/>
  <c r="W35" i="10"/>
  <c r="W38" i="10" s="1"/>
  <c r="R35" i="10"/>
  <c r="N292" i="2"/>
  <c r="M333" i="2"/>
  <c r="N294" i="2"/>
  <c r="N291" i="2"/>
  <c r="AA29" i="10"/>
  <c r="M323" i="2"/>
  <c r="M325" i="2" s="1"/>
  <c r="N69" i="2"/>
  <c r="N322" i="2" s="1"/>
  <c r="O66" i="2"/>
  <c r="O78" i="2" s="1"/>
  <c r="K45" i="5"/>
  <c r="H52" i="5"/>
  <c r="I52" i="5" s="1"/>
  <c r="Q47" i="5"/>
  <c r="Q16" i="2"/>
  <c r="P67" i="2"/>
  <c r="P79" i="2" s="1"/>
  <c r="G127" i="2"/>
  <c r="G134" i="2" s="1"/>
  <c r="P10" i="2"/>
  <c r="O64" i="2"/>
  <c r="O76" i="2" s="1"/>
  <c r="P13" i="2"/>
  <c r="O68" i="2"/>
  <c r="O80" i="2" s="1"/>
  <c r="P14" i="2"/>
  <c r="O65" i="2"/>
  <c r="O77" i="2" s="1"/>
  <c r="Q11" i="2"/>
  <c r="P66" i="2"/>
  <c r="P78" i="2" s="1"/>
  <c r="M165" i="2"/>
  <c r="O147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O82" i="2" l="1"/>
  <c r="P68" i="2"/>
  <c r="P80" i="2" s="1"/>
  <c r="Q13" i="2"/>
  <c r="O38" i="4"/>
  <c r="H116" i="4"/>
  <c r="R38" i="10"/>
  <c r="O291" i="2"/>
  <c r="O293" i="2"/>
  <c r="O294" i="2"/>
  <c r="O292" i="2"/>
  <c r="V38" i="10"/>
  <c r="U38" i="10"/>
  <c r="S38" i="10"/>
  <c r="Q38" i="10"/>
  <c r="T38" i="10"/>
  <c r="E76" i="10"/>
  <c r="I102" i="10" s="1"/>
  <c r="W45" i="10"/>
  <c r="T45" i="10"/>
  <c r="V45" i="10"/>
  <c r="Q45" i="10"/>
  <c r="R45" i="10"/>
  <c r="U45" i="10"/>
  <c r="S45" i="10"/>
  <c r="M330" i="2"/>
  <c r="M331" i="2" s="1"/>
  <c r="F51" i="4" a="1"/>
  <c r="F51" i="4" s="1"/>
  <c r="I50" i="4" a="1"/>
  <c r="I50" i="4" s="1"/>
  <c r="D53" i="4" a="1"/>
  <c r="D53" i="4" s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67" i="2"/>
  <c r="Q79" i="2" s="1"/>
  <c r="R16" i="2"/>
  <c r="O69" i="2"/>
  <c r="O322" i="2" s="1"/>
  <c r="R11" i="2"/>
  <c r="Q66" i="2"/>
  <c r="Q78" i="2" s="1"/>
  <c r="Q14" i="2"/>
  <c r="P65" i="2"/>
  <c r="P77" i="2" s="1"/>
  <c r="Q10" i="2"/>
  <c r="Q189" i="2" s="1"/>
  <c r="Q188" i="2" s="1"/>
  <c r="P64" i="2"/>
  <c r="P76" i="2" s="1"/>
  <c r="M69" i="2"/>
  <c r="M322" i="2" s="1"/>
  <c r="M324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P82" i="2" l="1"/>
  <c r="R13" i="2"/>
  <c r="Q68" i="2"/>
  <c r="Q80" i="2" s="1"/>
  <c r="P188" i="2"/>
  <c r="P291" i="2" s="1"/>
  <c r="Q291" i="2"/>
  <c r="R146" i="10"/>
  <c r="Q154" i="10" s="1"/>
  <c r="F111" i="10"/>
  <c r="H111" i="10"/>
  <c r="J111" i="10"/>
  <c r="G111" i="10"/>
  <c r="E111" i="10"/>
  <c r="K111" i="10"/>
  <c r="Q293" i="2"/>
  <c r="P189" i="2"/>
  <c r="P293" i="2" s="1"/>
  <c r="Q195" i="2"/>
  <c r="Q295" i="2" s="1"/>
  <c r="J214" i="4"/>
  <c r="G167" i="4"/>
  <c r="G131" i="4"/>
  <c r="J218" i="4"/>
  <c r="J217" i="4"/>
  <c r="J215" i="4"/>
  <c r="J216" i="4"/>
  <c r="J213" i="4"/>
  <c r="J121" i="4"/>
  <c r="G214" i="4"/>
  <c r="G213" i="4"/>
  <c r="G166" i="4"/>
  <c r="J53" i="4"/>
  <c r="R67" i="2"/>
  <c r="S16" i="2"/>
  <c r="P69" i="2"/>
  <c r="P322" i="2" s="1"/>
  <c r="R14" i="2"/>
  <c r="Q65" i="2"/>
  <c r="Q77" i="2" s="1"/>
  <c r="R10" i="2"/>
  <c r="Q64" i="2"/>
  <c r="Q76" i="2" s="1"/>
  <c r="S11" i="2"/>
  <c r="R66" i="2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Q82" i="2" l="1"/>
  <c r="R79" i="2"/>
  <c r="R78" i="2"/>
  <c r="I111" i="10"/>
  <c r="S13" i="2"/>
  <c r="R68" i="2"/>
  <c r="R80" i="2" s="1"/>
  <c r="R189" i="2"/>
  <c r="R188" i="2" s="1"/>
  <c r="R195" i="2" s="1"/>
  <c r="L102" i="10"/>
  <c r="I39" i="4"/>
  <c r="I114" i="4" s="1"/>
  <c r="G171" i="4"/>
  <c r="P195" i="2"/>
  <c r="I171" i="4"/>
  <c r="K217" i="4"/>
  <c r="E39" i="4"/>
  <c r="E116" i="4" s="1"/>
  <c r="T16" i="2"/>
  <c r="S67" i="2"/>
  <c r="S79" i="2" s="1"/>
  <c r="Q69" i="2"/>
  <c r="Q322" i="2" s="1"/>
  <c r="S10" i="2"/>
  <c r="S189" i="2" s="1"/>
  <c r="T279" i="2" s="1"/>
  <c r="U279" i="2" s="1"/>
  <c r="R64" i="2"/>
  <c r="R76" i="2" s="1"/>
  <c r="T11" i="2"/>
  <c r="S66" i="2"/>
  <c r="S78" i="2" s="1"/>
  <c r="S14" i="2"/>
  <c r="R65" i="2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7" i="2" l="1"/>
  <c r="T13" i="2"/>
  <c r="S68" i="2"/>
  <c r="S80" i="2" s="1"/>
  <c r="R75" i="10"/>
  <c r="F100" i="10"/>
  <c r="O144" i="10" s="1"/>
  <c r="O155" i="10" s="1"/>
  <c r="R293" i="2"/>
  <c r="R313" i="2" s="1"/>
  <c r="S188" i="2"/>
  <c r="S293" i="2"/>
  <c r="S313" i="2" s="1"/>
  <c r="I107" i="4"/>
  <c r="I116" i="4"/>
  <c r="I145" i="4"/>
  <c r="I109" i="4"/>
  <c r="I112" i="4"/>
  <c r="R291" i="2"/>
  <c r="R311" i="2" s="1"/>
  <c r="R295" i="2"/>
  <c r="R315" i="2" s="1"/>
  <c r="I106" i="4"/>
  <c r="Q328" i="2"/>
  <c r="Q296" i="2"/>
  <c r="E113" i="4"/>
  <c r="I110" i="4"/>
  <c r="P295" i="2"/>
  <c r="Q329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67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T67" i="2"/>
  <c r="T79" i="2" s="1"/>
  <c r="R69" i="2"/>
  <c r="R322" i="2" s="1"/>
  <c r="U11" i="2"/>
  <c r="U66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T66" i="2"/>
  <c r="T78" i="2" s="1"/>
  <c r="T14" i="2"/>
  <c r="S65" i="2"/>
  <c r="S77" i="2" s="1"/>
  <c r="T10" i="2"/>
  <c r="S64" i="2"/>
  <c r="S76" i="2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R317" i="2" l="1"/>
  <c r="R82" i="2"/>
  <c r="S82" i="2"/>
  <c r="Q333" i="2"/>
  <c r="AA28" i="10"/>
  <c r="U44" i="10" s="1"/>
  <c r="U13" i="2"/>
  <c r="U68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T68" i="2"/>
  <c r="T80" i="2" s="1"/>
  <c r="I117" i="4"/>
  <c r="I126" i="4" s="1"/>
  <c r="I127" i="4" s="1"/>
  <c r="I138" i="4" s="1"/>
  <c r="AA27" i="10"/>
  <c r="R43" i="10" s="1"/>
  <c r="T278" i="2"/>
  <c r="U278" i="2" s="1"/>
  <c r="S195" i="2"/>
  <c r="AA26" i="10"/>
  <c r="Q323" i="2"/>
  <c r="Q330" i="2" s="1"/>
  <c r="Q331" i="2" s="1"/>
  <c r="R329" i="2"/>
  <c r="R328" i="2"/>
  <c r="R296" i="2"/>
  <c r="P328" i="2"/>
  <c r="P296" i="2"/>
  <c r="U293" i="2"/>
  <c r="U313" i="2" s="1"/>
  <c r="T293" i="2"/>
  <c r="T313" i="2" s="1"/>
  <c r="P329" i="2"/>
  <c r="E117" i="4"/>
  <c r="E126" i="4" s="1"/>
  <c r="E127" i="4" s="1"/>
  <c r="E138" i="4" s="1"/>
  <c r="S291" i="2"/>
  <c r="S311" i="2" s="1"/>
  <c r="J116" i="4"/>
  <c r="G117" i="4"/>
  <c r="J109" i="4"/>
  <c r="U14" i="2"/>
  <c r="U65" i="2" s="1"/>
  <c r="T65" i="2"/>
  <c r="T77" i="2" s="1"/>
  <c r="S69" i="2"/>
  <c r="S322" i="2" s="1"/>
  <c r="U10" i="2"/>
  <c r="U64" i="2" s="1"/>
  <c r="T64" i="2"/>
  <c r="T76" i="2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T82" i="2" l="1"/>
  <c r="U76" i="2"/>
  <c r="U77" i="2"/>
  <c r="V77" i="2" s="1"/>
  <c r="W77" i="2" s="1"/>
  <c r="X77" i="2" s="1"/>
  <c r="Y77" i="2" s="1"/>
  <c r="Z77" i="2" s="1"/>
  <c r="AA77" i="2" s="1"/>
  <c r="AB77" i="2" s="1"/>
  <c r="AC77" i="2" s="1"/>
  <c r="E75" i="10"/>
  <c r="J110" i="10" s="1"/>
  <c r="R111" i="10" s="1"/>
  <c r="S44" i="10"/>
  <c r="V44" i="10"/>
  <c r="Q44" i="10"/>
  <c r="T44" i="10"/>
  <c r="R44" i="10"/>
  <c r="W44" i="10"/>
  <c r="P333" i="2"/>
  <c r="R333" i="2"/>
  <c r="R305" i="2"/>
  <c r="G126" i="4"/>
  <c r="G127" i="4" s="1"/>
  <c r="G138" i="4" s="1"/>
  <c r="W43" i="10"/>
  <c r="S43" i="10"/>
  <c r="T43" i="10"/>
  <c r="E74" i="10"/>
  <c r="F109" i="10" s="1"/>
  <c r="U43" i="10"/>
  <c r="Q43" i="10"/>
  <c r="V43" i="10"/>
  <c r="E73" i="10"/>
  <c r="V42" i="10"/>
  <c r="U42" i="10"/>
  <c r="S42" i="10"/>
  <c r="W42" i="10"/>
  <c r="R42" i="10"/>
  <c r="Q42" i="10"/>
  <c r="T42" i="10"/>
  <c r="K110" i="10"/>
  <c r="P323" i="2"/>
  <c r="P330" i="2" s="1"/>
  <c r="P331" i="2" s="1"/>
  <c r="S295" i="2"/>
  <c r="S315" i="2" s="1"/>
  <c r="S317" i="2" s="1"/>
  <c r="T285" i="2"/>
  <c r="U285" i="2" s="1"/>
  <c r="R323" i="2"/>
  <c r="R325" i="2" s="1"/>
  <c r="Q325" i="2"/>
  <c r="Q324" i="2"/>
  <c r="S328" i="2"/>
  <c r="T291" i="2"/>
  <c r="T311" i="2" s="1"/>
  <c r="U69" i="2"/>
  <c r="U322" i="2" s="1"/>
  <c r="T69" i="2"/>
  <c r="T322" i="2" s="1"/>
  <c r="N147" i="4"/>
  <c r="N151" i="4" s="1"/>
  <c r="J151" i="4"/>
  <c r="J117" i="4"/>
  <c r="D126" i="4"/>
  <c r="D127" i="4" s="1"/>
  <c r="D130" i="4" s="1"/>
  <c r="E130" i="4"/>
  <c r="AD77" i="2" l="1"/>
  <c r="AE77" i="2" s="1"/>
  <c r="AF77" i="2" s="1"/>
  <c r="AG77" i="2" s="1"/>
  <c r="AH77" i="2" s="1"/>
  <c r="AC82" i="2"/>
  <c r="U82" i="2"/>
  <c r="V76" i="2"/>
  <c r="H110" i="10"/>
  <c r="I110" i="10"/>
  <c r="F110" i="10"/>
  <c r="P123" i="10" s="1"/>
  <c r="P124" i="10" s="1"/>
  <c r="G110" i="10"/>
  <c r="E110" i="10"/>
  <c r="R46" i="10"/>
  <c r="R50" i="10" s="1"/>
  <c r="T295" i="2"/>
  <c r="T315" i="2" s="1"/>
  <c r="T317" i="2" s="1"/>
  <c r="S46" i="10"/>
  <c r="R112" i="10"/>
  <c r="R113" i="10" s="1"/>
  <c r="J99" i="10" s="1"/>
  <c r="G73" i="10"/>
  <c r="G74" i="10" s="1"/>
  <c r="E168" i="4"/>
  <c r="E186" i="4"/>
  <c r="E189" i="4"/>
  <c r="E188" i="4"/>
  <c r="E185" i="4"/>
  <c r="E187" i="4"/>
  <c r="T46" i="10"/>
  <c r="I109" i="10"/>
  <c r="H109" i="10"/>
  <c r="P324" i="2"/>
  <c r="E109" i="10"/>
  <c r="P325" i="2"/>
  <c r="K109" i="10"/>
  <c r="U46" i="10"/>
  <c r="G109" i="10"/>
  <c r="V46" i="10"/>
  <c r="Q46" i="10"/>
  <c r="R53" i="10" s="1"/>
  <c r="W46" i="10"/>
  <c r="U119" i="10"/>
  <c r="I108" i="10"/>
  <c r="E108" i="10"/>
  <c r="F108" i="10"/>
  <c r="H108" i="10"/>
  <c r="G108" i="10"/>
  <c r="K108" i="10"/>
  <c r="D185" i="4"/>
  <c r="C62" i="10" s="1"/>
  <c r="C68" i="10" s="1"/>
  <c r="D189" i="4"/>
  <c r="D187" i="4"/>
  <c r="D188" i="4"/>
  <c r="D186" i="4"/>
  <c r="D62" i="10" s="1"/>
  <c r="S296" i="2"/>
  <c r="R330" i="2"/>
  <c r="R331" i="2" s="1"/>
  <c r="S329" i="2"/>
  <c r="R324" i="2"/>
  <c r="D131" i="4"/>
  <c r="J131" i="4" s="1"/>
  <c r="D138" i="4"/>
  <c r="U295" i="2"/>
  <c r="U315" i="2" s="1"/>
  <c r="U291" i="2"/>
  <c r="U311" i="2" s="1"/>
  <c r="T328" i="2"/>
  <c r="J126" i="4"/>
  <c r="E167" i="4"/>
  <c r="E170" i="4"/>
  <c r="E169" i="4"/>
  <c r="E166" i="4"/>
  <c r="E131" i="4"/>
  <c r="U317" i="2" l="1"/>
  <c r="J108" i="10"/>
  <c r="S143" i="10"/>
  <c r="F113" i="10"/>
  <c r="F114" i="10" s="1"/>
  <c r="S97" i="10" s="1"/>
  <c r="U97" i="10" s="1"/>
  <c r="V97" i="10" s="1"/>
  <c r="V82" i="2"/>
  <c r="W76" i="2"/>
  <c r="T329" i="2"/>
  <c r="T296" i="2"/>
  <c r="T333" i="2" s="1"/>
  <c r="K113" i="10"/>
  <c r="K114" i="10" s="1"/>
  <c r="T305" i="2"/>
  <c r="S333" i="2"/>
  <c r="S305" i="2"/>
  <c r="I113" i="10"/>
  <c r="I114" i="10" s="1"/>
  <c r="H113" i="10"/>
  <c r="H114" i="10" s="1"/>
  <c r="J100" i="10"/>
  <c r="S144" i="10" s="1"/>
  <c r="R155" i="10" s="1"/>
  <c r="L99" i="10"/>
  <c r="E113" i="10"/>
  <c r="E114" i="10" s="1"/>
  <c r="S100" i="10" s="1"/>
  <c r="U100" i="10" s="1"/>
  <c r="V100" i="10" s="1"/>
  <c r="G113" i="10"/>
  <c r="G114" i="10" s="1"/>
  <c r="S323" i="2"/>
  <c r="S330" i="2" s="1"/>
  <c r="S331" i="2" s="1"/>
  <c r="E62" i="10"/>
  <c r="D68" i="10"/>
  <c r="E68" i="10" s="1"/>
  <c r="T323" i="2"/>
  <c r="T325" i="2" s="1"/>
  <c r="U329" i="2"/>
  <c r="D169" i="4"/>
  <c r="U296" i="2"/>
  <c r="U328" i="2"/>
  <c r="E171" i="4"/>
  <c r="J132" i="4"/>
  <c r="J127" i="4"/>
  <c r="G132" i="4"/>
  <c r="H132" i="4"/>
  <c r="E132" i="4"/>
  <c r="I132" i="4"/>
  <c r="D132" i="4"/>
  <c r="R153" i="10" l="1"/>
  <c r="R181" i="10" s="1"/>
  <c r="X76" i="2"/>
  <c r="W82" i="2"/>
  <c r="U305" i="2"/>
  <c r="L100" i="10"/>
  <c r="J109" i="10"/>
  <c r="J113" i="10" s="1"/>
  <c r="J114" i="10" s="1"/>
  <c r="S109" i="10" s="1"/>
  <c r="U109" i="10" s="1"/>
  <c r="V109" i="10" s="1"/>
  <c r="S325" i="2"/>
  <c r="S324" i="2"/>
  <c r="G115" i="10"/>
  <c r="S107" i="10" s="1"/>
  <c r="U107" i="10" s="1"/>
  <c r="V107" i="10" s="1"/>
  <c r="T330" i="2"/>
  <c r="T331" i="2" s="1"/>
  <c r="U333" i="2"/>
  <c r="T324" i="2"/>
  <c r="U323" i="2"/>
  <c r="U325" i="2" s="1"/>
  <c r="J138" i="4"/>
  <c r="J130" i="4"/>
  <c r="D170" i="4"/>
  <c r="J170" i="4" s="1"/>
  <c r="D166" i="4"/>
  <c r="D167" i="4"/>
  <c r="J167" i="4" s="1"/>
  <c r="J169" i="4"/>
  <c r="D168" i="4"/>
  <c r="J168" i="4" s="1"/>
  <c r="Y76" i="2" l="1"/>
  <c r="X82" i="2"/>
  <c r="J186" i="4"/>
  <c r="J189" i="4"/>
  <c r="J188" i="4"/>
  <c r="J185" i="4"/>
  <c r="J187" i="4"/>
  <c r="U330" i="2"/>
  <c r="U331" i="2" s="1"/>
  <c r="U324" i="2"/>
  <c r="D171" i="4"/>
  <c r="J171" i="4" s="1"/>
  <c r="J166" i="4"/>
  <c r="Z76" i="2" l="1"/>
  <c r="Y82" i="2"/>
  <c r="P147" i="2"/>
  <c r="N147" i="2"/>
  <c r="M147" i="2"/>
  <c r="P146" i="2"/>
  <c r="O146" i="2"/>
  <c r="N146" i="2"/>
  <c r="P94" i="2"/>
  <c r="P97" i="2" s="1"/>
  <c r="O94" i="2"/>
  <c r="O97" i="2" s="1"/>
  <c r="N94" i="2"/>
  <c r="N97" i="2" s="1"/>
  <c r="M94" i="2"/>
  <c r="M97" i="2" s="1"/>
  <c r="L94" i="2"/>
  <c r="L97" i="2" s="1"/>
  <c r="K94" i="2"/>
  <c r="K97" i="2" s="1"/>
  <c r="J94" i="2"/>
  <c r="J97" i="2" s="1"/>
  <c r="I94" i="2"/>
  <c r="I97" i="2" s="1"/>
  <c r="H94" i="2"/>
  <c r="H97" i="2" s="1"/>
  <c r="G94" i="2"/>
  <c r="G97" i="2" s="1"/>
  <c r="P105" i="2"/>
  <c r="O105" i="2"/>
  <c r="N105" i="2"/>
  <c r="M105" i="2"/>
  <c r="L105" i="2"/>
  <c r="K105" i="2"/>
  <c r="J105" i="2"/>
  <c r="I105" i="2"/>
  <c r="H105" i="2"/>
  <c r="G105" i="2"/>
  <c r="P101" i="2"/>
  <c r="O101" i="2"/>
  <c r="N101" i="2"/>
  <c r="M101" i="2"/>
  <c r="L101" i="2"/>
  <c r="K101" i="2"/>
  <c r="J101" i="2"/>
  <c r="I101" i="2"/>
  <c r="H101" i="2"/>
  <c r="G101" i="2"/>
  <c r="AA76" i="2" l="1"/>
  <c r="Z82" i="2"/>
  <c r="M107" i="2"/>
  <c r="M108" i="2" s="1"/>
  <c r="G107" i="2"/>
  <c r="G108" i="2" s="1"/>
  <c r="J107" i="2"/>
  <c r="J108" i="2" s="1"/>
  <c r="N107" i="2"/>
  <c r="N108" i="2" s="1"/>
  <c r="K107" i="2"/>
  <c r="K108" i="2" s="1"/>
  <c r="O107" i="2"/>
  <c r="O108" i="2" s="1"/>
  <c r="H107" i="2"/>
  <c r="H108" i="2" s="1"/>
  <c r="L107" i="2"/>
  <c r="L108" i="2" s="1"/>
  <c r="P107" i="2"/>
  <c r="P108" i="2" s="1"/>
  <c r="I107" i="2"/>
  <c r="I108" i="2" s="1"/>
  <c r="AB76" i="2" l="1"/>
  <c r="AA82" i="2"/>
  <c r="AD76" i="2" l="1"/>
  <c r="AB82" i="2"/>
  <c r="AE76" i="2" l="1"/>
  <c r="AD82" i="2"/>
  <c r="AF76" i="2" l="1"/>
  <c r="AE82" i="2"/>
  <c r="AG76" i="2" l="1"/>
  <c r="AF82" i="2"/>
  <c r="AH76" i="2" l="1"/>
  <c r="AH82" i="2" s="1"/>
  <c r="AG8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3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3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3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3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3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<sst xmlns="http://schemas.openxmlformats.org/spreadsheetml/2006/main" count="3414" uniqueCount="1282">
  <si>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</si>
  <si>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</si>
  <si>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</si>
  <si>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</si>
  <si>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</si>
  <si>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</si>
  <si>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</si>
  <si>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</si>
  <si>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</si>
  <si>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</si>
  <si>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</si>
  <si>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</si>
  <si>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</si>
  <si>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</si>
  <si>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</si>
  <si>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</si>
  <si>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</si>
  <si>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</si>
  <si>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</si>
  <si>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</si>
  <si>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</si>
  <si>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</si>
  <si>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</si>
  <si>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</si>
  <si>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</si>
  <si>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</si>
  <si>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</si>
  <si>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</si>
  <si>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</si>
  <si>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</si>
  <si>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</si>
  <si>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</si>
  <si>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</si>
  <si>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</si>
  <si>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</si>
  <si>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</si>
  <si>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</si>
  <si>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</si>
  <si>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</si>
  <si>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IISSSC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</si>
  <si>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</si>
  <si>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</si>
  <si>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</si>
  <si>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</si>
  <si>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</si>
  <si>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</si>
  <si>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</si>
  <si>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</si>
  <si>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</si>
  <si>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</si>
  <si>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</si>
  <si>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</si>
  <si>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</si>
  <si>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</si>
  <si>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</si>
  <si>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</si>
  <si>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</si>
  <si>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</si>
  <si>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</si>
  <si>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</si>
  <si>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</si>
  <si>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</si>
  <si>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</si>
  <si>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</si>
  <si>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</si>
  <si>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</si>
  <si>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</si>
  <si>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</si>
  <si>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</si>
  <si>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</si>
  <si>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</si>
  <si>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</si>
  <si>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</si>
  <si>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</si>
  <si>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</si>
  <si>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</si>
  <si>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</si>
  <si>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</si>
  <si>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</si>
  <si>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</si>
  <si>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</si>
  <si>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</si>
  <si>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</si>
  <si>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</si>
  <si>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</si>
  <si>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</si>
  <si>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</si>
  <si>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</si>
  <si>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</si>
  <si>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</si>
  <si>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</si>
  <si>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</si>
  <si>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</si>
  <si>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</si>
  <si>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</si>
  <si>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</si>
  <si>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</si>
  <si>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</si>
  <si>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</si>
  <si>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</si>
  <si>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</si>
  <si>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</si>
  <si>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</si>
  <si>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</si>
  <si>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</si>
  <si>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</si>
  <si>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</si>
  <si>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</si>
  <si>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</si>
  <si>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</si>
  <si>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</si>
  <si>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</si>
  <si>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</si>
  <si>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</si>
  <si>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</si>
  <si>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</si>
  <si>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</si>
  <si>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</si>
  <si>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</si>
  <si>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</si>
  <si>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</si>
  <si>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</si>
  <si>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</si>
  <si>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</si>
  <si>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</si>
  <si>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</si>
  <si>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</si>
  <si>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</si>
  <si>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</si>
  <si>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</si>
  <si>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</si>
  <si>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</si>
  <si>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</si>
  <si>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</si>
  <si>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</si>
  <si>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</si>
  <si>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</si>
  <si>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</si>
  <si>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</si>
  <si>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</si>
  <si>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</si>
  <si>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</si>
  <si>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</si>
  <si>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</si>
  <si>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</si>
  <si>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</si>
  <si>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</si>
  <si>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</si>
  <si>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</si>
  <si>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</si>
  <si>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</si>
  <si>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</si>
  <si>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</si>
  <si>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</si>
  <si>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</si>
  <si>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</si>
  <si>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</si>
  <si>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</si>
  <si>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</si>
  <si>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</si>
  <si>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</si>
  <si>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</si>
  <si>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</si>
  <si>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</si>
  <si>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</si>
  <si>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</si>
  <si>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</si>
  <si>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</si>
  <si>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</si>
  <si>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</si>
  <si>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</si>
  <si>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</si>
  <si>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</si>
  <si>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</si>
  <si>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</si>
  <si>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</si>
  <si>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</si>
  <si>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</si>
  <si>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</si>
  <si>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</si>
  <si>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</si>
  <si>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</si>
  <si>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</si>
  <si>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</si>
  <si>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</si>
  <si>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</si>
  <si>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</si>
  <si>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</si>
  <si>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</si>
  <si>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</si>
  <si>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</si>
  <si>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</si>
  <si>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</si>
  <si>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</si>
  <si>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</si>
  <si>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</si>
  <si>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</si>
  <si>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</si>
  <si>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</si>
  <si>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</si>
  <si>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</si>
  <si>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</si>
  <si>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</si>
  <si>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</si>
  <si>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</si>
  <si>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</si>
  <si>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</si>
  <si>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</si>
  <si>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</si>
  <si>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</si>
  <si>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</si>
  <si>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</si>
  <si>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</si>
  <si>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</si>
  <si>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</si>
  <si>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</si>
  <si>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</si>
  <si>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</si>
  <si>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</si>
  <si>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</si>
  <si>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</si>
  <si>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</si>
  <si>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</si>
  <si>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</si>
  <si>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</si>
  <si>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</si>
  <si>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</si>
  <si>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</si>
  <si>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</si>
  <si>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</si>
  <si>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</si>
  <si>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</si>
  <si>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</si>
  <si>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</si>
  <si>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</si>
  <si>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</si>
  <si>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</si>
  <si>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</si>
  <si>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</si>
  <si>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</si>
  <si>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</si>
  <si>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</si>
  <si>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</si>
  <si>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</si>
  <si>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</si>
  <si>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</si>
  <si>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</si>
  <si>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</si>
  <si>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</si>
  <si>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</si>
  <si>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</si>
  <si>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</si>
  <si>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</si>
  <si>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</si>
  <si>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</si>
  <si>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</si>
  <si>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</si>
  <si>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</si>
  <si>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</si>
  <si>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</si>
  <si>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</si>
  <si>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</si>
  <si>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</si>
  <si>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</si>
  <si>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</si>
  <si>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</si>
  <si>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</si>
  <si>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</si>
  <si>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</si>
  <si>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</si>
  <si>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</si>
  <si>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</si>
  <si>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</si>
  <si>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</si>
  <si>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</si>
  <si>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</si>
  <si>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</si>
  <si>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</si>
  <si>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</si>
  <si>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</si>
  <si>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</si>
  <si>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</si>
  <si>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</si>
  <si>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</si>
  <si>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</si>
  <si>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</si>
  <si>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</si>
  <si>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</si>
  <si>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</si>
  <si>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</si>
  <si>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</si>
  <si>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</si>
  <si>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</si>
  <si>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</si>
  <si>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</si>
  <si>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</si>
  <si>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</si>
  <si>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</si>
  <si>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</si>
  <si>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</si>
  <si>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</si>
  <si>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</si>
  <si>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</si>
  <si>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</si>
  <si>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</si>
  <si>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</si>
  <si>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</si>
  <si>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</si>
  <si>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</si>
  <si>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</si>
  <si>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</si>
  <si>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</si>
  <si>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</si>
  <si>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</si>
  <si>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</si>
  <si>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</si>
  <si>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</si>
  <si>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</si>
  <si>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</si>
  <si>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</si>
  <si>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Diesel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</si>
  <si>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</si>
  <si>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</si>
  <si>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</si>
  <si>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</si>
  <si>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</si>
  <si>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</si>
  <si>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</si>
  <si>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</si>
  <si>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</si>
  <si>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</si>
  <si>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</si>
  <si>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</si>
  <si>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</si>
  <si>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</si>
  <si>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</si>
  <si>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</si>
  <si>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</si>
  <si>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</si>
  <si>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</si>
  <si>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</si>
  <si>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</si>
  <si>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</si>
  <si>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</si>
  <si>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</si>
  <si>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</si>
  <si>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</si>
  <si>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</si>
  <si>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</si>
  <si>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</si>
  <si>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</si>
  <si>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</si>
  <si>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</si>
  <si>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</si>
  <si>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</si>
  <si>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</si>
  <si>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</si>
  <si>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</si>
  <si>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</si>
  <si>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</si>
  <si>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</si>
  <si>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</si>
  <si>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</si>
  <si>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</si>
  <si>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</si>
  <si>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</si>
  <si>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</si>
  <si>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</si>
  <si>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</si>
  <si>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</si>
  <si>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</si>
  <si>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</si>
  <si>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</si>
  <si>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</si>
  <si>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</si>
  <si>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</si>
  <si>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</si>
  <si>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</si>
  <si>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</si>
  <si>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</si>
  <si>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</si>
  <si>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</si>
  <si>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</si>
  <si>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</si>
  <si>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</si>
  <si>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</si>
  <si>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</si>
  <si>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</si>
  <si>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</si>
  <si>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</si>
  <si>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</si>
  <si>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</si>
  <si>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</si>
  <si>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</si>
  <si>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</si>
  <si>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</si>
  <si>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</si>
  <si>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</si>
  <si>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</si>
  <si>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</si>
  <si>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</si>
  <si>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</si>
  <si>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</si>
  <si>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</si>
  <si>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</si>
  <si>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</si>
  <si>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</si>
  <si>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</si>
  <si>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</si>
  <si>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</si>
  <si>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</si>
  <si>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</si>
  <si>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</si>
  <si>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</si>
  <si>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</si>
  <si>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</si>
  <si>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</si>
  <si>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</si>
  <si>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</si>
  <si>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</si>
  <si>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</si>
  <si>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</si>
  <si>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</si>
  <si>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</si>
  <si>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</si>
  <si>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</si>
  <si>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</si>
  <si>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</si>
  <si>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</si>
  <si>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</si>
  <si>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</si>
  <si>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</si>
  <si>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</si>
  <si>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</si>
  <si>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</si>
  <si>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</si>
  <si>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</si>
  <si>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</si>
  <si>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</si>
  <si>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</si>
  <si>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</si>
  <si>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</si>
  <si>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</si>
  <si>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</si>
  <si>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</si>
  <si>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</si>
  <si>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</si>
  <si>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</si>
  <si>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</si>
  <si>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</si>
  <si>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</si>
  <si>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</si>
  <si>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</si>
  <si>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</si>
  <si>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</si>
  <si>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</si>
  <si>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</si>
  <si>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</si>
  <si>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</si>
  <si>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</si>
  <si>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</si>
  <si>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</si>
  <si>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</si>
  <si>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</si>
  <si>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</si>
  <si>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</si>
  <si>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</si>
  <si>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</si>
  <si>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</si>
  <si>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</si>
  <si>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</si>
  <si>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</si>
  <si>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</si>
  <si>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</si>
  <si>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</si>
  <si>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</si>
  <si>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</si>
  <si>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</si>
  <si>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</si>
  <si>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</si>
  <si>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</si>
  <si>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</si>
  <si>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</si>
  <si>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</si>
  <si>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</si>
  <si>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</si>
  <si>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</si>
  <si>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</si>
  <si>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</si>
  <si>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</si>
  <si>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</si>
  <si>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</si>
  <si>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</si>
  <si>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</si>
  <si>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</si>
  <si>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</si>
  <si>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</si>
  <si>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</si>
  <si>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</si>
  <si>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</si>
  <si>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</si>
  <si>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</si>
  <si>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</si>
  <si>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</si>
  <si>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</si>
  <si>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</si>
  <si>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Residual Capacity - Mt</t>
  </si>
  <si>
    <t>Assumptions on lifespan --&gt;</t>
  </si>
  <si>
    <t>Scrap Ratio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</si>
  <si>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</si>
  <si>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</si>
  <si>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</si>
  <si>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</si>
  <si>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</si>
  <si>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</si>
  <si>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</si>
  <si>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</si>
  <si>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</si>
  <si>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</si>
  <si>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</si>
  <si>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</si>
  <si>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</si>
  <si>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</si>
  <si>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</si>
  <si>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</si>
  <si>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</si>
  <si>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</si>
  <si>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</si>
  <si>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</si>
  <si>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</si>
  <si>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</si>
  <si>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</si>
  <si>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</si>
  <si>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</si>
  <si>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</si>
  <si>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</si>
  <si>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</si>
  <si>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</si>
  <si>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</si>
  <si>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</si>
  <si>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</si>
  <si>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</si>
  <si>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</si>
  <si>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</si>
  <si>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</si>
  <si>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</si>
  <si>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</si>
  <si>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</si>
  <si>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</si>
  <si>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</si>
  <si>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</si>
  <si>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</si>
  <si>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</si>
  <si>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</si>
  <si>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</si>
  <si>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</si>
  <si>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</si>
  <si>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</si>
  <si>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</si>
  <si>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</si>
  <si>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</si>
  <si>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</si>
  <si>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</si>
  <si>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</si>
  <si>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</si>
  <si>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</si>
  <si>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</si>
  <si>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</si>
  <si>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</si>
  <si>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</si>
  <si>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</si>
  <si>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</si>
  <si>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</si>
  <si>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</si>
  <si>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</si>
  <si>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</si>
  <si>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</si>
  <si>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</si>
  <si>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</si>
  <si>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</si>
  <si>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</si>
  <si>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</si>
  <si>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</si>
  <si>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</si>
  <si>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</si>
  <si>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</si>
  <si>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</si>
  <si>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</si>
  <si>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</si>
  <si>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</si>
  <si>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</si>
  <si>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</si>
  <si>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</si>
  <si>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</si>
  <si>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</si>
  <si>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</si>
  <si>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</si>
  <si>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</si>
  <si>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</si>
  <si>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</si>
  <si>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</si>
  <si>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</si>
  <si>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</si>
  <si>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</si>
  <si>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</si>
  <si>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</si>
  <si>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</si>
  <si>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</si>
  <si>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</si>
  <si>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</si>
  <si>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</si>
  <si>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</si>
  <si>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</si>
  <si>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</si>
  <si>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</si>
  <si>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</si>
  <si>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</si>
  <si>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</si>
  <si>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</si>
  <si>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</si>
  <si>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</si>
  <si>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</si>
  <si>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</si>
  <si>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</si>
  <si>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</si>
  <si>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</si>
  <si>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</si>
  <si>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</si>
  <si>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</si>
  <si>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</si>
  <si>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</si>
  <si>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</si>
  <si>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</si>
  <si>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</si>
  <si>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</si>
  <si>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</si>
  <si>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</si>
  <si>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</si>
  <si>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</si>
  <si>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</si>
  <si>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</si>
  <si>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</si>
  <si>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</si>
  <si>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</si>
  <si>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</si>
  <si>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</si>
  <si>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</si>
  <si>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</si>
  <si>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</si>
  <si>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</si>
  <si>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</si>
  <si>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</si>
  <si>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</si>
  <si>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</si>
  <si>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</si>
  <si>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</si>
  <si>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</si>
  <si>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</si>
  <si>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</si>
  <si>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</si>
  <si>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</si>
  <si>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</si>
  <si>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</si>
  <si>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</si>
  <si>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</si>
  <si>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</si>
  <si>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</si>
  <si>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</si>
  <si>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</si>
  <si>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</si>
  <si>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</si>
  <si>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</si>
  <si>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</si>
  <si>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</si>
  <si>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</si>
  <si>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</si>
  <si>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</si>
  <si>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</si>
  <si>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</si>
  <si>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</si>
  <si>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</si>
  <si>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</si>
  <si>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</si>
  <si>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</si>
  <si>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</si>
  <si>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</si>
  <si>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</si>
  <si>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</si>
  <si>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</si>
  <si>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</si>
  <si>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</si>
  <si>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</si>
  <si>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</si>
  <si>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</si>
  <si>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</si>
  <si>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</si>
  <si>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</si>
  <si>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</si>
  <si>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</si>
  <si>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</si>
  <si>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</si>
  <si>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</si>
  <si>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Total opex (2010ZAR/t)</t>
  </si>
  <si>
    <t xml:space="preserve">1 2010 ZAR = </t>
  </si>
  <si>
    <t>2015 ZAR</t>
  </si>
  <si>
    <t>less iron ore</t>
  </si>
  <si>
    <t>Updated to 2015 ZAR and exlucding iron ore cost</t>
  </si>
  <si>
    <t>COSTS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</si>
  <si>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</si>
  <si>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</si>
  <si>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</si>
  <si>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</si>
  <si>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</si>
  <si>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</si>
  <si>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</si>
  <si>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</si>
  <si>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</si>
  <si>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</si>
  <si>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</si>
  <si>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</si>
  <si>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</si>
  <si>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</si>
  <si>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</si>
  <si>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</si>
  <si>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</si>
  <si>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</si>
  <si>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</si>
  <si>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</si>
  <si>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</si>
  <si>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</si>
  <si>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</si>
  <si>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</si>
  <si>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>IPPU</t>
  </si>
  <si>
    <t>Average cost for different routes</t>
  </si>
  <si>
    <t>CAPEX</t>
  </si>
  <si>
    <t>2010 ZAR/t</t>
  </si>
  <si>
    <t>Advanced Scrap-EAF</t>
  </si>
  <si>
    <t>Advanced BF-BOF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</si>
  <si>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</si>
  <si>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</si>
  <si>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</si>
  <si>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</si>
  <si>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</si>
  <si>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</si>
  <si>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</si>
  <si>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</si>
  <si>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</si>
  <si>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</si>
  <si>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</si>
  <si>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</si>
  <si>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</si>
  <si>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</si>
  <si>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</si>
  <si>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</si>
  <si>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</si>
  <si>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</si>
  <si>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</si>
  <si>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</si>
  <si>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</si>
  <si>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</si>
  <si>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</si>
  <si>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</si>
  <si>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</si>
  <si>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</si>
  <si>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</si>
  <si>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</si>
  <si>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</si>
  <si>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</si>
  <si>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</si>
  <si>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</si>
  <si>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</si>
  <si>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</si>
  <si>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</si>
  <si>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</si>
  <si>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</si>
  <si>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</si>
  <si>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</si>
  <si>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</si>
  <si>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</si>
  <si>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</si>
  <si>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</si>
  <si>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</si>
  <si>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</si>
  <si>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</si>
  <si>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</si>
  <si>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</si>
  <si>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</si>
  <si>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</si>
  <si>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</si>
  <si>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</si>
  <si>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</si>
  <si>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</si>
  <si>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</si>
  <si>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</si>
  <si>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</si>
  <si>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</si>
  <si>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</si>
  <si>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</si>
  <si>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</si>
  <si>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</si>
  <si>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</si>
  <si>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</si>
  <si>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</si>
  <si>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</si>
  <si>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</si>
  <si>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</si>
  <si>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</si>
  <si>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</si>
  <si>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</si>
  <si>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</si>
  <si>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</si>
  <si>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</si>
  <si>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</si>
  <si>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</si>
  <si>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</si>
  <si>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</si>
  <si>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</si>
  <si>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</si>
  <si>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</si>
  <si>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</si>
  <si>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</si>
  <si>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</si>
  <si>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</si>
  <si>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</si>
  <si>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</si>
  <si>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</si>
  <si>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</si>
  <si>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</si>
  <si>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</si>
  <si>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</si>
  <si>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</si>
  <si>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</si>
  <si>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</si>
  <si>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</si>
  <si>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</si>
  <si>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</si>
  <si>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</si>
  <si>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</si>
  <si>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</si>
  <si>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</si>
  <si>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</si>
  <si>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</si>
  <si>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</si>
  <si>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</si>
  <si>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</si>
  <si>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</si>
  <si>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</si>
  <si>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</si>
  <si>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</si>
  <si>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</si>
  <si>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</si>
  <si>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</si>
  <si>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</si>
  <si>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</si>
  <si>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</si>
  <si>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</si>
  <si>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</si>
  <si>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</si>
  <si>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</si>
  <si>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</si>
  <si>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</si>
  <si>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</si>
  <si>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</si>
  <si>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</si>
  <si>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</si>
  <si>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</si>
  <si>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</si>
  <si>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</si>
  <si>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</si>
  <si>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</si>
  <si>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</si>
  <si>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</si>
  <si>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</si>
  <si>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</si>
  <si>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</si>
  <si>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</si>
  <si>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</si>
  <si>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</si>
  <si>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</si>
  <si>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</si>
  <si>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</si>
  <si>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</si>
  <si>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</si>
  <si>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</si>
  <si>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</si>
  <si>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</si>
  <si>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</si>
  <si>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</si>
  <si>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</si>
  <si>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</si>
  <si>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</si>
  <si>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</si>
  <si>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</si>
  <si>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</si>
  <si>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</si>
  <si>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</si>
  <si>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</si>
  <si>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</si>
  <si>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</si>
  <si>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</si>
  <si>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</si>
  <si>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</si>
  <si>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</si>
  <si>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</si>
  <si>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</si>
  <si>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</si>
  <si>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</si>
  <si>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</si>
  <si>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</si>
  <si>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</si>
  <si>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</si>
  <si>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</si>
  <si>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</si>
  <si>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</si>
  <si>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</si>
  <si>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</si>
  <si>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</si>
  <si>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</si>
  <si>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</si>
  <si>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</si>
  <si>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</si>
  <si>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</si>
  <si>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</si>
  <si>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</si>
  <si>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</si>
  <si>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</si>
  <si>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</si>
  <si>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</si>
  <si>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</si>
  <si>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</si>
  <si>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</si>
  <si>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</si>
  <si>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</si>
  <si>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</si>
  <si>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</si>
  <si>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</si>
  <si>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</si>
  <si>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</si>
  <si>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</si>
  <si>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</si>
  <si>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</si>
  <si>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</si>
  <si>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</si>
  <si>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</si>
  <si>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</si>
  <si>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</si>
  <si>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</si>
  <si>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</si>
  <si>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</si>
  <si>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</si>
  <si>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</si>
  <si>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</si>
  <si>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</si>
  <si>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</si>
  <si>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</si>
  <si>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</si>
  <si>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</si>
  <si>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</si>
  <si>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</si>
  <si>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</si>
  <si>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</si>
  <si>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IEA report</t>
  </si>
  <si>
    <t>Iron and Steel</t>
  </si>
  <si>
    <t>2019USD to 2015 ZAR</t>
  </si>
  <si>
    <t>MINFEORE</t>
  </si>
  <si>
    <t>*</t>
  </si>
  <si>
    <t>IISHHGNSTOR-N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</si>
  <si>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</si>
  <si>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</si>
  <si>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</si>
  <si>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</si>
  <si>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</si>
  <si>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</si>
  <si>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</si>
  <si>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IISHGCRS</t>
  </si>
  <si>
    <t>IISHBI</t>
  </si>
  <si>
    <t>IISFEORE</t>
  </si>
  <si>
    <t>REGION1</t>
  </si>
  <si>
    <t>NCAP_COST</t>
  </si>
  <si>
    <t>DAYNITE</t>
  </si>
  <si>
    <t>ANNUAL</t>
  </si>
  <si>
    <t>PRC_CAPACT</t>
  </si>
  <si>
    <t>NCAP_START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</si>
  <si>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</si>
  <si>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</si>
  <si>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</si>
  <si>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</si>
  <si>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</si>
  <si>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</si>
  <si>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</si>
  <si>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</si>
  <si>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</si>
  <si>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</si>
  <si>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</si>
  <si>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</si>
  <si>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</si>
  <si>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</si>
  <si>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</si>
  <si>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</si>
  <si>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</si>
  <si>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</si>
  <si>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</si>
  <si>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</si>
  <si>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</si>
  <si>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</si>
  <si>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</si>
  <si>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</si>
  <si>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</si>
  <si>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</si>
  <si>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</si>
  <si>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</si>
  <si>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</si>
  <si>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</si>
  <si>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</si>
  <si>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</si>
  <si>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</si>
  <si>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</si>
  <si>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</si>
  <si>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</si>
  <si>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</si>
  <si>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</si>
  <si>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</si>
  <si>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</si>
  <si>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</si>
  <si>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</si>
  <si>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</si>
  <si>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Activity costs</t>
  </si>
  <si>
    <t xml:space="preserve">IPPU 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</si>
  <si>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</si>
  <si>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</si>
  <si>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</si>
  <si>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</si>
  <si>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</si>
  <si>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</si>
  <si>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</si>
  <si>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</si>
  <si>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</si>
  <si>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</si>
  <si>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</si>
  <si>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</si>
  <si>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</si>
  <si>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</si>
  <si>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</si>
  <si>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</si>
  <si>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</si>
  <si>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</si>
  <si>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</si>
  <si>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</si>
  <si>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</si>
  <si>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</si>
  <si>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</si>
  <si>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</si>
  <si>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</si>
  <si>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</si>
  <si>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</si>
  <si>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</si>
  <si>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</si>
  <si>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</si>
  <si>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</si>
  <si>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</si>
  <si>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</si>
  <si>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</si>
  <si>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</si>
  <si>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</si>
  <si>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</si>
  <si>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</si>
  <si>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</si>
  <si>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</si>
  <si>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</si>
  <si>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</si>
  <si>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</si>
  <si>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</si>
  <si>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</si>
  <si>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</si>
  <si>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</si>
  <si>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</si>
  <si>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</si>
  <si>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</si>
  <si>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</si>
  <si>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</si>
  <si>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</si>
  <si>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</si>
  <si>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</si>
  <si>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</si>
  <si>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</si>
  <si>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</si>
  <si>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</si>
  <si>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</si>
  <si>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</si>
  <si>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</si>
  <si>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</si>
  <si>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</si>
  <si>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</si>
  <si>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</si>
  <si>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</si>
  <si>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</si>
  <si>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</si>
  <si>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</si>
  <si>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</si>
  <si>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</si>
  <si>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</si>
  <si>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IISCOV</t>
  </si>
  <si>
    <t>INDGAS</t>
  </si>
  <si>
    <t>CO2SP</t>
  </si>
  <si>
    <t>INDOLP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</si>
  <si>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</si>
  <si>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</si>
  <si>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</si>
  <si>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</si>
  <si>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</si>
  <si>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</si>
  <si>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</si>
  <si>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</si>
  <si>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</si>
  <si>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</si>
  <si>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</si>
  <si>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</si>
  <si>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</si>
  <si>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IISBFSLG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</si>
  <si>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</si>
  <si>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</si>
  <si>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</si>
  <si>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</si>
  <si>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</si>
  <si>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</si>
  <si>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</si>
  <si>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</si>
  <si>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</si>
  <si>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</si>
  <si>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</si>
  <si>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</si>
  <si>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</si>
  <si>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</si>
  <si>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</si>
  <si>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</si>
  <si>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</si>
  <si>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</si>
  <si>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</si>
  <si>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</si>
  <si>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</si>
  <si>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</si>
  <si>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</si>
  <si>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</si>
  <si>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</si>
  <si>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</si>
  <si>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</si>
  <si>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</si>
  <si>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</si>
  <si>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</si>
  <si>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</si>
  <si>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</si>
  <si>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</si>
  <si>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</si>
  <si>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</si>
  <si>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</si>
  <si>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</si>
  <si>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</si>
  <si>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</si>
  <si>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</si>
  <si>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</si>
  <si>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</si>
  <si>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</si>
  <si>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</si>
  <si>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</si>
  <si>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</si>
  <si>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</si>
  <si>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</si>
  <si>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</si>
  <si>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</si>
  <si>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</si>
  <si>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</si>
  <si>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</si>
  <si>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</si>
  <si>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</si>
  <si>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</si>
  <si>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</si>
  <si>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</si>
  <si>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</si>
  <si>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</si>
  <si>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</si>
  <si>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</si>
  <si>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</si>
  <si>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</si>
  <si>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</si>
  <si>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</si>
  <si>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</si>
  <si>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</si>
  <si>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New Technologies</t>
  </si>
  <si>
    <t>*IISDRIEAF-NC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</si>
  <si>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</si>
  <si>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</si>
  <si>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</si>
  <si>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</si>
  <si>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</si>
  <si>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</si>
  <si>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</si>
  <si>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</si>
  <si>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</si>
  <si>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</si>
  <si>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</si>
  <si>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</si>
  <si>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</si>
  <si>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</si>
  <si>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</si>
  <si>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</si>
  <si>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</si>
  <si>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</si>
  <si>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</si>
  <si>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</si>
  <si>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ENV_ACT~CO2SP</t>
  </si>
  <si>
    <t>need to get new number for iron ore costs, this is old</t>
  </si>
  <si>
    <t>GreenHBI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</si>
  <si>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</si>
  <si>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</si>
  <si>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</si>
  <si>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</si>
  <si>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</si>
  <si>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</si>
  <si>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</si>
  <si>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</si>
  <si>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</si>
  <si>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</si>
  <si>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</si>
  <si>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</si>
  <si>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</si>
  <si>
    <t>PrimaryCG</t>
  </si>
  <si>
    <t xml:space="preserve">set PCG so as to make this input rated. </t>
  </si>
  <si>
    <t>Need a number here, this is old and based on ~2020 export prices from a steel website</t>
  </si>
  <si>
    <t xml:space="preserve">Bryce: Have made this sheet static. See older than Aug 2023 workbooks for the links to the various bits of data. </t>
  </si>
  <si>
    <t>NCAP_BND~LO~2017</t>
  </si>
  <si>
    <t xml:space="preserve">The start date is a lever. </t>
  </si>
  <si>
    <t xml:space="preserve">2032 here is just a guess. </t>
  </si>
  <si>
    <t>https://www.scrapmetalpricer.com/za/durban/</t>
  </si>
  <si>
    <t>Scrap metal prices</t>
  </si>
  <si>
    <t xml:space="preserve">ranges between 1.5 and 3 R/kg. </t>
  </si>
  <si>
    <t>R/kg</t>
  </si>
  <si>
    <t xml:space="preserve">going to use: </t>
  </si>
  <si>
    <t xml:space="preserve">drop to 3 which would just be Vndbjl. Newcastle assumed to come offline. </t>
  </si>
  <si>
    <t>nothing</t>
  </si>
  <si>
    <t>Technology energy, commodity, emissions flows</t>
  </si>
  <si>
    <t>*EOL assumption</t>
  </si>
  <si>
    <t>Industry - I&amp;S - BFBOF route - New build</t>
  </si>
  <si>
    <t>Technology Definitions</t>
  </si>
  <si>
    <t>Total existing capacity</t>
  </si>
  <si>
    <t>attribute</t>
  </si>
  <si>
    <t>PRC_RESID</t>
  </si>
  <si>
    <t>Steel Demand</t>
  </si>
  <si>
    <t>ACT_BND~FX</t>
  </si>
  <si>
    <t>Steel production by technologies</t>
  </si>
  <si>
    <t>As kt CO2 / Mt output:</t>
  </si>
  <si>
    <t>Inputs and outputs</t>
  </si>
  <si>
    <t>COMMODITY DEFINITIONS</t>
  </si>
  <si>
    <t>CGDRIEAF-NG-O</t>
  </si>
  <si>
    <t>IISGAS</t>
  </si>
  <si>
    <t>IISOIL</t>
  </si>
  <si>
    <t>From ANSWER</t>
  </si>
  <si>
    <t>ORE</t>
  </si>
  <si>
    <t>INDGMU</t>
  </si>
  <si>
    <t>FEEDSTOCK</t>
  </si>
  <si>
    <t>SLAG</t>
  </si>
  <si>
    <t>from the calibration above</t>
  </si>
  <si>
    <t>without iron ore input cost</t>
  </si>
  <si>
    <t>COST</t>
  </si>
  <si>
    <t>WITHOUT IRON ORE PRICE, BUT WITH IRON ORE TRANSPORT</t>
  </si>
  <si>
    <t>to 2022</t>
  </si>
  <si>
    <t>no idea. Assuming similar to BFBOF</t>
  </si>
  <si>
    <t>in 2022 ZAR</t>
  </si>
  <si>
    <t>to 2010ZAR in Napp's work</t>
  </si>
  <si>
    <t>*TechDesc</t>
  </si>
  <si>
    <t>CAP2ACT</t>
  </si>
  <si>
    <t>EFFICIENCIES</t>
  </si>
  <si>
    <t>YES</t>
  </si>
  <si>
    <t>*XIISELCHY</t>
  </si>
  <si>
    <t>STG_EFF</t>
  </si>
  <si>
    <t>*NRG</t>
  </si>
  <si>
    <t>STS,PRC</t>
  </si>
  <si>
    <t>*Comm-IN-A</t>
  </si>
  <si>
    <t>*PRC_ACTFLO~IISELC</t>
  </si>
  <si>
    <t>NCAP_AFA~UP~2017</t>
  </si>
  <si>
    <t>adding back in a new price for scrap</t>
  </si>
  <si>
    <t>[accessed 29Sept 2023]</t>
  </si>
  <si>
    <t>without scrap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</si>
</sst>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_-;\-* #,##0_-;_-* &quot;-&quot;??_-;_-@_-"/>
    <numFmt numFmtId="173" formatCode="_ * #,##0.0000_ ;_ * \-#,##0.0000_ ;_ * &quot;-&quot;??_ ;_ @_ "/>
    <numFmt numFmtId="174" formatCode="_(* #,##0.00_);_(* \(#,##0.00\);_(* &quot;-&quot;??_);_(@_)"/>
    <numFmt numFmtId="175" formatCode="\Te\x\t"/>
    <numFmt numFmtId="176" formatCode="[$£-809]#,##0.000;[Red]&quot;-&quot;[$£-809]#,##0.000"/>
  </numFmts>
  <fonts count="7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17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63" fillId="0" borderId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64" fillId="0" borderId="0" applyNumberFormat="0" applyFill="0" applyBorder="0" applyAlignment="0" applyProtection="0"/>
    <xf numFmtId="176" fontId="4" fillId="0" borderId="0"/>
    <xf numFmtId="0" fontId="10" fillId="0" borderId="0"/>
    <xf numFmtId="0" fontId="65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66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1" fillId="31" borderId="67" applyNumberFormat="0" applyAlignment="0" applyProtection="0"/>
    <xf numFmtId="0" fontId="60" fillId="30" borderId="67" applyNumberFormat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3" borderId="0" applyNumberFormat="0" applyBorder="0" applyAlignment="0" applyProtection="0"/>
    <xf numFmtId="0" fontId="33" fillId="32" borderId="0" applyNumberFormat="0" applyBorder="0" applyAlignment="0" applyProtection="0"/>
    <xf numFmtId="43" fontId="1" fillId="0" borderId="0" applyFont="0" applyFill="0" applyBorder="0" applyAlignment="0" applyProtection="0"/>
    <xf numFmtId="0" fontId="68" fillId="29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6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3" fillId="4" borderId="0" applyNumberFormat="0" applyBorder="0" applyAlignment="0" applyProtection="0"/>
    <xf numFmtId="43" fontId="4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24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/>
    <xf numFmtId="0" fontId="0" fillId="20" borderId="0" xfId="0" applyFill="1"/>
    <xf numFmtId="0" fontId="0" fillId="0" borderId="4" xfId="0" quotePrefix="1" applyBorder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2" fillId="0" borderId="1" xfId="0" applyFont="1" applyBorder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2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72" fontId="0" fillId="0" borderId="0" xfId="20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2" fontId="2" fillId="0" borderId="0" xfId="0" applyNumberFormat="1" applyFont="1"/>
    <xf numFmtId="172" fontId="2" fillId="0" borderId="0" xfId="20" applyNumberFormat="1" applyFont="1"/>
    <xf numFmtId="0" fontId="0" fillId="23" borderId="0" xfId="0" applyFill="1"/>
    <xf numFmtId="0" fontId="35" fillId="0" borderId="8" xfId="0" applyFont="1" applyBorder="1"/>
    <xf numFmtId="0" fontId="2" fillId="0" borderId="8" xfId="0" applyFont="1" applyBorder="1"/>
    <xf numFmtId="0" fontId="0" fillId="23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3" borderId="4" xfId="0" applyFill="1" applyBorder="1"/>
    <xf numFmtId="9" fontId="0" fillId="22" borderId="0" xfId="0" applyNumberFormat="1" applyFill="1"/>
    <xf numFmtId="9" fontId="0" fillId="23" borderId="0" xfId="0" applyNumberFormat="1" applyFill="1"/>
    <xf numFmtId="165" fontId="0" fillId="0" borderId="0" xfId="21" applyNumberFormat="1" applyFont="1"/>
    <xf numFmtId="173" fontId="0" fillId="0" borderId="0" xfId="0" applyNumberFormat="1"/>
    <xf numFmtId="166" fontId="0" fillId="0" borderId="7" xfId="0" applyNumberFormat="1" applyBorder="1"/>
    <xf numFmtId="165" fontId="0" fillId="22" borderId="0" xfId="21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4" borderId="0" xfId="0" applyFill="1"/>
    <xf numFmtId="2" fontId="0" fillId="0" borderId="63" xfId="0" applyNumberFormat="1" applyBorder="1"/>
    <xf numFmtId="172" fontId="0" fillId="0" borderId="22" xfId="20" applyNumberFormat="1" applyFont="1" applyBorder="1"/>
    <xf numFmtId="9" fontId="0" fillId="0" borderId="22" xfId="0" applyNumberFormat="1" applyBorder="1"/>
    <xf numFmtId="9" fontId="0" fillId="24" borderId="0" xfId="0" applyNumberFormat="1" applyFill="1"/>
    <xf numFmtId="0" fontId="0" fillId="25" borderId="0" xfId="0" applyFill="1"/>
    <xf numFmtId="2" fontId="0" fillId="25" borderId="0" xfId="0" applyNumberFormat="1" applyFill="1"/>
    <xf numFmtId="9" fontId="0" fillId="25" borderId="0" xfId="0" applyNumberFormat="1" applyFill="1"/>
    <xf numFmtId="172" fontId="0" fillId="25" borderId="0" xfId="20" applyNumberFormat="1" applyFont="1" applyFill="1"/>
    <xf numFmtId="172" fontId="0" fillId="25" borderId="0" xfId="0" applyNumberFormat="1" applyFill="1"/>
    <xf numFmtId="43" fontId="0" fillId="25" borderId="0" xfId="0" applyNumberFormat="1" applyFill="1"/>
    <xf numFmtId="0" fontId="6" fillId="0" borderId="63" xfId="0" applyFont="1" applyBorder="1"/>
    <xf numFmtId="0" fontId="0" fillId="26" borderId="0" xfId="0" applyFill="1"/>
    <xf numFmtId="165" fontId="0" fillId="26" borderId="0" xfId="0" applyNumberFormat="1" applyFill="1"/>
    <xf numFmtId="0" fontId="4" fillId="0" borderId="0" xfId="22"/>
    <xf numFmtId="164" fontId="0" fillId="26" borderId="0" xfId="0" applyNumberFormat="1" applyFill="1"/>
    <xf numFmtId="166" fontId="2" fillId="0" borderId="0" xfId="0" applyNumberFormat="1" applyFont="1"/>
    <xf numFmtId="0" fontId="48" fillId="0" borderId="0" xfId="23"/>
    <xf numFmtId="0" fontId="48" fillId="0" borderId="8" xfId="23" applyBorder="1"/>
    <xf numFmtId="0" fontId="48" fillId="0" borderId="7" xfId="23" applyBorder="1"/>
    <xf numFmtId="0" fontId="48" fillId="0" borderId="6" xfId="23" applyBorder="1"/>
    <xf numFmtId="0" fontId="48" fillId="0" borderId="5" xfId="23" applyBorder="1"/>
    <xf numFmtId="0" fontId="48" fillId="0" borderId="4" xfId="23" applyBorder="1"/>
    <xf numFmtId="0" fontId="3" fillId="0" borderId="4" xfId="23" applyFont="1" applyBorder="1"/>
    <xf numFmtId="1" fontId="48" fillId="0" borderId="0" xfId="23" applyNumberFormat="1"/>
    <xf numFmtId="0" fontId="19" fillId="0" borderId="4" xfId="23" applyFont="1" applyBorder="1"/>
    <xf numFmtId="0" fontId="48" fillId="22" borderId="4" xfId="23" applyFill="1" applyBorder="1"/>
    <xf numFmtId="9" fontId="48" fillId="0" borderId="0" xfId="23" applyNumberFormat="1"/>
    <xf numFmtId="166" fontId="48" fillId="0" borderId="0" xfId="23" applyNumberFormat="1"/>
    <xf numFmtId="0" fontId="19" fillId="0" borderId="0" xfId="23" applyFont="1"/>
    <xf numFmtId="0" fontId="48" fillId="0" borderId="3" xfId="23" applyBorder="1"/>
    <xf numFmtId="0" fontId="48" fillId="0" borderId="2" xfId="23" applyBorder="1"/>
    <xf numFmtId="0" fontId="48" fillId="0" borderId="1" xfId="23" applyBorder="1"/>
    <xf numFmtId="0" fontId="19" fillId="0" borderId="1" xfId="23" applyFont="1" applyBorder="1"/>
    <xf numFmtId="0" fontId="3" fillId="0" borderId="0" xfId="23" applyFont="1"/>
    <xf numFmtId="0" fontId="1" fillId="0" borderId="0" xfId="25"/>
    <xf numFmtId="172" fontId="0" fillId="0" borderId="5" xfId="20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2" fontId="0" fillId="0" borderId="7" xfId="20" applyNumberFormat="1" applyFont="1" applyBorder="1"/>
    <xf numFmtId="172" fontId="0" fillId="0" borderId="8" xfId="20" applyNumberFormat="1" applyFont="1" applyBorder="1"/>
    <xf numFmtId="0" fontId="6" fillId="0" borderId="22" xfId="0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49" fillId="27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0" fontId="51" fillId="0" borderId="0" xfId="0" applyFont="1"/>
    <xf numFmtId="0" fontId="51" fillId="0" borderId="0" xfId="29" applyFont="1"/>
    <xf numFmtId="0" fontId="52" fillId="0" borderId="0" xfId="0" applyFont="1"/>
    <xf numFmtId="0" fontId="51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167" fontId="51" fillId="0" borderId="0" xfId="0" applyNumberFormat="1" applyFont="1" applyAlignment="1">
      <alignment horizontal="center"/>
    </xf>
    <xf numFmtId="2" fontId="51" fillId="0" borderId="0" xfId="0" applyNumberFormat="1" applyFont="1" applyAlignment="1">
      <alignment horizontal="center"/>
    </xf>
    <xf numFmtId="0" fontId="51" fillId="0" borderId="0" xfId="29" applyFont="1" applyAlignment="1">
      <alignment horizontal="left"/>
    </xf>
    <xf numFmtId="0" fontId="4" fillId="0" borderId="0" xfId="29"/>
    <xf numFmtId="0" fontId="4" fillId="28" borderId="45" xfId="30" applyFill="1" applyBorder="1" applyAlignment="1">
      <alignment horizontal="left" wrapText="1"/>
    </xf>
    <xf numFmtId="0" fontId="4" fillId="28" borderId="60" xfId="30" applyFill="1" applyBorder="1" applyAlignment="1">
      <alignment horizontal="left" wrapText="1"/>
    </xf>
    <xf numFmtId="0" fontId="51" fillId="0" borderId="0" xfId="31" applyFont="1"/>
    <xf numFmtId="0" fontId="55" fillId="0" borderId="0" xfId="3" applyFont="1"/>
    <xf numFmtId="0" fontId="51" fillId="0" borderId="0" xfId="3" applyFont="1"/>
    <xf numFmtId="0" fontId="58" fillId="0" borderId="0" xfId="0" applyFont="1"/>
    <xf numFmtId="0" fontId="4" fillId="0" borderId="0" xfId="3"/>
    <xf numFmtId="0" fontId="59" fillId="0" borderId="0" xfId="3" applyFont="1"/>
    <xf numFmtId="168" fontId="51" fillId="0" borderId="0" xfId="0" applyNumberFormat="1" applyFont="1"/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34" borderId="0" xfId="0" applyFill="1"/>
    <xf numFmtId="0" fontId="2" fillId="34" borderId="0" xfId="0" applyFont="1" applyFill="1"/>
    <xf numFmtId="0" fontId="53" fillId="34" borderId="7" xfId="29" applyFont="1" applyFill="1" applyBorder="1"/>
    <xf numFmtId="0" fontId="51" fillId="34" borderId="0" xfId="0" applyFont="1" applyFill="1"/>
    <xf numFmtId="175" fontId="50" fillId="34" borderId="0" xfId="28" applyNumberFormat="1" applyFill="1" applyBorder="1" applyAlignment="1">
      <alignment horizontal="left"/>
    </xf>
    <xf numFmtId="0" fontId="51" fillId="34" borderId="0" xfId="29" applyFont="1" applyFill="1"/>
    <xf numFmtId="0" fontId="52" fillId="34" borderId="0" xfId="29" applyFont="1" applyFill="1"/>
    <xf numFmtId="0" fontId="50" fillId="34" borderId="0" xfId="28" applyFill="1" applyAlignment="1">
      <alignment wrapText="1"/>
    </xf>
    <xf numFmtId="0" fontId="39" fillId="0" borderId="0" xfId="0" applyFont="1"/>
    <xf numFmtId="175" fontId="50" fillId="34" borderId="0" xfId="28" applyNumberFormat="1" applyFill="1"/>
    <xf numFmtId="0" fontId="50" fillId="34" borderId="0" xfId="28" applyFill="1"/>
    <xf numFmtId="175" fontId="50" fillId="34" borderId="2" xfId="28" applyNumberFormat="1" applyFill="1" applyBorder="1" applyAlignment="1">
      <alignment horizontal="left"/>
    </xf>
    <xf numFmtId="0" fontId="0" fillId="0" borderId="23" xfId="0" applyBorder="1" applyAlignment="1">
      <alignment wrapText="1"/>
    </xf>
    <xf numFmtId="0" fontId="0" fillId="0" borderId="24" xfId="0" applyBorder="1" applyAlignment="1">
      <alignment wrapText="1"/>
    </xf>
    <xf numFmtId="168" fontId="0" fillId="2" borderId="0" xfId="0" applyNumberFormat="1" applyFill="1"/>
    <xf numFmtId="164" fontId="0" fillId="2" borderId="0" xfId="0" applyNumberFormat="1" applyFill="1"/>
    <xf numFmtId="0" fontId="69" fillId="34" borderId="0" xfId="28" applyFont="1" applyFill="1"/>
    <xf numFmtId="0" fontId="51" fillId="34" borderId="7" xfId="0" applyFont="1" applyFill="1" applyBorder="1"/>
    <xf numFmtId="0" fontId="51" fillId="34" borderId="7" xfId="29" applyFont="1" applyFill="1" applyBorder="1"/>
    <xf numFmtId="0" fontId="51" fillId="34" borderId="0" xfId="29" applyFont="1" applyFill="1" applyAlignment="1">
      <alignment horizontal="center" wrapText="1"/>
    </xf>
    <xf numFmtId="0" fontId="53" fillId="34" borderId="0" xfId="29" applyFont="1" applyFill="1"/>
    <xf numFmtId="0" fontId="4" fillId="34" borderId="0" xfId="29" applyFill="1"/>
    <xf numFmtId="0" fontId="54" fillId="34" borderId="2" xfId="29" applyFont="1" applyFill="1" applyBorder="1"/>
    <xf numFmtId="0" fontId="54" fillId="34" borderId="9" xfId="29" applyFont="1" applyFill="1" applyBorder="1"/>
    <xf numFmtId="0" fontId="54" fillId="34" borderId="2" xfId="29" applyFont="1" applyFill="1" applyBorder="1" applyAlignment="1">
      <alignment horizontal="left"/>
    </xf>
    <xf numFmtId="164" fontId="2" fillId="34" borderId="0" xfId="0" applyNumberFormat="1" applyFont="1" applyFill="1"/>
    <xf numFmtId="164" fontId="0" fillId="34" borderId="0" xfId="0" applyNumberFormat="1" applyFill="1"/>
    <xf numFmtId="0" fontId="10" fillId="34" borderId="0" xfId="7" applyFill="1"/>
    <xf numFmtId="0" fontId="70" fillId="0" borderId="0" xfId="0" applyFont="1"/>
    <xf numFmtId="175" fontId="70" fillId="4" borderId="0" xfId="87" applyNumberFormat="1" applyFont="1" applyAlignment="1">
      <alignment vertical="center"/>
    </xf>
    <xf numFmtId="0" fontId="71" fillId="34" borderId="2" xfId="0" applyFont="1" applyFill="1" applyBorder="1" applyAlignment="1">
      <alignment vertical="center" wrapText="1"/>
    </xf>
    <xf numFmtId="0" fontId="71" fillId="34" borderId="0" xfId="0" applyFont="1" applyFill="1" applyAlignment="1">
      <alignment vertical="center" wrapText="1"/>
    </xf>
    <xf numFmtId="0" fontId="48" fillId="34" borderId="0" xfId="23" applyFill="1"/>
    <xf numFmtId="0" fontId="3" fillId="34" borderId="0" xfId="23" applyFont="1" applyFill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28" fillId="11" borderId="27" xfId="4" applyFont="1" applyFill="1" applyBorder="1" applyAlignment="1">
      <alignment horizontal="center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8" fillId="11" borderId="26" xfId="4" applyFont="1" applyFill="1" applyBorder="1" applyAlignment="1">
      <alignment horizontal="center"/>
    </xf>
    <xf numFmtId="0" fontId="7" fillId="0" borderId="0" xfId="4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94">
    <cellStyle name="20% - Accent5 2" xfId="69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0" xr:uid="{69E38B50-B8B7-4474-B9DB-A07A159D2B19}"/>
    <cellStyle name="Accent1" xfId="87" builtinId="29"/>
    <cellStyle name="Accent1 2" xfId="11" xr:uid="{00000000-0005-0000-0000-000002000000}"/>
    <cellStyle name="Calculation 2" xfId="60" xr:uid="{D5CA66CF-5E53-4363-8557-ABE95945DCDD}"/>
    <cellStyle name="Check Cell 2" xfId="9" xr:uid="{00000000-0005-0000-0000-000003000000}"/>
    <cellStyle name="Comma" xfId="1" builtinId="3"/>
    <cellStyle name="Comma 2" xfId="20" xr:uid="{82C2ED07-5F05-404C-B67D-22ACBF69BBCF}"/>
    <cellStyle name="Comma 2 2" xfId="21" xr:uid="{2B5E9149-F4C0-4853-9C53-F862BC5E52D3}"/>
    <cellStyle name="Comma 2 2 2" xfId="58" xr:uid="{BF96C840-E66B-43B7-B721-DF7020E6B1EB}"/>
    <cellStyle name="Comma 2 2 3" xfId="43" xr:uid="{D132692C-9077-4842-AC56-F1AF20B9E9F8}"/>
    <cellStyle name="Comma 2 2 4" xfId="89" xr:uid="{400A8F0F-D2AF-4BC5-9FC7-144A3AA1C51D}"/>
    <cellStyle name="Comma 2 3" xfId="34" xr:uid="{0745F685-150F-4333-8077-099C6944E181}"/>
    <cellStyle name="Comma 2 4" xfId="57" xr:uid="{0B36C180-D896-42B5-8A93-9F476F4348EC}"/>
    <cellStyle name="Comma 2 4 2" xfId="90" xr:uid="{342F6345-0FAD-475E-A22F-4F10473BE73C}"/>
    <cellStyle name="Comma 2 5" xfId="71" xr:uid="{20E1E648-C23D-487D-BA84-4D4A96D58378}"/>
    <cellStyle name="Comma 2 5 2" xfId="92" xr:uid="{9B1A2B73-613C-42CA-A27A-EF54A2FDC951}"/>
    <cellStyle name="Comma 2 6" xfId="35" xr:uid="{1FCCED5B-B890-4974-A67B-37F0DE8DB7EA}"/>
    <cellStyle name="Comma 2 7" xfId="88" xr:uid="{CFF42D8A-1110-4E39-A1FC-1C69F7B1351E}"/>
    <cellStyle name="Comma 3" xfId="26" xr:uid="{522DE0E0-E915-4DFE-B3B8-6B3CF252A0EE}"/>
    <cellStyle name="Comma 3 2" xfId="55" xr:uid="{C0E4CB2C-6980-4B74-8450-E5E98855F015}"/>
    <cellStyle name="Comma 3 3" xfId="44" xr:uid="{592B85A1-B3B2-4B8B-B51A-D3903ADA20B7}"/>
    <cellStyle name="Comma 4" xfId="68" xr:uid="{2E019470-9395-4DB0-871A-740C17D02445}"/>
    <cellStyle name="Comma 5" xfId="64" xr:uid="{185BC562-DBCC-4010-9AD6-A92171120113}"/>
    <cellStyle name="Comma 6" xfId="91" xr:uid="{7B7D947A-BC58-4738-B213-22AF4423894B}"/>
    <cellStyle name="Explanatory Text 2" xfId="8" xr:uid="{00000000-0005-0000-0000-000005000000}"/>
    <cellStyle name="Heading 1" xfId="5" builtinId="16"/>
    <cellStyle name="Heading 2" xfId="6" builtinId="17"/>
    <cellStyle name="Heading 4" xfId="28" builtinId="19"/>
    <cellStyle name="Hyperlink" xfId="16" builtinId="8"/>
    <cellStyle name="Hyperlink 2" xfId="19" xr:uid="{0143E5AC-13E9-4364-AA0C-7B5064949C3C}"/>
    <cellStyle name="Hyperlink 2 2" xfId="56" xr:uid="{CE3D3C34-4D72-4F83-A7BC-B779DF758910}"/>
    <cellStyle name="Hyperlink 2 2 2" xfId="62" xr:uid="{E99210B5-16EE-47DC-A16A-788C94B6C8D6}"/>
    <cellStyle name="Hyperlink 2 3" xfId="39" xr:uid="{80545631-B204-4435-B02F-5E345F394B9D}"/>
    <cellStyle name="Hyperlink 3" xfId="46" xr:uid="{24164DA1-0B11-4AA5-B442-DA45C9E3572B}"/>
    <cellStyle name="Input 2" xfId="61" xr:uid="{B1B13825-719D-41E1-981E-F321FF8D337E}"/>
    <cellStyle name="IPCC" xfId="18" xr:uid="{060CFEAA-B409-4E5C-B4B9-C84A33D3D71A}"/>
    <cellStyle name="Neutral 2" xfId="72" xr:uid="{5768FB37-07DA-4B2A-97A4-9D9A8E670D36}"/>
    <cellStyle name="Normal" xfId="0" builtinId="0"/>
    <cellStyle name="Normal 10" xfId="30" xr:uid="{17E18196-C2DF-4196-B848-84AB6B147782}"/>
    <cellStyle name="Normal 10 4" xfId="38" xr:uid="{7317FE44-9E36-469F-8430-12415F3BBAF1}"/>
    <cellStyle name="Normal 11" xfId="25" xr:uid="{78DEB395-FB3B-4F08-B9EE-F9879AB5464E}"/>
    <cellStyle name="Normal 12" xfId="24" xr:uid="{0E5F3C21-CC91-4388-B1DE-DAB2319F08BA}"/>
    <cellStyle name="Normal 12 2" xfId="49" xr:uid="{AFBCB984-7D73-43F8-8F5C-198F85165FAB}"/>
    <cellStyle name="Normal 13" xfId="29" xr:uid="{36F30AC0-E6CA-44FF-850B-787C5409CE3B}"/>
    <cellStyle name="Normal 2" xfId="4" xr:uid="{00000000-0005-0000-0000-00000A000000}"/>
    <cellStyle name="Normal 2 2" xfId="3" xr:uid="{00000000-0005-0000-0000-00000B000000}"/>
    <cellStyle name="Normal 2 2 2" xfId="31" xr:uid="{9A04ACF4-BE91-49EC-95F2-425379334EF8}"/>
    <cellStyle name="Normal 2 2 2 2" xfId="37" xr:uid="{3224F7F9-DDAA-49B4-8DBD-98E01A26E482}"/>
    <cellStyle name="Normal 2 2 3" xfId="47" xr:uid="{81B5CD67-81BE-41B6-8615-CCC0570F47EE}"/>
    <cellStyle name="Normal 2 2 4" xfId="32" xr:uid="{0A55A013-AEA2-41A5-9123-7E54946C000B}"/>
    <cellStyle name="Normal 2 3" xfId="42" xr:uid="{ACB29999-D58F-49CE-AF0F-1780E67B7A94}"/>
    <cellStyle name="Normal 2 3 2" xfId="59" xr:uid="{BC615520-8453-4F4F-91A5-CFB6A6DE8AAE}"/>
    <cellStyle name="Normal 3" xfId="7" xr:uid="{00000000-0005-0000-0000-00000C000000}"/>
    <cellStyle name="Normal 3 2" xfId="48" xr:uid="{5DCE9351-86C3-4C41-A3C2-62D277A9DD0C}"/>
    <cellStyle name="Normal 3 3" xfId="33" xr:uid="{E57FDC6B-BD0D-4437-A2F3-5429A29743AF}"/>
    <cellStyle name="Normal 4" xfId="23" xr:uid="{3CD82EF2-3FA7-4DB6-9E45-512B557BA2E2}"/>
    <cellStyle name="Normal 4 2" xfId="74" xr:uid="{24D3FCE6-564E-48DF-9D74-D3B135EB5136}"/>
    <cellStyle name="Normal 4 3" xfId="54" xr:uid="{B4825CFE-E00F-4928-9FA2-DB95BD61B1F8}"/>
    <cellStyle name="Normal 4 4" xfId="73" xr:uid="{8D463985-87F7-4890-B60D-A1AE8BCF3938}"/>
    <cellStyle name="Normal 4 5" xfId="40" xr:uid="{9059ECE2-EBEB-49DD-BAD3-B00920D65950}"/>
    <cellStyle name="Normal 5" xfId="22" xr:uid="{1F07B887-6BEA-46A2-81EA-61A464C4B4E4}"/>
    <cellStyle name="Normal 5 2" xfId="51" xr:uid="{74B26293-5786-41EA-923B-259064FF0473}"/>
    <cellStyle name="Normal 6" xfId="50" xr:uid="{12973A00-36B5-4AFE-9938-0B59917A488B}"/>
    <cellStyle name="Normal 7" xfId="14" xr:uid="{00000000-0005-0000-0000-00000D000000}"/>
    <cellStyle name="Normal 7 2" xfId="52" xr:uid="{9E0A64DA-C571-49B6-BE86-3CA5CBCB3184}"/>
    <cellStyle name="Normal 8" xfId="15" xr:uid="{00000000-0005-0000-0000-00000E000000}"/>
    <cellStyle name="Normal 8 2" xfId="75" xr:uid="{C6DAD715-6B22-416D-ACAA-E4859EB8525C}"/>
    <cellStyle name="Normal 9" xfId="66" xr:uid="{A193766E-E7BC-42DA-8D00-B06EA78F8A1E}"/>
    <cellStyle name="Normal 9 2" xfId="76" xr:uid="{CA6D9846-D514-420B-9F15-1EFBA0464CFF}"/>
    <cellStyle name="Normale_B2020" xfId="77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5" xr:uid="{1BDC7AEF-BB4F-45D8-B038-C14FB4D7E72F}"/>
    <cellStyle name="Percent 2 3" xfId="53" xr:uid="{24464BBE-A588-4D44-8C7F-6FB21301985C}"/>
    <cellStyle name="Percent 2 4" xfId="78" xr:uid="{4B5C6498-2621-4A70-A1E3-1BEB87AA78D0}"/>
    <cellStyle name="Percent 2 5" xfId="41" xr:uid="{06A3377C-CDFC-446E-B9DA-D76B018A5A0E}"/>
    <cellStyle name="Percent 3" xfId="27" xr:uid="{B1800769-9E19-4312-B101-6C6432B5EE24}"/>
    <cellStyle name="Percent 3 2" xfId="79" xr:uid="{ECF35FE6-BF60-4DC2-B265-E0AC9E24EE9F}"/>
    <cellStyle name="Percent 3 3" xfId="80" xr:uid="{467FE99D-1A30-403A-9370-2069D65E78B9}"/>
    <cellStyle name="Percent 3 4" xfId="36" xr:uid="{78EF846D-8400-4677-8BAB-93AE0B16A9E8}"/>
    <cellStyle name="Percent 4" xfId="65" xr:uid="{1C8CAF59-0D7C-4541-91F9-431AC602F268}"/>
    <cellStyle name="Percent 4 2" xfId="82" xr:uid="{C947F130-E5EE-4A54-8716-D17505C6B5D7}"/>
    <cellStyle name="Percent 4 3" xfId="83" xr:uid="{355024EC-5E0F-4954-9B69-A72DA8256975}"/>
    <cellStyle name="Percent 4 4" xfId="81" xr:uid="{BDB56372-A57F-4E6F-9613-C3741FB501C4}"/>
    <cellStyle name="Percent 5" xfId="67" xr:uid="{36574065-F959-4B59-B32F-93B153DF0821}"/>
    <cellStyle name="Percent 5 2" xfId="84" xr:uid="{C613E249-C7A5-40CC-870D-D22DDB7205E2}"/>
    <cellStyle name="Percent 6" xfId="85" xr:uid="{40E71785-2454-4B14-8A64-6E4292429D4B}"/>
    <cellStyle name="Percent 7" xfId="63" xr:uid="{AB10B231-58C9-4145-BC4D-4F48CF1432ED}"/>
    <cellStyle name="Percent 7 2" xfId="93" xr:uid="{CA1FB6BB-F99C-4B5C-B77A-CF25D0CDFEA8}"/>
    <cellStyle name="Standard_Sce_D_Extraction" xfId="86" xr:uid="{A6D1844D-2455-431F-974F-8DB4D487409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9" Type="http://schemas.openxmlformats.org/officeDocument/2006/relationships/sheetMetadata" Target="metadata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styles" Target="styles.xml"/><Relationship Id="rId40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externalLink" Target="externalLinks/externalLink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'INPUT GreenSteel'!$AO$137:$AP$137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GreenSteel'!$AC$181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'INPUT GreenSteel'!$AC$182:$AC$186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'INPUT GreenSteel'!$AC$210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'INPUT GreenSteel'!$AC$211:$AC$217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8301448" y="3362885"/>
          <a:ext cx="7248077" cy="7022166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1705" y="2558303"/>
          <a:ext cx="9735992" cy="4194089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8</xdr:row>
      <xdr:rowOff>104775</xdr:rowOff>
    </xdr:from>
    <xdr:to>
      <xdr:col>22</xdr:col>
      <xdr:colOff>437439</xdr:colOff>
      <xdr:row>26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638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181756</xdr:colOff>
      <xdr:row>106</xdr:row>
      <xdr:rowOff>38100</xdr:rowOff>
    </xdr:from>
    <xdr:to>
      <xdr:col>14</xdr:col>
      <xdr:colOff>549088</xdr:colOff>
      <xdr:row>109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933550" y="20679335"/>
          <a:ext cx="2899862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  <xdr:twoCellAnchor>
    <xdr:from>
      <xdr:col>2</xdr:col>
      <xdr:colOff>619125</xdr:colOff>
      <xdr:row>214</xdr:row>
      <xdr:rowOff>47625</xdr:rowOff>
    </xdr:from>
    <xdr:to>
      <xdr:col>3</xdr:col>
      <xdr:colOff>228600</xdr:colOff>
      <xdr:row>216</xdr:row>
      <xdr:rowOff>161925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7B2FE969-93D5-417F-A87B-FF3C56519D50}"/>
            </a:ext>
          </a:extLst>
        </xdr:cNvPr>
        <xdr:cNvSpPr/>
      </xdr:nvSpPr>
      <xdr:spPr>
        <a:xfrm>
          <a:off x="2667000" y="2714625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108</xdr:row>
      <xdr:rowOff>56029</xdr:rowOff>
    </xdr:from>
    <xdr:to>
      <xdr:col>9</xdr:col>
      <xdr:colOff>291353</xdr:colOff>
      <xdr:row>110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182</xdr:row>
      <xdr:rowOff>174492</xdr:rowOff>
    </xdr:from>
    <xdr:to>
      <xdr:col>6</xdr:col>
      <xdr:colOff>51227</xdr:colOff>
      <xdr:row>185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195</xdr:row>
      <xdr:rowOff>89647</xdr:rowOff>
    </xdr:from>
    <xdr:to>
      <xdr:col>17</xdr:col>
      <xdr:colOff>112061</xdr:colOff>
      <xdr:row>199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211</xdr:row>
      <xdr:rowOff>127075</xdr:rowOff>
    </xdr:from>
    <xdr:to>
      <xdr:col>30</xdr:col>
      <xdr:colOff>517376</xdr:colOff>
      <xdr:row>220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221</xdr:row>
      <xdr:rowOff>22412</xdr:rowOff>
    </xdr:from>
    <xdr:to>
      <xdr:col>30</xdr:col>
      <xdr:colOff>179294</xdr:colOff>
      <xdr:row>224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238</xdr:row>
      <xdr:rowOff>145676</xdr:rowOff>
    </xdr:from>
    <xdr:to>
      <xdr:col>28</xdr:col>
      <xdr:colOff>537883</xdr:colOff>
      <xdr:row>244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 refreshError="1"/>
      <sheetData sheetId="1" refreshError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 refreshError="1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</sheetData>
      <sheetData sheetId="2">
        <row r="8">
          <cell r="H8">
            <v>0.85343228200371057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xe.com/currencycharts/?from=EUR&amp;to=USD&amp;view=5Y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arcelormittalsa.com/Portals/0/mittal_steel_eng1.pdf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>
      <selection activeCell="E12" sqref="E12"/>
    </sheetView>
  </sheetViews>
  <sheetFormatPr defaultRowHeight="15" x14ac:dyDescent="0.25"/>
  <cols>
    <col min="3" max="3" width="47.7109375" style="304" customWidth="1"/>
  </cols>
  <sheetData>
    <row r="1" spans="3:5" x14ac:dyDescent="0.25">
      <c r="C1" s="514" t="s">
        <v>1119</v>
      </c>
      <c r="D1" s="18" t="s">
        <v>1120</v>
      </c>
      <c r="E1" s="18" t="s">
        <v>1121</v>
      </c>
    </row>
    <row r="2" spans="3:5" ht="30" x14ac:dyDescent="0.25">
      <c r="C2" s="304" t="s">
        <v>1122</v>
      </c>
      <c r="D2" t="s">
        <v>1123</v>
      </c>
      <c r="E2" s="515">
        <v>44452</v>
      </c>
    </row>
    <row r="3" spans="3:5" x14ac:dyDescent="0.25">
      <c r="C3" s="304" t="s">
        <v>1124</v>
      </c>
      <c r="D3" t="s">
        <v>1123</v>
      </c>
      <c r="E3" s="516">
        <v>44460</v>
      </c>
    </row>
    <row r="4" spans="3:5" x14ac:dyDescent="0.25">
      <c r="C4" s="304" t="s">
        <v>1125</v>
      </c>
    </row>
    <row r="5" spans="3:5" ht="30" x14ac:dyDescent="0.25">
      <c r="C5" s="304" t="s">
        <v>1126</v>
      </c>
    </row>
    <row r="7" spans="3:5" x14ac:dyDescent="0.25">
      <c r="C7" s="304" t="s">
        <v>1128</v>
      </c>
      <c r="D7" t="s">
        <v>1129</v>
      </c>
      <c r="E7" t="s">
        <v>1130</v>
      </c>
    </row>
    <row r="9" spans="3:5" x14ac:dyDescent="0.25">
      <c r="C9" s="304" t="s">
        <v>1136</v>
      </c>
      <c r="D9" t="s">
        <v>1129</v>
      </c>
      <c r="E9" s="515">
        <v>44732</v>
      </c>
    </row>
    <row r="10" spans="3:5" x14ac:dyDescent="0.25">
      <c r="C10" s="304" t="s">
        <v>1140</v>
      </c>
      <c r="E10" s="515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2:U31"/>
  <sheetViews>
    <sheetView workbookViewId="0">
      <selection activeCell="Q9" sqref="Q9"/>
    </sheetView>
  </sheetViews>
  <sheetFormatPr defaultRowHeight="12.75" x14ac:dyDescent="0.2"/>
  <cols>
    <col min="1" max="1" width="9.140625" style="477"/>
    <col min="2" max="2" width="13.5703125" style="477" customWidth="1"/>
    <col min="3" max="7" width="9.140625" style="477"/>
    <col min="8" max="9" width="10.42578125" style="477" bestFit="1" customWidth="1"/>
    <col min="10" max="10" width="10.85546875" style="477" bestFit="1" customWidth="1"/>
    <col min="11" max="16384" width="9.140625" style="477"/>
  </cols>
  <sheetData>
    <row r="2" spans="2:21" x14ac:dyDescent="0.2">
      <c r="B2" s="489" t="s">
        <v>962</v>
      </c>
    </row>
    <row r="3" spans="2:21" x14ac:dyDescent="0.2">
      <c r="B3" s="492"/>
      <c r="C3" s="491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0"/>
    </row>
    <row r="4" spans="2:21" x14ac:dyDescent="0.2">
      <c r="B4" s="485" t="s">
        <v>960</v>
      </c>
      <c r="G4" s="489" t="s">
        <v>961</v>
      </c>
      <c r="N4" s="489" t="s">
        <v>960</v>
      </c>
      <c r="U4" s="481"/>
    </row>
    <row r="5" spans="2:21" x14ac:dyDescent="0.2">
      <c r="B5" s="492"/>
      <c r="C5" s="491"/>
      <c r="D5" s="491"/>
      <c r="E5" s="490"/>
      <c r="G5" s="493" t="s">
        <v>959</v>
      </c>
      <c r="H5" s="491"/>
      <c r="I5" s="491"/>
      <c r="J5" s="491"/>
      <c r="K5" s="491"/>
      <c r="L5" s="490"/>
      <c r="N5" s="492"/>
      <c r="O5" s="491">
        <v>2020</v>
      </c>
      <c r="P5" s="491">
        <v>2030</v>
      </c>
      <c r="Q5" s="491">
        <v>2040</v>
      </c>
      <c r="R5" s="490"/>
      <c r="U5" s="481"/>
    </row>
    <row r="6" spans="2:21" x14ac:dyDescent="0.2">
      <c r="B6" s="482"/>
      <c r="E6" s="481"/>
      <c r="G6" s="482"/>
      <c r="H6" s="489">
        <v>2020</v>
      </c>
      <c r="I6" s="489">
        <v>2030</v>
      </c>
      <c r="J6" s="489">
        <v>2040</v>
      </c>
      <c r="L6" s="481"/>
      <c r="N6" s="483" t="s">
        <v>958</v>
      </c>
      <c r="O6" s="484">
        <f>SUMIFS(H7:H9,$G$7:$G$9,$B$11)*$N$28</f>
        <v>11152.439999999999</v>
      </c>
      <c r="P6" s="484">
        <f>SUMIFS(I7:I9,$G$7:$G$9,$B$11)*$N$28</f>
        <v>7446.8749999999991</v>
      </c>
      <c r="Q6" s="484">
        <f>SUMIFS(J7:J9,$G$7:$G$9,$B$11)*$N$28</f>
        <v>5361.75</v>
      </c>
      <c r="R6" s="481"/>
      <c r="U6" s="481"/>
    </row>
    <row r="7" spans="2:21" x14ac:dyDescent="0.2">
      <c r="B7" s="485" t="s">
        <v>957</v>
      </c>
      <c r="E7" s="481"/>
      <c r="G7" s="483" t="s">
        <v>509</v>
      </c>
      <c r="H7" s="477">
        <v>500</v>
      </c>
      <c r="I7" s="477">
        <v>400</v>
      </c>
      <c r="J7" s="477">
        <v>200</v>
      </c>
      <c r="L7" s="481"/>
      <c r="N7" s="483" t="s">
        <v>751</v>
      </c>
      <c r="O7" s="488">
        <f>1/SUMIFS(H14:H16,$G$14:$G$16,$B$14)</f>
        <v>1.5037593984962405</v>
      </c>
      <c r="P7" s="488">
        <f>1/SUMIFS(I14:I16,$G$14:$G$16,$B$14)</f>
        <v>1.4705882352941178</v>
      </c>
      <c r="Q7" s="488">
        <f>1/SUMIFS(J14:J16,$G$14:$G$16,$B$14)</f>
        <v>1.3333333333333333</v>
      </c>
      <c r="R7" s="481"/>
      <c r="U7" s="481"/>
    </row>
    <row r="8" spans="2:21" x14ac:dyDescent="0.2">
      <c r="B8" s="486">
        <f>B29</f>
        <v>2028</v>
      </c>
      <c r="E8" s="481"/>
      <c r="G8" s="483" t="s">
        <v>510</v>
      </c>
      <c r="H8" s="477">
        <v>1372</v>
      </c>
      <c r="I8" s="477">
        <v>850</v>
      </c>
      <c r="J8" s="477">
        <v>700</v>
      </c>
      <c r="L8" s="481"/>
      <c r="N8" s="483" t="s">
        <v>708</v>
      </c>
      <c r="O8" s="488">
        <f>ROUNDUP(SUMIFS(H20:H22,$G$20:$G$22,$B$17)/(8760*$T$8),0)</f>
        <v>10</v>
      </c>
      <c r="P8" s="488">
        <f>ROUNDUP(SUMIFS(I20:I22,$G$20:$G$22,$B$17)/(8760*$T$8),0)</f>
        <v>13</v>
      </c>
      <c r="Q8" s="488">
        <f>ROUNDUP(SUMIFS(J20:J22,$G$20:$G$22,$B$17)/(8760*$T$8),0)</f>
        <v>16</v>
      </c>
      <c r="R8" s="481"/>
      <c r="T8" s="487">
        <v>0.9</v>
      </c>
      <c r="U8" s="481"/>
    </row>
    <row r="9" spans="2:21" x14ac:dyDescent="0.2">
      <c r="B9" s="482"/>
      <c r="E9" s="481"/>
      <c r="G9" s="483" t="s">
        <v>949</v>
      </c>
      <c r="H9" s="477">
        <f>AVERAGE(H7:H8)</f>
        <v>936</v>
      </c>
      <c r="I9" s="477">
        <f>AVERAGE(I7:I8)</f>
        <v>625</v>
      </c>
      <c r="J9" s="477">
        <f>AVERAGE(J7:J8)</f>
        <v>450</v>
      </c>
      <c r="L9" s="481"/>
      <c r="N9" s="483" t="s">
        <v>956</v>
      </c>
      <c r="O9" s="477">
        <f>O6*$T$9</f>
        <v>557.62199999999996</v>
      </c>
      <c r="P9" s="477">
        <f>P6*$T$9</f>
        <v>372.34375</v>
      </c>
      <c r="Q9" s="477">
        <f>Q6*$T$9</f>
        <v>268.08750000000003</v>
      </c>
      <c r="R9" s="481"/>
      <c r="T9" s="487">
        <v>0.05</v>
      </c>
      <c r="U9" s="481"/>
    </row>
    <row r="10" spans="2:21" x14ac:dyDescent="0.2">
      <c r="B10" s="485" t="s">
        <v>955</v>
      </c>
      <c r="E10" s="481"/>
      <c r="G10" s="482"/>
      <c r="L10" s="481"/>
      <c r="N10" s="482"/>
      <c r="R10" s="481"/>
      <c r="U10" s="481"/>
    </row>
    <row r="11" spans="2:21" x14ac:dyDescent="0.2">
      <c r="B11" s="486" t="s">
        <v>949</v>
      </c>
      <c r="E11" s="481"/>
      <c r="G11" s="482"/>
      <c r="L11" s="481"/>
      <c r="N11" s="482"/>
      <c r="R11" s="481"/>
      <c r="U11" s="481"/>
    </row>
    <row r="12" spans="2:21" x14ac:dyDescent="0.2">
      <c r="B12" s="482"/>
      <c r="E12" s="481"/>
      <c r="G12" s="485" t="s">
        <v>954</v>
      </c>
      <c r="L12" s="481"/>
      <c r="N12" s="482"/>
      <c r="R12" s="481"/>
      <c r="U12" s="481"/>
    </row>
    <row r="13" spans="2:21" x14ac:dyDescent="0.2">
      <c r="B13" s="485" t="s">
        <v>953</v>
      </c>
      <c r="E13" s="481"/>
      <c r="G13" s="482"/>
      <c r="L13" s="481"/>
      <c r="N13" s="482"/>
      <c r="R13" s="481"/>
      <c r="U13" s="481"/>
    </row>
    <row r="14" spans="2:21" x14ac:dyDescent="0.2">
      <c r="B14" s="486" t="s">
        <v>949</v>
      </c>
      <c r="E14" s="481"/>
      <c r="G14" s="483" t="s">
        <v>509</v>
      </c>
      <c r="H14" s="487">
        <v>0.63</v>
      </c>
      <c r="I14" s="487">
        <v>0.65</v>
      </c>
      <c r="J14" s="487">
        <v>0.7</v>
      </c>
      <c r="L14" s="481"/>
      <c r="N14" s="482"/>
      <c r="R14" s="481"/>
      <c r="U14" s="481"/>
    </row>
    <row r="15" spans="2:21" x14ac:dyDescent="0.2">
      <c r="B15" s="482"/>
      <c r="E15" s="481"/>
      <c r="G15" s="483" t="s">
        <v>510</v>
      </c>
      <c r="H15" s="487">
        <v>0.7</v>
      </c>
      <c r="I15" s="487">
        <v>0.71</v>
      </c>
      <c r="J15" s="487">
        <v>0.8</v>
      </c>
      <c r="L15" s="481"/>
      <c r="N15" s="482"/>
      <c r="R15" s="481"/>
      <c r="U15" s="481"/>
    </row>
    <row r="16" spans="2:21" x14ac:dyDescent="0.2">
      <c r="B16" s="485" t="s">
        <v>952</v>
      </c>
      <c r="E16" s="481"/>
      <c r="G16" s="483" t="s">
        <v>949</v>
      </c>
      <c r="H16" s="477">
        <f>AVERAGE(H14:H15)</f>
        <v>0.66500000000000004</v>
      </c>
      <c r="I16" s="477">
        <f>AVERAGE(I14:I15)</f>
        <v>0.67999999999999994</v>
      </c>
      <c r="J16" s="477">
        <f>AVERAGE(J14:J15)</f>
        <v>0.75</v>
      </c>
      <c r="L16" s="481"/>
      <c r="N16" s="482"/>
      <c r="R16" s="481"/>
      <c r="U16" s="481"/>
    </row>
    <row r="17" spans="2:21" x14ac:dyDescent="0.2">
      <c r="B17" s="486" t="s">
        <v>949</v>
      </c>
      <c r="E17" s="481"/>
      <c r="G17" s="482"/>
      <c r="L17" s="481"/>
      <c r="N17" s="482"/>
      <c r="R17" s="481"/>
      <c r="U17" s="481"/>
    </row>
    <row r="18" spans="2:21" x14ac:dyDescent="0.2">
      <c r="B18" s="482"/>
      <c r="E18" s="481"/>
      <c r="G18" s="485" t="s">
        <v>951</v>
      </c>
      <c r="L18" s="481"/>
      <c r="N18" s="482"/>
      <c r="R18" s="481"/>
      <c r="U18" s="481"/>
    </row>
    <row r="19" spans="2:21" x14ac:dyDescent="0.2">
      <c r="B19" s="480"/>
      <c r="C19" s="479"/>
      <c r="D19" s="479"/>
      <c r="E19" s="478"/>
      <c r="G19" s="483" t="s">
        <v>950</v>
      </c>
      <c r="L19" s="481"/>
      <c r="N19" s="482"/>
      <c r="R19" s="481"/>
      <c r="U19" s="481"/>
    </row>
    <row r="20" spans="2:21" x14ac:dyDescent="0.2">
      <c r="B20" s="492"/>
      <c r="G20" s="483" t="s">
        <v>509</v>
      </c>
      <c r="H20" s="484">
        <v>60000</v>
      </c>
      <c r="I20" s="484">
        <v>90000</v>
      </c>
      <c r="J20" s="484">
        <v>100000</v>
      </c>
      <c r="L20" s="481"/>
      <c r="N20" s="482"/>
      <c r="R20" s="481"/>
      <c r="U20" s="481"/>
    </row>
    <row r="21" spans="2:21" x14ac:dyDescent="0.2">
      <c r="B21" s="482"/>
      <c r="G21" s="483" t="s">
        <v>510</v>
      </c>
      <c r="H21" s="484">
        <v>90000</v>
      </c>
      <c r="I21" s="484">
        <v>100000</v>
      </c>
      <c r="J21" s="484">
        <v>150000</v>
      </c>
      <c r="L21" s="481"/>
      <c r="N21" s="482"/>
      <c r="R21" s="481"/>
      <c r="U21" s="481"/>
    </row>
    <row r="22" spans="2:21" x14ac:dyDescent="0.2">
      <c r="B22" s="482"/>
      <c r="G22" s="483" t="s">
        <v>949</v>
      </c>
      <c r="H22" s="477">
        <f>AVERAGE(H20:H21)</f>
        <v>75000</v>
      </c>
      <c r="I22" s="477">
        <f>AVERAGE(I20:I21)</f>
        <v>95000</v>
      </c>
      <c r="J22" s="477">
        <f>AVERAGE(J20:J21)</f>
        <v>125000</v>
      </c>
      <c r="L22" s="481"/>
      <c r="N22" s="482"/>
      <c r="R22" s="481"/>
      <c r="U22" s="481"/>
    </row>
    <row r="23" spans="2:21" x14ac:dyDescent="0.2">
      <c r="B23" s="482"/>
      <c r="G23" s="482"/>
      <c r="L23" s="481"/>
      <c r="N23" s="482"/>
      <c r="R23" s="481"/>
      <c r="U23" s="481"/>
    </row>
    <row r="24" spans="2:21" x14ac:dyDescent="0.2">
      <c r="B24" s="482"/>
      <c r="G24" s="480"/>
      <c r="H24" s="479"/>
      <c r="I24" s="479"/>
      <c r="J24" s="479"/>
      <c r="K24" s="479"/>
      <c r="L24" s="478"/>
      <c r="N24" s="480"/>
      <c r="O24" s="479"/>
      <c r="P24" s="479"/>
      <c r="Q24" s="479"/>
      <c r="R24" s="478"/>
      <c r="U24" s="481"/>
    </row>
    <row r="25" spans="2:21" x14ac:dyDescent="0.2">
      <c r="B25" s="482"/>
      <c r="U25" s="481"/>
    </row>
    <row r="26" spans="2:21" x14ac:dyDescent="0.2">
      <c r="B26" s="485" t="s">
        <v>1133</v>
      </c>
      <c r="U26" s="481"/>
    </row>
    <row r="27" spans="2:21" x14ac:dyDescent="0.2">
      <c r="B27" s="485"/>
      <c r="U27" s="481"/>
    </row>
    <row r="28" spans="2:21" x14ac:dyDescent="0.2">
      <c r="B28" s="483" t="s">
        <v>1134</v>
      </c>
      <c r="N28" s="477">
        <v>11.914999999999999</v>
      </c>
      <c r="O28" s="494" t="s">
        <v>963</v>
      </c>
      <c r="U28" s="481"/>
    </row>
    <row r="29" spans="2:21" x14ac:dyDescent="0.2">
      <c r="B29" s="482">
        <v>2028</v>
      </c>
      <c r="C29" s="494" t="s">
        <v>1135</v>
      </c>
      <c r="U29" s="481"/>
    </row>
    <row r="30" spans="2:21" x14ac:dyDescent="0.2">
      <c r="B30" s="482">
        <v>2032</v>
      </c>
      <c r="C30" s="494" t="s">
        <v>1139</v>
      </c>
      <c r="U30" s="481"/>
    </row>
    <row r="31" spans="2:21" x14ac:dyDescent="0.2">
      <c r="B31" s="480"/>
      <c r="C31" s="479"/>
      <c r="D31" s="479"/>
      <c r="E31" s="479"/>
      <c r="F31" s="479"/>
      <c r="G31" s="479"/>
      <c r="H31" s="479"/>
      <c r="I31" s="479"/>
      <c r="J31" s="479"/>
      <c r="K31" s="479"/>
      <c r="L31" s="479"/>
      <c r="M31" s="479"/>
      <c r="N31" s="479"/>
      <c r="O31" s="479"/>
      <c r="P31" s="479"/>
      <c r="Q31" s="479"/>
      <c r="R31" s="479"/>
      <c r="S31" s="479"/>
      <c r="T31" s="479"/>
      <c r="U31" s="478"/>
    </row>
  </sheetData>
  <dataValidations count="1">
    <dataValidation type="list" allowBlank="1" showInputMessage="1" showErrorMessage="1" sqref="B11 B17 B14" xr:uid="{E077E262-CAA3-4D3F-9F3B-BCBC970C2F4C}">
      <formula1>$G$7:$G$9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theme="4"/>
  </sheetPr>
  <dimension ref="A2:AS307"/>
  <sheetViews>
    <sheetView topLeftCell="A133" zoomScale="85" zoomScaleNormal="85" workbookViewId="0">
      <selection activeCell="M160" sqref="M160"/>
    </sheetView>
  </sheetViews>
  <sheetFormatPr defaultRowHeight="15" x14ac:dyDescent="0.25"/>
  <cols>
    <col min="2" max="2" width="14" customWidth="1"/>
    <col min="3" max="3" width="29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10" max="10" width="11" customWidth="1"/>
    <col min="27" max="27" width="9.140625" customWidth="1"/>
  </cols>
  <sheetData>
    <row r="2" spans="1:45" x14ac:dyDescent="0.25">
      <c r="C2" t="s">
        <v>766</v>
      </c>
      <c r="D2">
        <v>120</v>
      </c>
      <c r="E2" t="s">
        <v>416</v>
      </c>
      <c r="J2" t="s">
        <v>996</v>
      </c>
    </row>
    <row r="3" spans="1:45" x14ac:dyDescent="0.25">
      <c r="J3" s="14" t="s">
        <v>997</v>
      </c>
      <c r="K3" s="15"/>
      <c r="L3" s="15" t="s">
        <v>998</v>
      </c>
      <c r="M3" s="15"/>
      <c r="N3" s="3"/>
      <c r="P3" t="s">
        <v>931</v>
      </c>
      <c r="Q3" s="474"/>
      <c r="R3">
        <v>1.1499999999999999</v>
      </c>
      <c r="S3" s="118" t="s">
        <v>780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1217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79" t="s">
        <v>1003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79" t="s">
        <v>993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497"/>
    </row>
    <row r="12" spans="1:45" x14ac:dyDescent="0.25">
      <c r="B12" s="498"/>
      <c r="C12" s="498"/>
      <c r="D12" s="498" t="s">
        <v>1006</v>
      </c>
      <c r="E12" s="498"/>
      <c r="F12" s="498"/>
      <c r="G12" s="498"/>
      <c r="H12" s="498"/>
      <c r="I12" s="498"/>
      <c r="J12" s="498"/>
      <c r="K12" s="498"/>
      <c r="L12" s="498"/>
      <c r="M12" s="498"/>
      <c r="N12" s="498"/>
      <c r="X12" s="497"/>
    </row>
    <row r="13" spans="1:45" x14ac:dyDescent="0.25">
      <c r="B13" s="498"/>
      <c r="C13" s="498"/>
      <c r="D13" s="498"/>
      <c r="E13" s="498"/>
      <c r="F13" s="498"/>
      <c r="G13" s="498"/>
      <c r="H13" s="498"/>
      <c r="I13" s="498"/>
      <c r="J13" s="498"/>
      <c r="K13" s="498"/>
      <c r="L13" s="498"/>
      <c r="M13" s="498"/>
      <c r="N13" s="498"/>
      <c r="X13" s="497"/>
    </row>
    <row r="14" spans="1:45" ht="21" x14ac:dyDescent="0.35">
      <c r="B14" s="498"/>
      <c r="C14" s="498"/>
      <c r="D14" s="498"/>
      <c r="E14" s="498"/>
      <c r="F14" s="498"/>
      <c r="G14" s="498"/>
      <c r="H14" s="498"/>
      <c r="I14" s="498"/>
      <c r="J14" s="498"/>
      <c r="K14" s="498"/>
      <c r="L14" s="498"/>
      <c r="M14" s="498"/>
      <c r="N14" s="498"/>
      <c r="X14" s="497"/>
      <c r="Z14" s="434" t="s">
        <v>983</v>
      </c>
    </row>
    <row r="15" spans="1:45" ht="21" x14ac:dyDescent="0.35">
      <c r="B15" s="498"/>
      <c r="C15" s="498"/>
      <c r="D15" s="498"/>
      <c r="E15" s="498"/>
      <c r="F15" s="498"/>
      <c r="G15" s="498"/>
      <c r="H15" s="498"/>
      <c r="I15" s="498"/>
      <c r="J15" s="498"/>
      <c r="K15" s="498"/>
      <c r="L15" s="498"/>
      <c r="M15" s="498"/>
      <c r="N15" s="498"/>
      <c r="X15" s="497"/>
      <c r="Z15" s="434"/>
    </row>
    <row r="16" spans="1:45" x14ac:dyDescent="0.25">
      <c r="B16" s="498"/>
      <c r="C16" s="498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X16" s="497"/>
      <c r="Z16" t="s">
        <v>741</v>
      </c>
      <c r="AM16" t="s">
        <v>742</v>
      </c>
    </row>
    <row r="17" spans="2:40" x14ac:dyDescent="0.25">
      <c r="B17" s="498"/>
      <c r="C17" s="498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X17" s="497"/>
      <c r="AM17" t="s">
        <v>743</v>
      </c>
    </row>
    <row r="18" spans="2:40" x14ac:dyDescent="0.25">
      <c r="B18" s="498"/>
      <c r="C18" s="498"/>
      <c r="D18" s="498"/>
      <c r="E18" s="498"/>
      <c r="F18" s="498"/>
      <c r="G18" s="498"/>
      <c r="H18" s="498"/>
      <c r="I18" s="498"/>
      <c r="J18" s="498"/>
      <c r="K18" s="498"/>
      <c r="L18" s="498"/>
      <c r="M18" s="498"/>
      <c r="N18" s="498"/>
      <c r="X18" s="497"/>
      <c r="AM18" t="s">
        <v>744</v>
      </c>
    </row>
    <row r="19" spans="2:40" x14ac:dyDescent="0.25">
      <c r="B19" s="498"/>
      <c r="C19" s="498"/>
      <c r="D19" s="498"/>
      <c r="E19" s="498"/>
      <c r="F19" s="498"/>
      <c r="G19" s="498"/>
      <c r="H19" s="498"/>
      <c r="I19" s="498"/>
      <c r="J19" s="498"/>
      <c r="K19" s="498"/>
      <c r="L19" s="498"/>
      <c r="M19" s="498"/>
      <c r="N19" s="498"/>
      <c r="X19" s="497"/>
      <c r="AM19" t="s">
        <v>745</v>
      </c>
      <c r="AN19" t="s">
        <v>746</v>
      </c>
    </row>
    <row r="20" spans="2:40" x14ac:dyDescent="0.25">
      <c r="B20" s="498"/>
      <c r="C20" s="498"/>
      <c r="D20" s="498"/>
      <c r="E20" s="498"/>
      <c r="F20" s="498"/>
      <c r="G20" s="498"/>
      <c r="H20" s="498"/>
      <c r="I20" s="498"/>
      <c r="J20" s="498"/>
      <c r="K20" s="498"/>
      <c r="L20" s="498"/>
      <c r="M20" s="498"/>
      <c r="N20" s="498"/>
      <c r="X20" s="497"/>
      <c r="AM20">
        <v>300</v>
      </c>
      <c r="AN20" t="s">
        <v>747</v>
      </c>
    </row>
    <row r="21" spans="2:40" x14ac:dyDescent="0.25">
      <c r="B21" s="498"/>
      <c r="C21" s="498"/>
      <c r="D21" s="498"/>
      <c r="E21" s="498"/>
      <c r="F21" s="498"/>
      <c r="G21" s="498"/>
      <c r="H21" s="498"/>
      <c r="I21" s="498"/>
      <c r="J21" s="498"/>
      <c r="K21" s="498"/>
      <c r="L21" s="498"/>
      <c r="M21" s="498"/>
      <c r="N21" s="498"/>
      <c r="X21" s="497"/>
      <c r="AM21" t="s">
        <v>748</v>
      </c>
    </row>
    <row r="22" spans="2:40" x14ac:dyDescent="0.25">
      <c r="B22" s="498"/>
      <c r="C22" s="498"/>
      <c r="D22" s="498"/>
      <c r="E22" s="498"/>
      <c r="F22" s="498"/>
      <c r="G22" s="498"/>
      <c r="H22" s="498"/>
      <c r="I22" s="498"/>
      <c r="J22" s="498"/>
      <c r="K22" s="498"/>
      <c r="L22" s="498"/>
      <c r="M22" s="498"/>
      <c r="N22" s="498"/>
      <c r="X22" s="497"/>
    </row>
    <row r="23" spans="2:40" x14ac:dyDescent="0.25">
      <c r="B23" s="498"/>
      <c r="C23" s="498"/>
      <c r="D23" s="498"/>
      <c r="E23" s="498"/>
      <c r="F23" s="498"/>
      <c r="G23" s="498"/>
      <c r="H23" s="498"/>
      <c r="I23" s="498"/>
      <c r="J23" s="498"/>
      <c r="K23" s="498"/>
      <c r="L23" s="498"/>
      <c r="M23" s="498"/>
      <c r="N23" s="498"/>
      <c r="X23" s="497"/>
    </row>
    <row r="24" spans="2:40" x14ac:dyDescent="0.25">
      <c r="B24" s="498"/>
      <c r="C24" s="498"/>
      <c r="D24" s="498"/>
      <c r="E24" s="498"/>
      <c r="F24" s="498"/>
      <c r="G24" s="498"/>
      <c r="H24" s="498"/>
      <c r="I24" s="498"/>
      <c r="J24" s="498"/>
      <c r="K24" s="498"/>
      <c r="L24" s="498"/>
      <c r="M24" s="498"/>
      <c r="N24" s="498"/>
      <c r="X24" s="497"/>
    </row>
    <row r="25" spans="2:40" x14ac:dyDescent="0.25">
      <c r="B25" s="498"/>
      <c r="C25" s="498"/>
      <c r="D25" s="498"/>
      <c r="E25" s="498"/>
      <c r="F25" s="498"/>
      <c r="G25" s="498"/>
      <c r="H25" s="498"/>
      <c r="I25" s="498"/>
      <c r="J25" s="498"/>
      <c r="K25" s="498"/>
      <c r="L25" s="498"/>
      <c r="M25" s="498"/>
      <c r="N25" s="498"/>
      <c r="X25" s="497"/>
    </row>
    <row r="26" spans="2:40" x14ac:dyDescent="0.25">
      <c r="B26" s="498"/>
      <c r="C26" s="498"/>
      <c r="D26" s="498"/>
      <c r="E26" s="498"/>
      <c r="F26" s="498"/>
      <c r="G26" s="498"/>
      <c r="H26" s="498"/>
      <c r="I26" s="498"/>
      <c r="J26" s="498"/>
      <c r="K26" s="498"/>
      <c r="L26" s="498"/>
      <c r="M26" s="498"/>
      <c r="N26" s="498"/>
      <c r="X26" s="497"/>
    </row>
    <row r="27" spans="2:40" x14ac:dyDescent="0.25">
      <c r="B27" s="498"/>
      <c r="C27" s="498"/>
      <c r="D27" s="498"/>
      <c r="E27" s="498"/>
      <c r="F27" s="498"/>
      <c r="G27" s="498"/>
      <c r="H27" s="498"/>
      <c r="I27" s="498"/>
      <c r="J27" s="498"/>
      <c r="K27" s="498"/>
      <c r="L27" s="498"/>
      <c r="M27" s="498"/>
      <c r="N27" s="498"/>
      <c r="X27" s="497"/>
    </row>
    <row r="28" spans="2:40" x14ac:dyDescent="0.25">
      <c r="B28" s="498"/>
      <c r="C28" s="498"/>
      <c r="D28" s="498"/>
      <c r="E28" s="498"/>
      <c r="F28" s="498"/>
      <c r="G28" s="498"/>
      <c r="H28" s="498"/>
      <c r="I28" s="498"/>
      <c r="J28" s="498"/>
      <c r="K28" s="498"/>
      <c r="L28" s="498"/>
      <c r="M28" s="498"/>
      <c r="N28" s="498"/>
      <c r="X28" s="497"/>
    </row>
    <row r="29" spans="2:40" x14ac:dyDescent="0.25">
      <c r="B29" s="498"/>
      <c r="C29" s="498"/>
      <c r="D29" s="498"/>
      <c r="E29" s="498"/>
      <c r="F29" s="498"/>
      <c r="G29" s="498"/>
      <c r="H29" s="498"/>
      <c r="I29" s="498"/>
      <c r="J29" s="498"/>
      <c r="K29" s="498"/>
      <c r="L29" s="498"/>
      <c r="M29" s="498"/>
      <c r="N29" s="498"/>
      <c r="X29" s="497"/>
    </row>
    <row r="30" spans="2:40" x14ac:dyDescent="0.25">
      <c r="B30" s="498"/>
      <c r="C30" s="498"/>
      <c r="D30" s="498"/>
      <c r="E30" s="498"/>
      <c r="F30" s="498"/>
      <c r="G30" s="498"/>
      <c r="H30" s="498"/>
      <c r="I30" s="498"/>
      <c r="J30" s="498"/>
      <c r="K30" s="498"/>
      <c r="L30" s="498"/>
      <c r="M30" s="498"/>
      <c r="N30" s="498"/>
      <c r="X30" s="497"/>
    </row>
    <row r="31" spans="2:40" x14ac:dyDescent="0.25">
      <c r="B31" s="498"/>
      <c r="C31" s="498"/>
      <c r="D31" s="498"/>
      <c r="E31" s="498"/>
      <c r="F31" s="498"/>
      <c r="G31" s="498"/>
      <c r="H31" s="498"/>
      <c r="I31" s="498"/>
      <c r="J31" s="498"/>
      <c r="K31" s="498"/>
      <c r="L31" s="498"/>
      <c r="M31" s="498"/>
      <c r="N31" s="498"/>
      <c r="X31" s="497"/>
    </row>
    <row r="32" spans="2:40" x14ac:dyDescent="0.25">
      <c r="B32" s="498"/>
      <c r="C32" s="498"/>
      <c r="D32" s="498"/>
      <c r="E32" s="498"/>
      <c r="F32" s="498"/>
      <c r="G32" s="498"/>
      <c r="H32" s="498"/>
      <c r="I32" s="498"/>
      <c r="J32" s="498"/>
      <c r="K32" s="498"/>
      <c r="L32" s="498"/>
      <c r="M32" s="498"/>
      <c r="N32" s="498"/>
      <c r="X32" s="497"/>
    </row>
    <row r="33" spans="1:24" x14ac:dyDescent="0.25">
      <c r="B33" s="498"/>
      <c r="C33" s="498"/>
      <c r="D33" s="498"/>
      <c r="E33" s="498"/>
      <c r="F33" s="498"/>
      <c r="G33" s="498"/>
      <c r="H33" s="498"/>
      <c r="I33" s="498"/>
      <c r="J33" s="498"/>
      <c r="K33" s="498"/>
      <c r="L33" s="498"/>
      <c r="M33" s="498"/>
      <c r="N33" s="498"/>
      <c r="X33" s="497"/>
    </row>
    <row r="34" spans="1:24" x14ac:dyDescent="0.25">
      <c r="B34" s="498"/>
      <c r="C34" s="498"/>
      <c r="D34" s="498"/>
      <c r="E34" s="498"/>
      <c r="F34" s="498"/>
      <c r="G34" s="498"/>
      <c r="H34" s="498"/>
      <c r="I34" s="498"/>
      <c r="J34" s="498"/>
      <c r="K34" s="498"/>
      <c r="L34" s="498"/>
      <c r="M34" s="498"/>
      <c r="N34" s="498"/>
      <c r="X34" s="497"/>
    </row>
    <row r="35" spans="1:24" x14ac:dyDescent="0.25">
      <c r="B35" s="498"/>
      <c r="C35" s="498"/>
      <c r="D35" s="498"/>
      <c r="E35" s="498"/>
      <c r="F35" s="498"/>
      <c r="G35" s="498"/>
      <c r="H35" s="498"/>
      <c r="I35" s="498"/>
      <c r="J35" s="498"/>
      <c r="K35" s="498"/>
      <c r="L35" s="498"/>
      <c r="M35" s="498"/>
      <c r="N35" s="498"/>
      <c r="X35" s="497"/>
    </row>
    <row r="36" spans="1:24" x14ac:dyDescent="0.25">
      <c r="X36" s="497"/>
    </row>
    <row r="37" spans="1:24" x14ac:dyDescent="0.25">
      <c r="X37" s="497"/>
    </row>
    <row r="38" spans="1:24" x14ac:dyDescent="0.25">
      <c r="X38" s="497"/>
    </row>
    <row r="39" spans="1:24" ht="21" x14ac:dyDescent="0.35">
      <c r="A39" s="434" t="s">
        <v>1213</v>
      </c>
      <c r="X39" s="497"/>
    </row>
    <row r="40" spans="1:24" x14ac:dyDescent="0.25">
      <c r="X40" s="497"/>
    </row>
    <row r="41" spans="1:24" x14ac:dyDescent="0.25">
      <c r="B41" s="567" t="s">
        <v>1141</v>
      </c>
      <c r="C41" s="568"/>
      <c r="D41" s="558"/>
      <c r="E41" s="558"/>
      <c r="F41" s="558"/>
      <c r="G41" s="558"/>
      <c r="H41" s="568"/>
      <c r="I41" s="590"/>
      <c r="X41" s="497"/>
    </row>
    <row r="42" spans="1:24" x14ac:dyDescent="0.25">
      <c r="B42" s="569" t="s">
        <v>1142</v>
      </c>
      <c r="C42" s="569" t="s">
        <v>1143</v>
      </c>
      <c r="D42" s="569" t="s">
        <v>1144</v>
      </c>
      <c r="E42" s="569" t="s">
        <v>1145</v>
      </c>
      <c r="F42" s="569" t="s">
        <v>1146</v>
      </c>
      <c r="G42" s="569" t="s">
        <v>1147</v>
      </c>
      <c r="H42" s="569" t="s">
        <v>1225</v>
      </c>
      <c r="I42" s="591" t="s">
        <v>1148</v>
      </c>
      <c r="X42" s="497"/>
    </row>
    <row r="43" spans="1:24" x14ac:dyDescent="0.25">
      <c r="B43" s="495" t="s">
        <v>972</v>
      </c>
      <c r="C43" s="495" t="str">
        <f t="shared" ref="C43:C52" si="0">"Industry - I&amp;S - "&amp;J43</f>
        <v>Industry - I&amp;S - ToLocalSteelMarket</v>
      </c>
      <c r="D43" t="s">
        <v>140</v>
      </c>
      <c r="E43" t="s">
        <v>1153</v>
      </c>
      <c r="F43" t="s">
        <v>980</v>
      </c>
      <c r="G43" t="s">
        <v>1154</v>
      </c>
      <c r="H43" s="477"/>
      <c r="I43" s="477"/>
      <c r="J43" t="s">
        <v>1199</v>
      </c>
      <c r="X43" s="497"/>
    </row>
    <row r="44" spans="1:24" x14ac:dyDescent="0.25">
      <c r="B44" s="495" t="s">
        <v>971</v>
      </c>
      <c r="C44" s="495" t="str">
        <f t="shared" si="0"/>
        <v>Industry - I&amp;S - Alkaline Electrolysers</v>
      </c>
      <c r="D44" s="495" t="s">
        <v>140</v>
      </c>
      <c r="E44" t="s">
        <v>1218</v>
      </c>
      <c r="F44" s="494" t="s">
        <v>979</v>
      </c>
      <c r="G44" t="s">
        <v>1154</v>
      </c>
      <c r="H44" s="477" t="str">
        <f>E77</f>
        <v>IISELC</v>
      </c>
      <c r="I44" s="494" t="s">
        <v>1271</v>
      </c>
      <c r="J44" t="s">
        <v>1207</v>
      </c>
      <c r="N44" t="s">
        <v>1226</v>
      </c>
      <c r="X44" s="497"/>
    </row>
    <row r="45" spans="1:24" x14ac:dyDescent="0.25">
      <c r="B45" s="495" t="s">
        <v>970</v>
      </c>
      <c r="C45" s="495" t="str">
        <f t="shared" si="0"/>
        <v>Industry - I&amp;S - Battery</v>
      </c>
      <c r="D45" s="495" t="s">
        <v>140</v>
      </c>
      <c r="E45" t="s">
        <v>1218</v>
      </c>
      <c r="F45" s="494" t="s">
        <v>980</v>
      </c>
      <c r="G45" t="s">
        <v>1154</v>
      </c>
      <c r="H45" s="477"/>
      <c r="I45" s="477"/>
      <c r="J45" t="s">
        <v>1200</v>
      </c>
      <c r="X45" s="497"/>
    </row>
    <row r="46" spans="1:24" x14ac:dyDescent="0.25">
      <c r="B46" s="495" t="s">
        <v>969</v>
      </c>
      <c r="C46" s="495" t="str">
        <f t="shared" si="0"/>
        <v>Industry - I&amp;S - Electric Arc</v>
      </c>
      <c r="D46" t="s">
        <v>140</v>
      </c>
      <c r="E46" t="s">
        <v>1153</v>
      </c>
      <c r="F46" s="494" t="s">
        <v>979</v>
      </c>
      <c r="G46" t="s">
        <v>1154</v>
      </c>
      <c r="H46" s="477"/>
      <c r="I46" s="477"/>
      <c r="J46" t="s">
        <v>1206</v>
      </c>
      <c r="X46" s="497"/>
    </row>
    <row r="47" spans="1:24" x14ac:dyDescent="0.25">
      <c r="B47" s="495" t="s">
        <v>968</v>
      </c>
      <c r="C47" s="495" t="str">
        <f t="shared" si="0"/>
        <v>Industry - I&amp;S - HBI Storage</v>
      </c>
      <c r="D47" t="s">
        <v>140</v>
      </c>
      <c r="E47" t="s">
        <v>1153</v>
      </c>
      <c r="F47" s="494" t="s">
        <v>980</v>
      </c>
      <c r="G47" t="s">
        <v>1275</v>
      </c>
      <c r="H47" s="477"/>
      <c r="I47" s="477"/>
      <c r="J47" t="s">
        <v>1205</v>
      </c>
      <c r="X47" s="497"/>
    </row>
    <row r="48" spans="1:24" x14ac:dyDescent="0.25">
      <c r="B48" s="495" t="s">
        <v>967</v>
      </c>
      <c r="C48" s="495" t="str">
        <f t="shared" si="0"/>
        <v>Industry - I&amp;S - H2 DRI</v>
      </c>
      <c r="D48" t="s">
        <v>140</v>
      </c>
      <c r="E48" t="s">
        <v>1153</v>
      </c>
      <c r="F48" s="494" t="s">
        <v>980</v>
      </c>
      <c r="G48" t="s">
        <v>1154</v>
      </c>
      <c r="H48" s="477"/>
      <c r="I48" s="477"/>
      <c r="J48" t="s">
        <v>1203</v>
      </c>
      <c r="X48" s="497"/>
    </row>
    <row r="49" spans="2:36" x14ac:dyDescent="0.25">
      <c r="B49" s="495" t="s">
        <v>966</v>
      </c>
      <c r="C49" s="495" t="str">
        <f t="shared" si="0"/>
        <v>Industry - I&amp;S - H2 Storage</v>
      </c>
      <c r="D49" t="s">
        <v>140</v>
      </c>
      <c r="E49" t="s">
        <v>1153</v>
      </c>
      <c r="F49" s="494" t="s">
        <v>979</v>
      </c>
      <c r="G49" t="s">
        <v>1275</v>
      </c>
      <c r="H49" s="477"/>
      <c r="I49" s="477"/>
      <c r="J49" t="s">
        <v>1204</v>
      </c>
      <c r="X49" s="497"/>
    </row>
    <row r="50" spans="2:36" x14ac:dyDescent="0.25">
      <c r="B50" s="495" t="s">
        <v>964</v>
      </c>
      <c r="C50" s="495" t="str">
        <f t="shared" si="0"/>
        <v>Industry - I&amp;S - Iron Ore Mining</v>
      </c>
      <c r="D50" t="s">
        <v>140</v>
      </c>
      <c r="E50" t="s">
        <v>1153</v>
      </c>
      <c r="F50" s="494" t="s">
        <v>980</v>
      </c>
      <c r="G50" t="s">
        <v>1154</v>
      </c>
      <c r="H50" s="477"/>
      <c r="I50" s="477"/>
      <c r="J50" t="s">
        <v>1201</v>
      </c>
      <c r="X50" s="497"/>
    </row>
    <row r="51" spans="2:36" x14ac:dyDescent="0.25">
      <c r="B51" s="495" t="s">
        <v>1272</v>
      </c>
      <c r="C51" s="495" t="str">
        <f t="shared" si="0"/>
        <v>Industry - I&amp;S - Electricity To - GreenSteel</v>
      </c>
      <c r="D51" t="s">
        <v>140</v>
      </c>
      <c r="E51" t="s">
        <v>1153</v>
      </c>
      <c r="F51" s="494" t="s">
        <v>979</v>
      </c>
      <c r="G51" t="s">
        <v>1154</v>
      </c>
      <c r="H51" s="477"/>
      <c r="I51" s="477"/>
      <c r="J51" t="s">
        <v>1208</v>
      </c>
      <c r="X51" s="497"/>
    </row>
    <row r="52" spans="2:36" x14ac:dyDescent="0.25">
      <c r="B52" t="s">
        <v>1117</v>
      </c>
      <c r="C52" s="495" t="str">
        <f t="shared" si="0"/>
        <v>Industry - I&amp;S - Export Green Iron</v>
      </c>
      <c r="D52" t="s">
        <v>140</v>
      </c>
      <c r="E52" t="s">
        <v>1153</v>
      </c>
      <c r="F52" s="494" t="s">
        <v>980</v>
      </c>
      <c r="G52" t="s">
        <v>1154</v>
      </c>
      <c r="H52" s="477"/>
      <c r="I52" s="477"/>
      <c r="J52" t="s">
        <v>1202</v>
      </c>
      <c r="X52" s="497"/>
    </row>
    <row r="53" spans="2:36" x14ac:dyDescent="0.25">
      <c r="X53" s="497"/>
    </row>
    <row r="54" spans="2:36" x14ac:dyDescent="0.25">
      <c r="X54" s="497"/>
    </row>
    <row r="55" spans="2:36" ht="15.75" x14ac:dyDescent="0.25">
      <c r="B55" s="499" t="s">
        <v>1002</v>
      </c>
      <c r="X55" s="497"/>
    </row>
    <row r="56" spans="2:36" x14ac:dyDescent="0.25">
      <c r="C56" s="5"/>
      <c r="D56" s="596" t="s">
        <v>749</v>
      </c>
      <c r="E56" s="597"/>
      <c r="F56" s="598"/>
      <c r="G56" s="596" t="s">
        <v>755</v>
      </c>
      <c r="H56" s="597"/>
      <c r="I56" s="598"/>
      <c r="X56" s="497"/>
    </row>
    <row r="57" spans="2:36" x14ac:dyDescent="0.25">
      <c r="B57" s="8"/>
      <c r="C57" s="9" t="s">
        <v>986</v>
      </c>
      <c r="D57" s="11" t="s">
        <v>750</v>
      </c>
      <c r="E57" s="11">
        <v>2030</v>
      </c>
      <c r="F57" s="441" t="s">
        <v>984</v>
      </c>
      <c r="G57" s="11" t="s">
        <v>750</v>
      </c>
      <c r="H57" s="11">
        <v>2030</v>
      </c>
      <c r="I57" s="441" t="s">
        <v>984</v>
      </c>
      <c r="X57" s="497"/>
      <c r="AB57" s="5"/>
      <c r="AC57" t="s">
        <v>749</v>
      </c>
      <c r="AE57" s="5"/>
      <c r="AF57" t="s">
        <v>755</v>
      </c>
      <c r="AH57" s="5"/>
    </row>
    <row r="58" spans="2:36" x14ac:dyDescent="0.25">
      <c r="B58" s="593" t="s">
        <v>988</v>
      </c>
      <c r="C58" s="5" t="s">
        <v>752</v>
      </c>
      <c r="D58" s="504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497"/>
      <c r="AA58" s="8"/>
      <c r="AB58" s="9" t="s">
        <v>986</v>
      </c>
      <c r="AC58" s="8" t="s">
        <v>750</v>
      </c>
      <c r="AD58" s="8">
        <v>2030</v>
      </c>
      <c r="AE58" s="9" t="s">
        <v>984</v>
      </c>
      <c r="AF58" s="8" t="s">
        <v>750</v>
      </c>
      <c r="AG58" s="8">
        <v>2030</v>
      </c>
      <c r="AH58" s="9" t="s">
        <v>984</v>
      </c>
      <c r="AI58" s="393"/>
      <c r="AJ58" s="393"/>
    </row>
    <row r="59" spans="2:36" x14ac:dyDescent="0.25">
      <c r="B59" s="594"/>
      <c r="C59" s="5" t="s">
        <v>754</v>
      </c>
      <c r="D59" s="504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497"/>
      <c r="AA59" t="s">
        <v>988</v>
      </c>
      <c r="AB59" s="5" t="s">
        <v>752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595"/>
      <c r="C60" s="9" t="s">
        <v>949</v>
      </c>
      <c r="D60" s="504">
        <f t="shared" ref="D60:I60" si="1">AVERAGE(D58:D59)</f>
        <v>0.58000000000000007</v>
      </c>
      <c r="E60" s="264">
        <f t="shared" si="1"/>
        <v>0.65500000000000003</v>
      </c>
      <c r="F60" s="265">
        <f t="shared" si="1"/>
        <v>0.70500000000000007</v>
      </c>
      <c r="G60" s="264">
        <f>AVERAGE(G58:G59)</f>
        <v>0.66500000000000004</v>
      </c>
      <c r="H60" s="264">
        <f t="shared" si="1"/>
        <v>0.67999999999999994</v>
      </c>
      <c r="I60" s="265">
        <f t="shared" si="1"/>
        <v>0.75</v>
      </c>
      <c r="X60" s="497"/>
      <c r="AB60" s="5" t="s">
        <v>754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593" t="s">
        <v>1004</v>
      </c>
      <c r="C61" s="5" t="s">
        <v>752</v>
      </c>
      <c r="D61" s="505">
        <f t="shared" ref="D61:I63" si="2">AC62*$L$5</f>
        <v>13106.499999999998</v>
      </c>
      <c r="E61" s="120">
        <f t="shared" si="2"/>
        <v>7744.7499999999991</v>
      </c>
      <c r="F61" s="126">
        <f t="shared" si="2"/>
        <v>2383</v>
      </c>
      <c r="G61" s="120">
        <f t="shared" si="2"/>
        <v>5957.5</v>
      </c>
      <c r="H61" s="120">
        <f t="shared" si="2"/>
        <v>4766</v>
      </c>
      <c r="I61" s="126">
        <f t="shared" si="2"/>
        <v>2383</v>
      </c>
      <c r="L61" t="s">
        <v>1005</v>
      </c>
      <c r="X61" s="497"/>
      <c r="AA61" s="8"/>
      <c r="AB61" s="9" t="s">
        <v>949</v>
      </c>
      <c r="AC61" s="264">
        <f t="shared" ref="AC61:AH61" si="3">AVERAGE(AC59:AC60)</f>
        <v>0.58000000000000007</v>
      </c>
      <c r="AD61" s="264">
        <f t="shared" si="3"/>
        <v>0.65500000000000003</v>
      </c>
      <c r="AE61" s="265">
        <f t="shared" si="3"/>
        <v>0.70500000000000007</v>
      </c>
      <c r="AF61" s="264">
        <f t="shared" si="3"/>
        <v>0.66500000000000004</v>
      </c>
      <c r="AG61" s="264">
        <f t="shared" si="3"/>
        <v>0.67999999999999994</v>
      </c>
      <c r="AH61" s="265">
        <f t="shared" si="3"/>
        <v>0.75</v>
      </c>
    </row>
    <row r="62" spans="2:36" x14ac:dyDescent="0.25">
      <c r="B62" s="594"/>
      <c r="C62" s="5" t="s">
        <v>754</v>
      </c>
      <c r="D62" s="505">
        <f t="shared" si="2"/>
        <v>21447</v>
      </c>
      <c r="E62" s="120">
        <f t="shared" si="2"/>
        <v>17872.5</v>
      </c>
      <c r="F62" s="126">
        <f t="shared" si="2"/>
        <v>10723.5</v>
      </c>
      <c r="G62" s="120">
        <f t="shared" si="2"/>
        <v>16681</v>
      </c>
      <c r="H62" s="120">
        <f t="shared" si="2"/>
        <v>10127.75</v>
      </c>
      <c r="I62" s="126">
        <f t="shared" si="2"/>
        <v>8340.5</v>
      </c>
      <c r="X62" s="497"/>
      <c r="AA62" t="s">
        <v>987</v>
      </c>
      <c r="AB62" s="5" t="s">
        <v>752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595"/>
      <c r="C63" s="9" t="s">
        <v>949</v>
      </c>
      <c r="D63" s="120">
        <f t="shared" si="2"/>
        <v>17276.75</v>
      </c>
      <c r="E63" s="120">
        <f t="shared" si="2"/>
        <v>12808.624999999998</v>
      </c>
      <c r="F63" s="126">
        <f t="shared" si="2"/>
        <v>6553.2499999999991</v>
      </c>
      <c r="G63" s="120">
        <f t="shared" si="2"/>
        <v>11319.25</v>
      </c>
      <c r="H63" s="120">
        <f t="shared" si="2"/>
        <v>7446.8749999999991</v>
      </c>
      <c r="I63" s="126">
        <f t="shared" si="2"/>
        <v>5361.75</v>
      </c>
      <c r="X63" s="497"/>
      <c r="AB63" s="5" t="s">
        <v>754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593" t="s">
        <v>989</v>
      </c>
      <c r="C64" s="5" t="s">
        <v>752</v>
      </c>
      <c r="D64" s="7">
        <v>30000</v>
      </c>
      <c r="E64" s="8">
        <v>60000</v>
      </c>
      <c r="F64" s="9">
        <v>10000</v>
      </c>
      <c r="G64" s="8">
        <v>60000</v>
      </c>
      <c r="H64" s="506">
        <v>90000</v>
      </c>
      <c r="I64" s="507">
        <v>100000</v>
      </c>
      <c r="X64" s="497"/>
      <c r="AA64" s="8"/>
      <c r="AB64" s="9" t="s">
        <v>949</v>
      </c>
      <c r="AC64" s="8">
        <f t="shared" ref="AC64:AH64" si="4">AVERAGE(AC62:AC63)</f>
        <v>1450</v>
      </c>
      <c r="AD64" s="8">
        <f t="shared" si="4"/>
        <v>1075</v>
      </c>
      <c r="AE64" s="9">
        <f t="shared" si="4"/>
        <v>550</v>
      </c>
      <c r="AF64" s="8">
        <f t="shared" si="4"/>
        <v>950</v>
      </c>
      <c r="AG64" s="8">
        <f t="shared" si="4"/>
        <v>625</v>
      </c>
      <c r="AH64" s="9">
        <f t="shared" si="4"/>
        <v>450</v>
      </c>
    </row>
    <row r="65" spans="2:37" x14ac:dyDescent="0.25">
      <c r="B65" s="594"/>
      <c r="C65" s="5" t="s">
        <v>754</v>
      </c>
      <c r="D65" s="7">
        <v>90000</v>
      </c>
      <c r="E65" s="8">
        <v>90000</v>
      </c>
      <c r="F65" s="9">
        <v>15000</v>
      </c>
      <c r="G65" s="8">
        <v>90000</v>
      </c>
      <c r="H65" s="506">
        <v>100000</v>
      </c>
      <c r="I65" s="507">
        <v>150000</v>
      </c>
      <c r="X65" s="497"/>
      <c r="AA65" t="s">
        <v>989</v>
      </c>
      <c r="AB65" s="5" t="s">
        <v>752</v>
      </c>
      <c r="AC65">
        <v>30000</v>
      </c>
      <c r="AD65">
        <v>60000</v>
      </c>
      <c r="AE65" s="5">
        <v>10000</v>
      </c>
      <c r="AF65">
        <v>60000</v>
      </c>
      <c r="AG65" s="433">
        <v>90000</v>
      </c>
      <c r="AH65" s="496">
        <v>100000</v>
      </c>
    </row>
    <row r="66" spans="2:37" x14ac:dyDescent="0.25">
      <c r="B66" s="595"/>
      <c r="C66" s="9" t="s">
        <v>949</v>
      </c>
      <c r="D66" s="8">
        <f t="shared" ref="D66:I66" si="5">AVERAGE(D64:D65)</f>
        <v>60000</v>
      </c>
      <c r="E66" s="8">
        <f t="shared" si="5"/>
        <v>75000</v>
      </c>
      <c r="F66" s="9">
        <f t="shared" si="5"/>
        <v>12500</v>
      </c>
      <c r="G66" s="8">
        <f t="shared" si="5"/>
        <v>75000</v>
      </c>
      <c r="H66" s="8">
        <f t="shared" si="5"/>
        <v>95000</v>
      </c>
      <c r="I66" s="9">
        <f t="shared" si="5"/>
        <v>125000</v>
      </c>
      <c r="X66" s="497"/>
      <c r="AB66" s="5" t="s">
        <v>754</v>
      </c>
      <c r="AC66">
        <v>90000</v>
      </c>
      <c r="AD66">
        <v>90000</v>
      </c>
      <c r="AE66" s="5">
        <v>15000</v>
      </c>
      <c r="AF66">
        <v>90000</v>
      </c>
      <c r="AG66" s="433">
        <v>100000</v>
      </c>
      <c r="AH66" s="496">
        <v>150000</v>
      </c>
    </row>
    <row r="67" spans="2:37" x14ac:dyDescent="0.25">
      <c r="X67" s="497"/>
      <c r="AA67" s="8"/>
      <c r="AB67" s="9" t="s">
        <v>949</v>
      </c>
      <c r="AC67" s="8">
        <f t="shared" ref="AC67:AH67" si="6">AVERAGE(AC65:AC66)</f>
        <v>60000</v>
      </c>
      <c r="AD67" s="8">
        <f t="shared" si="6"/>
        <v>75000</v>
      </c>
      <c r="AE67" s="9">
        <f t="shared" si="6"/>
        <v>12500</v>
      </c>
      <c r="AF67" s="8">
        <f t="shared" si="6"/>
        <v>75000</v>
      </c>
      <c r="AG67" s="8">
        <f t="shared" si="6"/>
        <v>95000</v>
      </c>
      <c r="AH67" s="9">
        <f t="shared" si="6"/>
        <v>125000</v>
      </c>
    </row>
    <row r="68" spans="2:37" x14ac:dyDescent="0.25">
      <c r="X68" s="497"/>
      <c r="AJ68" s="285"/>
      <c r="AK68" s="285"/>
    </row>
    <row r="69" spans="2:37" x14ac:dyDescent="0.25">
      <c r="D69" s="558"/>
      <c r="E69" s="559" t="s">
        <v>707</v>
      </c>
      <c r="F69" s="558"/>
      <c r="G69" s="558"/>
      <c r="H69" s="558"/>
      <c r="I69" s="558"/>
      <c r="J69" s="558"/>
      <c r="X69" s="497"/>
      <c r="AJ69" s="285"/>
      <c r="AK69" s="285"/>
    </row>
    <row r="70" spans="2:37" x14ac:dyDescent="0.25">
      <c r="D70" s="560" t="s">
        <v>1162</v>
      </c>
      <c r="E70" s="558">
        <v>2020</v>
      </c>
      <c r="F70" s="561">
        <v>2030</v>
      </c>
      <c r="G70" s="561">
        <v>2050</v>
      </c>
      <c r="H70" s="558">
        <v>2020</v>
      </c>
      <c r="I70" s="561">
        <v>2030</v>
      </c>
      <c r="J70" s="561">
        <v>2050</v>
      </c>
      <c r="K70" s="518"/>
      <c r="X70" s="497"/>
    </row>
    <row r="71" spans="2:37" x14ac:dyDescent="0.25">
      <c r="D71" s="562" t="s">
        <v>1142</v>
      </c>
      <c r="E71" s="563" t="str">
        <f>"NCAP_COST~"&amp;E70</f>
        <v>NCAP_COST~2020</v>
      </c>
      <c r="F71" s="563" t="str">
        <f>"NCAP_COST~"&amp;F70</f>
        <v>NCAP_COST~2030</v>
      </c>
      <c r="G71" s="563" t="str">
        <f>"NCAP_COST~"&amp;G70</f>
        <v>NCAP_COST~2050</v>
      </c>
      <c r="H71" s="563" t="str">
        <f>"LIFE~"&amp;H70</f>
        <v>LIFE~2020</v>
      </c>
      <c r="I71" s="563" t="str">
        <f>"LIFE~"&amp;I70</f>
        <v>LIFE~2030</v>
      </c>
      <c r="J71" s="563" t="str">
        <f>"LIFE~"&amp;J70</f>
        <v>LIFE~2050</v>
      </c>
      <c r="X71" s="497"/>
    </row>
    <row r="72" spans="2:37" ht="21" x14ac:dyDescent="0.35">
      <c r="D72" s="495" t="s">
        <v>971</v>
      </c>
      <c r="E72" s="523">
        <f>G63</f>
        <v>11319.25</v>
      </c>
      <c r="F72" s="523">
        <f>H63</f>
        <v>7446.8749999999991</v>
      </c>
      <c r="G72" s="523">
        <f>I63</f>
        <v>5361.75</v>
      </c>
      <c r="H72" s="524">
        <f>G66/8760</f>
        <v>8.5616438356164384</v>
      </c>
      <c r="I72" s="524">
        <f>H66/8760</f>
        <v>10.844748858447488</v>
      </c>
      <c r="J72" s="524">
        <f>I66/8760</f>
        <v>14.269406392694064</v>
      </c>
      <c r="X72" s="497"/>
      <c r="Z72" s="434" t="s">
        <v>990</v>
      </c>
    </row>
    <row r="73" spans="2:37" x14ac:dyDescent="0.25">
      <c r="D73" s="521"/>
      <c r="E73" s="522"/>
      <c r="F73" s="524"/>
      <c r="H73" s="522"/>
      <c r="I73" s="518"/>
      <c r="J73" s="518"/>
      <c r="X73" s="497"/>
      <c r="AA73" s="435"/>
    </row>
    <row r="74" spans="2:37" x14ac:dyDescent="0.25">
      <c r="E74" s="18" t="s">
        <v>1270</v>
      </c>
      <c r="X74" s="497"/>
      <c r="AA74" s="11" t="s">
        <v>757</v>
      </c>
      <c r="AB74" s="8"/>
      <c r="AC74" s="8"/>
    </row>
    <row r="75" spans="2:37" x14ac:dyDescent="0.25">
      <c r="D75" s="558"/>
      <c r="E75" s="558"/>
      <c r="F75" s="560" t="s">
        <v>1162</v>
      </c>
      <c r="G75" s="558"/>
      <c r="H75" s="558">
        <v>2020</v>
      </c>
      <c r="I75" s="558">
        <v>2030</v>
      </c>
      <c r="J75" s="558">
        <v>2050</v>
      </c>
      <c r="X75" s="497"/>
      <c r="AA75" t="s">
        <v>758</v>
      </c>
    </row>
    <row r="76" spans="2:37" x14ac:dyDescent="0.25">
      <c r="D76" s="562" t="s">
        <v>1142</v>
      </c>
      <c r="E76" s="564" t="s">
        <v>1163</v>
      </c>
      <c r="F76" s="564" t="s">
        <v>1164</v>
      </c>
      <c r="G76" s="565" t="s">
        <v>981</v>
      </c>
      <c r="H76" s="558" t="str">
        <f>"ACT_EFF~"&amp;H75</f>
        <v>ACT_EFF~2020</v>
      </c>
      <c r="I76" s="558" t="str">
        <f t="shared" ref="I76:J76" si="7">"ACT_EFF~"&amp;I75</f>
        <v>ACT_EFF~2030</v>
      </c>
      <c r="J76" s="558" t="str">
        <f t="shared" si="7"/>
        <v>ACT_EFF~2050</v>
      </c>
      <c r="X76" s="497"/>
      <c r="AA76" s="118" t="s">
        <v>759</v>
      </c>
    </row>
    <row r="77" spans="2:37" x14ac:dyDescent="0.25">
      <c r="D77" s="495" t="s">
        <v>971</v>
      </c>
      <c r="E77" t="str">
        <f>D196</f>
        <v>IISELC</v>
      </c>
      <c r="F77" t="str">
        <f>D197</f>
        <v>IISHHGN</v>
      </c>
      <c r="G77" s="519">
        <v>31.536000000000001</v>
      </c>
      <c r="H77" s="268">
        <f>1/G60</f>
        <v>1.5037593984962405</v>
      </c>
      <c r="I77" s="268">
        <f>1/H60</f>
        <v>1.4705882352941178</v>
      </c>
      <c r="J77" s="268">
        <f>1/I60</f>
        <v>1.3333333333333333</v>
      </c>
      <c r="X77" s="497"/>
    </row>
    <row r="78" spans="2:37" x14ac:dyDescent="0.25">
      <c r="X78" s="497"/>
      <c r="AA78" t="s">
        <v>760</v>
      </c>
    </row>
    <row r="79" spans="2:37" x14ac:dyDescent="0.25">
      <c r="X79" s="497"/>
      <c r="AA79">
        <v>500</v>
      </c>
      <c r="AB79" t="s">
        <v>761</v>
      </c>
    </row>
    <row r="80" spans="2:37" x14ac:dyDescent="0.25">
      <c r="X80" s="497"/>
      <c r="AA80" t="s">
        <v>762</v>
      </c>
      <c r="AB80" t="s">
        <v>763</v>
      </c>
    </row>
    <row r="81" spans="2:28" x14ac:dyDescent="0.25">
      <c r="X81" s="497"/>
      <c r="AA81">
        <v>516</v>
      </c>
      <c r="AB81" t="s">
        <v>764</v>
      </c>
    </row>
    <row r="82" spans="2:28" x14ac:dyDescent="0.25">
      <c r="X82" s="497"/>
    </row>
    <row r="83" spans="2:28" x14ac:dyDescent="0.25">
      <c r="X83" s="497"/>
    </row>
    <row r="84" spans="2:28" x14ac:dyDescent="0.25">
      <c r="X84" s="497"/>
    </row>
    <row r="85" spans="2:28" x14ac:dyDescent="0.25">
      <c r="X85" s="497"/>
    </row>
    <row r="86" spans="2:28" x14ac:dyDescent="0.25">
      <c r="X86" s="497"/>
      <c r="AA86" s="285"/>
    </row>
    <row r="87" spans="2:28" x14ac:dyDescent="0.25">
      <c r="X87" s="497"/>
    </row>
    <row r="88" spans="2:28" x14ac:dyDescent="0.25">
      <c r="X88" s="497"/>
      <c r="AA88" s="436"/>
    </row>
    <row r="89" spans="2:28" x14ac:dyDescent="0.25">
      <c r="X89" s="497"/>
    </row>
    <row r="90" spans="2:28" x14ac:dyDescent="0.25">
      <c r="X90" s="497"/>
    </row>
    <row r="91" spans="2:28" x14ac:dyDescent="0.25">
      <c r="X91" s="497"/>
    </row>
    <row r="92" spans="2:28" x14ac:dyDescent="0.25"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N92" s="586"/>
      <c r="O92" s="586"/>
      <c r="P92" s="586"/>
      <c r="Q92" s="586"/>
      <c r="R92" s="586"/>
      <c r="S92" s="586"/>
      <c r="T92" s="586"/>
      <c r="U92" s="586"/>
      <c r="X92" s="497"/>
    </row>
    <row r="93" spans="2:28" x14ac:dyDescent="0.25">
      <c r="X93" s="497"/>
    </row>
    <row r="94" spans="2:28" x14ac:dyDescent="0.25">
      <c r="X94" s="497"/>
    </row>
    <row r="95" spans="2:28" x14ac:dyDescent="0.25">
      <c r="X95" s="497"/>
    </row>
    <row r="96" spans="2:28" x14ac:dyDescent="0.25">
      <c r="X96" s="497"/>
    </row>
    <row r="97" spans="2:33" x14ac:dyDescent="0.25">
      <c r="X97" s="497"/>
    </row>
    <row r="98" spans="2:33" x14ac:dyDescent="0.25">
      <c r="X98" s="497"/>
    </row>
    <row r="99" spans="2:33" x14ac:dyDescent="0.25">
      <c r="X99" s="497"/>
    </row>
    <row r="100" spans="2:33" ht="15.75" x14ac:dyDescent="0.25">
      <c r="B100" s="499" t="s">
        <v>1001</v>
      </c>
      <c r="X100" s="497"/>
    </row>
    <row r="101" spans="2:33" x14ac:dyDescent="0.25">
      <c r="X101" s="497"/>
    </row>
    <row r="102" spans="2:33" x14ac:dyDescent="0.25">
      <c r="X102" s="497"/>
    </row>
    <row r="103" spans="2:33" x14ac:dyDescent="0.25">
      <c r="B103" s="117"/>
      <c r="C103" s="135">
        <v>2020</v>
      </c>
      <c r="D103" s="135">
        <v>2030</v>
      </c>
      <c r="E103" s="135">
        <v>2050</v>
      </c>
      <c r="F103" s="135" t="s">
        <v>644</v>
      </c>
      <c r="G103" s="135" t="s">
        <v>408</v>
      </c>
      <c r="X103" s="497"/>
      <c r="AA103" t="s">
        <v>765</v>
      </c>
    </row>
    <row r="104" spans="2:33" x14ac:dyDescent="0.25">
      <c r="B104" s="117" t="s">
        <v>1000</v>
      </c>
      <c r="C104" s="501">
        <f>AA109*$R$5</f>
        <v>71219.52399999999</v>
      </c>
      <c r="D104" s="501">
        <f>AB109*$R$5</f>
        <v>47717.081079999989</v>
      </c>
      <c r="E104" s="501">
        <f>D104*(1-I104)</f>
        <v>42945.37297199999</v>
      </c>
      <c r="F104" s="117" t="s">
        <v>1021</v>
      </c>
      <c r="G104" s="508" t="s">
        <v>994</v>
      </c>
      <c r="I104" s="463">
        <v>0.1</v>
      </c>
      <c r="X104" s="497"/>
    </row>
    <row r="105" spans="2:33" x14ac:dyDescent="0.25">
      <c r="B105" s="117" t="s">
        <v>708</v>
      </c>
      <c r="C105" s="117">
        <v>20</v>
      </c>
      <c r="D105" s="117"/>
      <c r="E105" s="117"/>
      <c r="F105" s="117" t="s">
        <v>722</v>
      </c>
      <c r="G105" s="117" t="s">
        <v>889</v>
      </c>
      <c r="H105" s="285"/>
      <c r="X105" s="497"/>
      <c r="AA105">
        <f>L6</f>
        <v>11.78</v>
      </c>
      <c r="AB105" t="s">
        <v>999</v>
      </c>
    </row>
    <row r="106" spans="2:33" x14ac:dyDescent="0.25">
      <c r="B106" s="117" t="s">
        <v>995</v>
      </c>
      <c r="C106" s="117">
        <f>AA117*3.6/D2</f>
        <v>3.0000000000000002E-2</v>
      </c>
      <c r="D106" s="117"/>
      <c r="E106" s="117"/>
      <c r="F106" s="117" t="s">
        <v>1022</v>
      </c>
      <c r="G106" s="117"/>
      <c r="X106" s="497"/>
      <c r="AA106" s="433">
        <f>AA81*AA105</f>
        <v>6078.48</v>
      </c>
      <c r="AB106" t="s">
        <v>767</v>
      </c>
      <c r="AF106">
        <v>9.1999999999999998E-3</v>
      </c>
      <c r="AG106" t="s">
        <v>140</v>
      </c>
    </row>
    <row r="107" spans="2:33" x14ac:dyDescent="0.25">
      <c r="B107" s="117" t="s">
        <v>956</v>
      </c>
      <c r="C107" s="501">
        <f>$I$107*C104</f>
        <v>712.1952399999999</v>
      </c>
      <c r="D107" s="501">
        <f>$I$107*D104</f>
        <v>477.17081079999991</v>
      </c>
      <c r="E107" s="501">
        <f>$I$107*E104</f>
        <v>429.4537297199999</v>
      </c>
      <c r="F107" s="117" t="s">
        <v>925</v>
      </c>
      <c r="G107" s="117" t="s">
        <v>1023</v>
      </c>
      <c r="I107" s="463">
        <v>0.01</v>
      </c>
      <c r="X107" s="497"/>
      <c r="AA107" s="321">
        <f>AA106/D2</f>
        <v>50.653999999999996</v>
      </c>
      <c r="AB107" t="s">
        <v>768</v>
      </c>
      <c r="AF107" s="378">
        <f>AF106*AB109</f>
        <v>312.23125599999992</v>
      </c>
      <c r="AG107" t="s">
        <v>769</v>
      </c>
    </row>
    <row r="108" spans="2:33" x14ac:dyDescent="0.25">
      <c r="B108" s="117" t="s">
        <v>751</v>
      </c>
      <c r="C108" s="502">
        <v>0.99</v>
      </c>
      <c r="D108" s="117"/>
      <c r="E108" s="117"/>
      <c r="F108" s="117"/>
      <c r="G108" s="503"/>
      <c r="X108" s="497"/>
      <c r="AA108" s="18">
        <v>2020</v>
      </c>
      <c r="AB108" s="18">
        <v>2030</v>
      </c>
    </row>
    <row r="109" spans="2:33" x14ac:dyDescent="0.25">
      <c r="X109" s="497"/>
      <c r="AA109" s="437">
        <f>AA107*1000000000/1000000</f>
        <v>50654</v>
      </c>
      <c r="AB109" s="438">
        <f>AA109*(1-AA110)</f>
        <v>33938.179999999993</v>
      </c>
      <c r="AC109" s="18" t="s">
        <v>770</v>
      </c>
      <c r="AF109" s="355"/>
    </row>
    <row r="110" spans="2:33" x14ac:dyDescent="0.25">
      <c r="X110" s="497"/>
      <c r="AA110" s="285">
        <v>0.33</v>
      </c>
      <c r="AB110" t="s">
        <v>771</v>
      </c>
    </row>
    <row r="111" spans="2:33" x14ac:dyDescent="0.25">
      <c r="B111" s="586"/>
      <c r="C111" s="586"/>
      <c r="D111" s="586"/>
      <c r="E111" s="587" t="s">
        <v>1162</v>
      </c>
      <c r="F111" s="586"/>
      <c r="G111" s="586"/>
      <c r="H111" s="586"/>
      <c r="I111" s="586"/>
      <c r="J111" s="586"/>
      <c r="N111" s="587" t="s">
        <v>1162</v>
      </c>
      <c r="X111" s="497"/>
      <c r="AF111" s="436"/>
    </row>
    <row r="112" spans="2:33" ht="25.5" x14ac:dyDescent="0.25">
      <c r="B112" s="588" t="s">
        <v>1142</v>
      </c>
      <c r="C112" s="588" t="s">
        <v>1268</v>
      </c>
      <c r="D112" s="588" t="s">
        <v>1163</v>
      </c>
      <c r="E112" s="588" t="s">
        <v>1164</v>
      </c>
      <c r="F112" s="589" t="s">
        <v>1276</v>
      </c>
      <c r="G112" s="588" t="s">
        <v>1216</v>
      </c>
      <c r="H112" s="588" t="s">
        <v>1269</v>
      </c>
      <c r="I112" s="588" t="s">
        <v>1273</v>
      </c>
      <c r="J112" s="588" t="s">
        <v>1277</v>
      </c>
      <c r="N112" s="558" t="s">
        <v>1244</v>
      </c>
      <c r="O112" s="558" t="s">
        <v>1142</v>
      </c>
      <c r="P112" s="558">
        <v>2020</v>
      </c>
      <c r="Q112" s="558">
        <v>2030</v>
      </c>
      <c r="R112" s="558">
        <v>2050</v>
      </c>
      <c r="X112" s="497"/>
    </row>
    <row r="113" spans="2:39" x14ac:dyDescent="0.25">
      <c r="B113" t="str">
        <f>B49</f>
        <v>IISHHGNSTOR-N</v>
      </c>
      <c r="D113" t="str">
        <f>C146</f>
        <v>IISHHGN</v>
      </c>
      <c r="E113" t="str">
        <f>D113</f>
        <v>IISHHGN</v>
      </c>
      <c r="F113" t="str">
        <f>C151</f>
        <v>IISELC</v>
      </c>
      <c r="G113">
        <f>C105</f>
        <v>20</v>
      </c>
      <c r="H113">
        <v>1</v>
      </c>
      <c r="I113" s="285">
        <f>C108</f>
        <v>0.99</v>
      </c>
      <c r="J113" s="586">
        <f>C106</f>
        <v>3.0000000000000002E-2</v>
      </c>
      <c r="N113" t="s">
        <v>978</v>
      </c>
      <c r="O113" t="str">
        <f>B113</f>
        <v>IISHHGNSTOR-N</v>
      </c>
      <c r="P113" s="19">
        <f>C104</f>
        <v>71219.52399999999</v>
      </c>
      <c r="Q113" s="19">
        <f>D104</f>
        <v>47717.081079999989</v>
      </c>
      <c r="R113" s="19">
        <f>E104</f>
        <v>42945.37297199999</v>
      </c>
      <c r="X113" s="497"/>
      <c r="AA113" s="18" t="s">
        <v>757</v>
      </c>
    </row>
    <row r="114" spans="2:39" x14ac:dyDescent="0.25">
      <c r="J114" s="586"/>
      <c r="N114" t="s">
        <v>903</v>
      </c>
      <c r="O114" t="str">
        <f>O113</f>
        <v>IISHHGNSTOR-N</v>
      </c>
      <c r="P114" s="19">
        <f>C107</f>
        <v>712.1952399999999</v>
      </c>
      <c r="Q114" s="19">
        <f>D107</f>
        <v>477.17081079999991</v>
      </c>
      <c r="R114" s="19">
        <f>E107</f>
        <v>429.4537297199999</v>
      </c>
      <c r="X114" s="497"/>
      <c r="AA114" t="s">
        <v>772</v>
      </c>
    </row>
    <row r="115" spans="2:39" x14ac:dyDescent="0.25">
      <c r="J115" s="586"/>
      <c r="K115" s="586"/>
      <c r="L115" s="586"/>
      <c r="X115" s="497"/>
      <c r="AA115" s="118" t="s">
        <v>773</v>
      </c>
    </row>
    <row r="116" spans="2:39" x14ac:dyDescent="0.25">
      <c r="X116" s="497"/>
      <c r="AA116" t="s">
        <v>926</v>
      </c>
    </row>
    <row r="117" spans="2:39" x14ac:dyDescent="0.25">
      <c r="X117" s="497"/>
      <c r="AA117">
        <v>1</v>
      </c>
      <c r="AB117" t="s">
        <v>927</v>
      </c>
    </row>
    <row r="118" spans="2:39" x14ac:dyDescent="0.25">
      <c r="X118" s="497"/>
      <c r="AB118" t="s">
        <v>928</v>
      </c>
    </row>
    <row r="119" spans="2:39" x14ac:dyDescent="0.25">
      <c r="X119" s="497"/>
    </row>
    <row r="120" spans="2:39" ht="21" x14ac:dyDescent="0.35">
      <c r="B120" s="499" t="s">
        <v>1007</v>
      </c>
      <c r="X120" s="497"/>
      <c r="Z120" s="434" t="s">
        <v>992</v>
      </c>
    </row>
    <row r="121" spans="2:39" ht="21" x14ac:dyDescent="0.35">
      <c r="X121" s="497"/>
      <c r="Z121" s="434"/>
    </row>
    <row r="122" spans="2:39" x14ac:dyDescent="0.25">
      <c r="B122" s="117"/>
      <c r="C122" s="117"/>
      <c r="D122" s="135" t="s">
        <v>1019</v>
      </c>
      <c r="E122" s="135" t="s">
        <v>644</v>
      </c>
      <c r="F122" s="135" t="s">
        <v>1020</v>
      </c>
      <c r="X122" s="497"/>
      <c r="AA122" s="439" t="s">
        <v>774</v>
      </c>
      <c r="AB122" s="439"/>
      <c r="AC122" s="439"/>
      <c r="AD122" s="439"/>
    </row>
    <row r="123" spans="2:39" x14ac:dyDescent="0.25">
      <c r="B123" s="117" t="s">
        <v>739</v>
      </c>
      <c r="C123" s="117" t="s">
        <v>985</v>
      </c>
      <c r="D123" s="347">
        <f>AK131*R3*L6*R5</f>
        <v>4380.8288599999996</v>
      </c>
      <c r="E123" s="117" t="s">
        <v>1013</v>
      </c>
      <c r="F123" s="117"/>
      <c r="X123" s="497"/>
      <c r="AA123" t="s">
        <v>775</v>
      </c>
    </row>
    <row r="124" spans="2:39" x14ac:dyDescent="0.25">
      <c r="B124" s="117"/>
      <c r="C124" s="117" t="s">
        <v>1008</v>
      </c>
      <c r="D124" s="347">
        <f>'AMSA reports'!O13/2</f>
        <v>725.14525500322793</v>
      </c>
      <c r="E124" s="117" t="s">
        <v>465</v>
      </c>
      <c r="F124" s="117" t="s">
        <v>1014</v>
      </c>
      <c r="X124" s="497"/>
      <c r="AA124" t="s">
        <v>776</v>
      </c>
      <c r="AH124" t="s">
        <v>777</v>
      </c>
    </row>
    <row r="125" spans="2:39" x14ac:dyDescent="0.25">
      <c r="B125" s="117"/>
      <c r="C125" s="117" t="s">
        <v>788</v>
      </c>
      <c r="D125" s="347">
        <f>D123*H125</f>
        <v>219.04144299999999</v>
      </c>
      <c r="E125" s="117" t="s">
        <v>465</v>
      </c>
      <c r="F125" s="117" t="s">
        <v>1024</v>
      </c>
      <c r="H125" s="463">
        <v>0.05</v>
      </c>
      <c r="X125" s="497"/>
      <c r="AH125" t="s">
        <v>778</v>
      </c>
      <c r="AI125">
        <v>1.1499999999999999</v>
      </c>
      <c r="AJ125" t="s">
        <v>779</v>
      </c>
      <c r="AK125" s="118" t="s">
        <v>780</v>
      </c>
    </row>
    <row r="126" spans="2:39" ht="21" x14ac:dyDescent="0.35">
      <c r="B126" s="117"/>
      <c r="C126" s="117" t="s">
        <v>708</v>
      </c>
      <c r="D126" s="117">
        <v>20</v>
      </c>
      <c r="E126" s="117" t="s">
        <v>710</v>
      </c>
      <c r="F126" s="117"/>
      <c r="X126" s="497"/>
      <c r="Z126" s="434"/>
    </row>
    <row r="127" spans="2:39" ht="21" x14ac:dyDescent="0.35">
      <c r="B127" s="117" t="s">
        <v>795</v>
      </c>
      <c r="C127" s="117" t="s">
        <v>1009</v>
      </c>
      <c r="D127" s="500">
        <f>AK137/1000</f>
        <v>1.504</v>
      </c>
      <c r="E127" s="117" t="s">
        <v>1011</v>
      </c>
      <c r="F127" s="117"/>
      <c r="X127" s="497"/>
      <c r="Z127" s="434"/>
    </row>
    <row r="128" spans="2:39" ht="21" x14ac:dyDescent="0.35">
      <c r="B128" s="117"/>
      <c r="C128" s="117" t="s">
        <v>800</v>
      </c>
      <c r="D128" s="117">
        <f>AK136*D2*1000000/1000000000</f>
        <v>6.12</v>
      </c>
      <c r="E128" s="117" t="s">
        <v>1012</v>
      </c>
      <c r="F128" s="117"/>
      <c r="X128" s="497"/>
      <c r="Z128" s="440"/>
      <c r="AA128" s="11" t="s">
        <v>781</v>
      </c>
      <c r="AB128" s="11"/>
      <c r="AC128" s="11"/>
      <c r="AD128" s="441"/>
      <c r="AE128" s="11" t="s">
        <v>1</v>
      </c>
      <c r="AF128" s="11"/>
      <c r="AG128" s="11"/>
      <c r="AH128" s="441"/>
      <c r="AI128" s="11" t="s">
        <v>782</v>
      </c>
      <c r="AJ128" s="8"/>
      <c r="AK128" s="8"/>
      <c r="AL128" s="8"/>
      <c r="AM128" s="8"/>
    </row>
    <row r="129" spans="2:44" x14ac:dyDescent="0.25">
      <c r="B129" s="117"/>
      <c r="C129" s="117" t="s">
        <v>1010</v>
      </c>
      <c r="D129" s="117">
        <f>AE216*3.6/1.5</f>
        <v>0.74400000000000022</v>
      </c>
      <c r="E129" s="117" t="s">
        <v>1012</v>
      </c>
      <c r="F129" s="117"/>
      <c r="X129" s="497"/>
      <c r="Z129" s="5"/>
      <c r="AD129" s="5"/>
      <c r="AH129" s="5"/>
      <c r="AO129" t="s">
        <v>783</v>
      </c>
    </row>
    <row r="130" spans="2:44" x14ac:dyDescent="0.25">
      <c r="X130" s="497"/>
      <c r="Z130" s="5"/>
      <c r="AA130" t="s">
        <v>644</v>
      </c>
      <c r="AD130" s="5" t="s">
        <v>784</v>
      </c>
      <c r="AE130" t="s">
        <v>142</v>
      </c>
      <c r="AH130" s="5" t="s">
        <v>784</v>
      </c>
      <c r="AI130" t="s">
        <v>142</v>
      </c>
      <c r="AO130">
        <v>120</v>
      </c>
      <c r="AP130" t="s">
        <v>416</v>
      </c>
    </row>
    <row r="131" spans="2:44" x14ac:dyDescent="0.25">
      <c r="X131" s="497"/>
      <c r="Z131" s="3" t="s">
        <v>734</v>
      </c>
      <c r="AA131" s="15" t="s">
        <v>785</v>
      </c>
      <c r="AB131" s="15"/>
      <c r="AC131" s="442">
        <v>0.58499999999999996</v>
      </c>
      <c r="AD131" s="3" t="s">
        <v>786</v>
      </c>
      <c r="AE131" s="443" t="s">
        <v>787</v>
      </c>
      <c r="AF131" s="15"/>
      <c r="AG131" s="442">
        <v>184</v>
      </c>
      <c r="AH131" s="3"/>
      <c r="AI131" s="443" t="s">
        <v>787</v>
      </c>
      <c r="AJ131" s="15"/>
      <c r="AK131" s="442">
        <v>230</v>
      </c>
      <c r="AL131" s="15"/>
      <c r="AM131" s="15"/>
    </row>
    <row r="132" spans="2:44" x14ac:dyDescent="0.25">
      <c r="X132" s="497"/>
      <c r="Z132" s="444" t="s">
        <v>788</v>
      </c>
      <c r="AA132" s="443" t="s">
        <v>789</v>
      </c>
      <c r="AB132" s="443"/>
      <c r="AC132" s="445">
        <v>0.03</v>
      </c>
      <c r="AD132" s="444"/>
      <c r="AE132" s="443" t="s">
        <v>789</v>
      </c>
      <c r="AF132" s="443"/>
      <c r="AG132" s="445">
        <v>0.03</v>
      </c>
      <c r="AH132" s="444"/>
      <c r="AI132" s="443" t="s">
        <v>790</v>
      </c>
      <c r="AJ132" s="443"/>
      <c r="AK132" s="445">
        <v>0.03</v>
      </c>
      <c r="AL132" s="443"/>
      <c r="AM132" s="443"/>
    </row>
    <row r="133" spans="2:44" ht="15.75" x14ac:dyDescent="0.25">
      <c r="B133" s="499" t="s">
        <v>358</v>
      </c>
      <c r="D133" s="18"/>
      <c r="E133" s="18"/>
      <c r="F133" s="18"/>
      <c r="X133" s="497"/>
      <c r="Z133" s="5" t="s">
        <v>670</v>
      </c>
      <c r="AD133" s="5"/>
      <c r="AE133" t="s">
        <v>787</v>
      </c>
      <c r="AG133">
        <v>53</v>
      </c>
      <c r="AH133" s="5" t="s">
        <v>791</v>
      </c>
    </row>
    <row r="134" spans="2:44" x14ac:dyDescent="0.25">
      <c r="B134" s="117"/>
      <c r="C134" s="117"/>
      <c r="D134" s="135" t="s">
        <v>1019</v>
      </c>
      <c r="E134" s="135" t="s">
        <v>644</v>
      </c>
      <c r="F134" s="135" t="s">
        <v>1020</v>
      </c>
      <c r="X134" s="497"/>
      <c r="Z134" s="5" t="s">
        <v>792</v>
      </c>
      <c r="AD134" s="5"/>
      <c r="AE134" s="443" t="s">
        <v>787</v>
      </c>
      <c r="AG134">
        <v>8</v>
      </c>
      <c r="AH134" s="5" t="s">
        <v>793</v>
      </c>
      <c r="AO134" s="14" t="s">
        <v>794</v>
      </c>
      <c r="AP134" s="15"/>
      <c r="AQ134" s="15"/>
      <c r="AR134" s="3"/>
    </row>
    <row r="135" spans="2:44" x14ac:dyDescent="0.25">
      <c r="B135" s="117" t="s">
        <v>739</v>
      </c>
      <c r="C135" s="117" t="s">
        <v>985</v>
      </c>
      <c r="D135" s="501">
        <f>AG131*AI125*L6*R5</f>
        <v>3504.6630879999993</v>
      </c>
      <c r="E135" s="117" t="s">
        <v>1015</v>
      </c>
      <c r="F135" s="117"/>
      <c r="X135" s="497"/>
      <c r="Z135" s="9" t="s">
        <v>795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796</v>
      </c>
      <c r="AR135" s="5"/>
    </row>
    <row r="136" spans="2:44" x14ac:dyDescent="0.25">
      <c r="B136" s="117"/>
      <c r="C136" s="117" t="s">
        <v>1008</v>
      </c>
      <c r="D136" s="501">
        <f>D124</f>
        <v>725.14525500322793</v>
      </c>
      <c r="E136" s="117" t="s">
        <v>1016</v>
      </c>
      <c r="F136" s="117" t="s">
        <v>1017</v>
      </c>
      <c r="X136" s="497"/>
      <c r="Z136" s="5"/>
      <c r="AB136" t="s">
        <v>231</v>
      </c>
      <c r="AD136" s="5"/>
      <c r="AE136" t="s">
        <v>797</v>
      </c>
      <c r="AF136" t="s">
        <v>798</v>
      </c>
      <c r="AG136" s="446">
        <f>AG142*AO140</f>
        <v>1</v>
      </c>
      <c r="AH136" s="5"/>
      <c r="AI136" t="s">
        <v>799</v>
      </c>
      <c r="AJ136" t="s">
        <v>800</v>
      </c>
      <c r="AK136" s="439">
        <v>51</v>
      </c>
      <c r="AL136" t="s">
        <v>801</v>
      </c>
      <c r="AM136">
        <f>AK136/(AK137/1000)</f>
        <v>33.909574468085104</v>
      </c>
      <c r="AN136" t="s">
        <v>802</v>
      </c>
      <c r="AO136" s="4">
        <v>0</v>
      </c>
      <c r="AP136">
        <v>1</v>
      </c>
      <c r="AQ136" t="s">
        <v>803</v>
      </c>
      <c r="AR136" s="5"/>
    </row>
    <row r="137" spans="2:44" x14ac:dyDescent="0.25">
      <c r="B137" s="117"/>
      <c r="C137" s="117" t="s">
        <v>788</v>
      </c>
      <c r="D137" s="501">
        <f>D135*$F$137</f>
        <v>175.23315439999999</v>
      </c>
      <c r="E137" s="117" t="s">
        <v>1016</v>
      </c>
      <c r="F137" s="463">
        <v>0.05</v>
      </c>
      <c r="X137" s="497"/>
      <c r="Z137" s="5"/>
      <c r="AA137" t="s">
        <v>140</v>
      </c>
      <c r="AB137" t="s">
        <v>14</v>
      </c>
      <c r="AC137">
        <f>AC142/AC146</f>
        <v>1.3888888888888888</v>
      </c>
      <c r="AD137" s="5" t="s">
        <v>804</v>
      </c>
      <c r="AE137" t="s">
        <v>805</v>
      </c>
      <c r="AF137" t="s">
        <v>14</v>
      </c>
      <c r="AG137">
        <f>AO137+AO140*AP138</f>
        <v>0.753</v>
      </c>
      <c r="AH137" s="5" t="s">
        <v>806</v>
      </c>
      <c r="AI137" t="s">
        <v>799</v>
      </c>
      <c r="AJ137" t="s">
        <v>244</v>
      </c>
      <c r="AK137" s="439">
        <v>1504</v>
      </c>
      <c r="AL137" s="447"/>
      <c r="AO137" s="448">
        <v>0.66700000000000004</v>
      </c>
      <c r="AP137" s="439">
        <v>0.753</v>
      </c>
      <c r="AQ137" t="s">
        <v>805</v>
      </c>
      <c r="AR137" s="5"/>
    </row>
    <row r="138" spans="2:44" x14ac:dyDescent="0.25">
      <c r="B138" s="117"/>
      <c r="C138" s="117" t="s">
        <v>708</v>
      </c>
      <c r="D138" s="117">
        <v>20</v>
      </c>
      <c r="E138" s="117" t="s">
        <v>710</v>
      </c>
      <c r="F138" s="117" t="s">
        <v>1018</v>
      </c>
      <c r="X138" s="497"/>
      <c r="Z138" s="5"/>
      <c r="AD138" s="5"/>
      <c r="AE138" t="s">
        <v>799</v>
      </c>
      <c r="AF138" t="s">
        <v>807</v>
      </c>
      <c r="AG138" s="439">
        <v>50</v>
      </c>
      <c r="AH138" s="5"/>
      <c r="AI138" t="s">
        <v>808</v>
      </c>
      <c r="AJ138" t="s">
        <v>14</v>
      </c>
      <c r="AK138" s="439">
        <v>140</v>
      </c>
      <c r="AO138" s="7"/>
      <c r="AP138" s="8">
        <f>AP137-AO137</f>
        <v>8.5999999999999965E-2</v>
      </c>
      <c r="AQ138" s="8" t="s">
        <v>809</v>
      </c>
      <c r="AR138" s="9"/>
    </row>
    <row r="139" spans="2:44" x14ac:dyDescent="0.25">
      <c r="B139" s="117" t="s">
        <v>740</v>
      </c>
      <c r="C139" s="117" t="s">
        <v>20</v>
      </c>
      <c r="D139" s="117">
        <f>AG136</f>
        <v>1</v>
      </c>
      <c r="E139" s="117" t="s">
        <v>187</v>
      </c>
      <c r="F139" s="117"/>
      <c r="X139" s="497"/>
      <c r="Z139" s="5"/>
      <c r="AD139" s="5"/>
      <c r="AE139" t="s">
        <v>797</v>
      </c>
      <c r="AF139" t="s">
        <v>810</v>
      </c>
      <c r="AG139" s="446">
        <f>AG136*(1-AO140)/AO140</f>
        <v>0</v>
      </c>
      <c r="AH139" s="5" t="s">
        <v>811</v>
      </c>
    </row>
    <row r="140" spans="2:44" x14ac:dyDescent="0.25">
      <c r="B140" s="117"/>
      <c r="C140" s="117" t="s">
        <v>14</v>
      </c>
      <c r="D140" s="500">
        <f>AG137*1000000*J140</f>
        <v>2.7107999999999999</v>
      </c>
      <c r="E140" s="117" t="s">
        <v>519</v>
      </c>
      <c r="F140" s="117"/>
      <c r="I140" t="s">
        <v>853</v>
      </c>
      <c r="J140">
        <f>1000000*3600/1000000000000000</f>
        <v>3.5999999999999998E-6</v>
      </c>
      <c r="K140" t="s">
        <v>854</v>
      </c>
      <c r="X140" s="497"/>
      <c r="Z140" s="5"/>
      <c r="AD140" s="5"/>
      <c r="AH140" s="5"/>
      <c r="AO140" s="449">
        <f>'[16]Facility technicals and LCOE'!$H$6</f>
        <v>1</v>
      </c>
      <c r="AP140" s="446" t="s">
        <v>812</v>
      </c>
      <c r="AQ140" s="446"/>
      <c r="AR140" s="446"/>
    </row>
    <row r="141" spans="2:44" x14ac:dyDescent="0.25">
      <c r="B141" s="117" t="s">
        <v>379</v>
      </c>
      <c r="C141" s="117" t="s">
        <v>1027</v>
      </c>
      <c r="D141" s="117">
        <v>0.08</v>
      </c>
      <c r="E141" s="117" t="s">
        <v>1099</v>
      </c>
      <c r="F141" s="117" t="s">
        <v>1100</v>
      </c>
      <c r="X141" s="497"/>
      <c r="Z141" s="9" t="s">
        <v>813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497"/>
      <c r="Z142" s="5"/>
      <c r="AA142" t="s">
        <v>140</v>
      </c>
      <c r="AB142" t="s">
        <v>800</v>
      </c>
      <c r="AC142" s="446">
        <v>1</v>
      </c>
      <c r="AD142" s="5"/>
      <c r="AE142" t="s">
        <v>814</v>
      </c>
      <c r="AF142" t="s">
        <v>815</v>
      </c>
      <c r="AG142" s="446">
        <v>1</v>
      </c>
      <c r="AH142" s="5"/>
      <c r="AI142" t="s">
        <v>816</v>
      </c>
      <c r="AJ142" t="s">
        <v>798</v>
      </c>
      <c r="AK142" s="446">
        <v>1000</v>
      </c>
      <c r="AO142" t="s">
        <v>817</v>
      </c>
      <c r="AP142">
        <v>1.5</v>
      </c>
      <c r="AQ142" t="s">
        <v>818</v>
      </c>
    </row>
    <row r="143" spans="2:44" x14ac:dyDescent="0.25">
      <c r="G143" s="18" t="s">
        <v>707</v>
      </c>
      <c r="X143" s="497"/>
      <c r="Z143" s="5"/>
      <c r="AB143" t="s">
        <v>657</v>
      </c>
      <c r="AD143" s="5"/>
      <c r="AH143" s="5"/>
      <c r="AI143" t="s">
        <v>816</v>
      </c>
      <c r="AJ143" t="s">
        <v>800</v>
      </c>
    </row>
    <row r="144" spans="2:44" x14ac:dyDescent="0.25">
      <c r="B144" s="558"/>
      <c r="C144" s="558"/>
      <c r="D144" s="558" t="s">
        <v>1162</v>
      </c>
      <c r="E144" s="558"/>
      <c r="F144" s="558"/>
      <c r="G144" s="558"/>
      <c r="H144" s="558"/>
      <c r="I144" s="558"/>
      <c r="J144" s="558"/>
      <c r="K144" s="558"/>
      <c r="L144" s="558"/>
      <c r="M144" s="558"/>
      <c r="X144" s="497"/>
      <c r="Z144" s="5"/>
      <c r="AA144" t="s">
        <v>816</v>
      </c>
      <c r="AB144" t="s">
        <v>800</v>
      </c>
      <c r="AD144" s="5"/>
      <c r="AH144" s="5"/>
      <c r="AJ144" t="s">
        <v>231</v>
      </c>
    </row>
    <row r="145" spans="2:41" x14ac:dyDescent="0.25">
      <c r="B145" s="558" t="s">
        <v>1142</v>
      </c>
      <c r="C145" s="558" t="s">
        <v>1163</v>
      </c>
      <c r="D145" s="558" t="s">
        <v>1164</v>
      </c>
      <c r="E145" s="558" t="s">
        <v>867</v>
      </c>
      <c r="F145" s="558" t="s">
        <v>867</v>
      </c>
      <c r="G145" s="558" t="s">
        <v>867</v>
      </c>
      <c r="H145" s="558" t="s">
        <v>978</v>
      </c>
      <c r="I145" s="558" t="s">
        <v>1215</v>
      </c>
      <c r="J145" s="558" t="s">
        <v>1214</v>
      </c>
      <c r="K145" s="558" t="s">
        <v>1216</v>
      </c>
      <c r="L145" s="558" t="s">
        <v>1209</v>
      </c>
      <c r="M145" s="558" t="s">
        <v>982</v>
      </c>
      <c r="X145" s="497"/>
      <c r="Z145" s="9"/>
      <c r="AA145" s="8"/>
      <c r="AB145" s="8" t="s">
        <v>657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819</v>
      </c>
    </row>
    <row r="146" spans="2:41" x14ac:dyDescent="0.25">
      <c r="B146" s="495" t="s">
        <v>967</v>
      </c>
      <c r="C146" s="495" t="s">
        <v>973</v>
      </c>
      <c r="D146" s="521"/>
      <c r="E146" s="320">
        <f>D128</f>
        <v>6.12</v>
      </c>
      <c r="F146" s="19"/>
      <c r="G146" s="19"/>
      <c r="H146" s="19"/>
      <c r="I146" s="19"/>
      <c r="J146" s="19"/>
      <c r="K146" s="19"/>
      <c r="L146" s="19"/>
      <c r="M146" s="19"/>
      <c r="X146" s="497"/>
      <c r="Z146" s="5" t="s">
        <v>751</v>
      </c>
      <c r="AB146" t="s">
        <v>820</v>
      </c>
      <c r="AC146" s="450">
        <v>0.72</v>
      </c>
      <c r="AD146" s="5" t="s">
        <v>821</v>
      </c>
      <c r="AH146" s="5"/>
      <c r="AN146">
        <f>AN145/1000</f>
        <v>2.7108000000000003</v>
      </c>
      <c r="AO146" t="s">
        <v>146</v>
      </c>
    </row>
    <row r="147" spans="2:41" x14ac:dyDescent="0.25">
      <c r="C147" s="495" t="s">
        <v>976</v>
      </c>
      <c r="D147" s="521"/>
      <c r="E147" s="19"/>
      <c r="F147" s="320">
        <f>D127</f>
        <v>1.504</v>
      </c>
      <c r="G147" s="19"/>
      <c r="H147" s="19"/>
      <c r="I147" s="19"/>
      <c r="J147" s="19"/>
      <c r="K147" s="19"/>
      <c r="L147" s="19"/>
      <c r="M147" s="19"/>
      <c r="X147" s="497"/>
      <c r="Z147" s="5" t="s">
        <v>708</v>
      </c>
      <c r="AA147" t="s">
        <v>710</v>
      </c>
      <c r="AC147">
        <v>10</v>
      </c>
      <c r="AD147" s="5"/>
      <c r="AE147" t="s">
        <v>722</v>
      </c>
      <c r="AG147">
        <v>20</v>
      </c>
      <c r="AH147" s="5"/>
      <c r="AI147" t="s">
        <v>722</v>
      </c>
      <c r="AK147">
        <v>20</v>
      </c>
    </row>
    <row r="148" spans="2:41" x14ac:dyDescent="0.25">
      <c r="C148" s="495" t="str">
        <f>D196</f>
        <v>IISELC</v>
      </c>
      <c r="E148" s="19"/>
      <c r="F148" s="19"/>
      <c r="G148" s="320">
        <f>D129</f>
        <v>0.74400000000000022</v>
      </c>
      <c r="H148" s="19"/>
      <c r="I148" s="19"/>
      <c r="J148" s="19"/>
      <c r="K148" s="19"/>
      <c r="L148" s="19"/>
      <c r="M148" s="19"/>
      <c r="X148" s="497"/>
    </row>
    <row r="149" spans="2:41" x14ac:dyDescent="0.25">
      <c r="D149" s="495" t="s">
        <v>975</v>
      </c>
      <c r="E149" s="19"/>
      <c r="F149" s="19"/>
      <c r="G149" s="19"/>
      <c r="H149" s="19">
        <f>D123</f>
        <v>4380.8288599999996</v>
      </c>
      <c r="I149" s="19">
        <f>D124</f>
        <v>725.14525500322793</v>
      </c>
      <c r="J149" s="19">
        <f>D125</f>
        <v>219.04144299999999</v>
      </c>
      <c r="K149" s="19">
        <f>D126</f>
        <v>20</v>
      </c>
      <c r="L149" s="19"/>
      <c r="M149" s="19">
        <v>2032</v>
      </c>
      <c r="P149" t="s">
        <v>1230</v>
      </c>
      <c r="X149" s="497"/>
      <c r="AK149" s="451"/>
    </row>
    <row r="150" spans="2:41" x14ac:dyDescent="0.25">
      <c r="B150" s="495" t="s">
        <v>969</v>
      </c>
      <c r="C150" s="495" t="s">
        <v>975</v>
      </c>
      <c r="D150" s="521"/>
      <c r="E150" s="320">
        <v>1</v>
      </c>
      <c r="F150" s="320"/>
      <c r="G150" s="19"/>
      <c r="H150" s="19"/>
      <c r="I150" s="19"/>
      <c r="J150" s="19"/>
      <c r="K150" s="19"/>
      <c r="L150" s="19"/>
      <c r="M150" s="19"/>
      <c r="P150" t="s">
        <v>1231</v>
      </c>
      <c r="X150" s="497"/>
    </row>
    <row r="151" spans="2:41" x14ac:dyDescent="0.25">
      <c r="C151" s="495" t="str">
        <f>C148</f>
        <v>IISELC</v>
      </c>
      <c r="E151" s="320"/>
      <c r="F151" s="320">
        <f>D140</f>
        <v>2.7107999999999999</v>
      </c>
      <c r="G151" s="19"/>
      <c r="H151" s="19"/>
      <c r="I151" s="19"/>
      <c r="J151" s="19"/>
      <c r="K151" s="19"/>
      <c r="L151" s="19"/>
      <c r="M151" s="19"/>
      <c r="X151" s="497"/>
    </row>
    <row r="152" spans="2:41" x14ac:dyDescent="0.25">
      <c r="C152" s="521"/>
      <c r="D152" s="495" t="s">
        <v>974</v>
      </c>
      <c r="E152" s="19"/>
      <c r="F152" s="19"/>
      <c r="G152" s="19"/>
      <c r="H152" s="19">
        <f>D135</f>
        <v>3504.6630879999993</v>
      </c>
      <c r="I152" s="19">
        <f>D136</f>
        <v>725.14525500322793</v>
      </c>
      <c r="J152" s="19">
        <f>D137</f>
        <v>175.23315439999999</v>
      </c>
      <c r="K152" s="19">
        <f>D138</f>
        <v>20</v>
      </c>
      <c r="L152" s="19">
        <f>D141*1000</f>
        <v>80</v>
      </c>
      <c r="M152" s="19"/>
      <c r="P152" s="522"/>
      <c r="R152" s="518"/>
      <c r="X152" s="497"/>
      <c r="AO152" s="451"/>
    </row>
    <row r="153" spans="2:41" x14ac:dyDescent="0.25">
      <c r="X153" s="497"/>
    </row>
    <row r="154" spans="2:41" x14ac:dyDescent="0.25">
      <c r="X154" s="497"/>
    </row>
    <row r="155" spans="2:41" x14ac:dyDescent="0.25">
      <c r="X155" s="497"/>
    </row>
    <row r="156" spans="2:41" x14ac:dyDescent="0.25">
      <c r="X156" s="497"/>
    </row>
    <row r="157" spans="2:41" ht="21" x14ac:dyDescent="0.35">
      <c r="B157" s="434" t="s">
        <v>1212</v>
      </c>
      <c r="X157" s="497"/>
    </row>
    <row r="158" spans="2:41" x14ac:dyDescent="0.25">
      <c r="X158" s="497"/>
    </row>
    <row r="159" spans="2:41" x14ac:dyDescent="0.25">
      <c r="B159" t="s">
        <v>1114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1115</v>
      </c>
      <c r="X159" s="497"/>
    </row>
    <row r="160" spans="2:41" x14ac:dyDescent="0.25">
      <c r="D160" s="119">
        <f>D159*$H$159</f>
        <v>4084.9852746535375</v>
      </c>
      <c r="E160" s="119" t="s">
        <v>1116</v>
      </c>
      <c r="X160" s="497"/>
    </row>
    <row r="161" spans="2:24" x14ac:dyDescent="0.25">
      <c r="X161" s="497"/>
    </row>
    <row r="162" spans="2:24" x14ac:dyDescent="0.25">
      <c r="F162" s="18"/>
      <c r="G162" s="18"/>
      <c r="X162" s="497"/>
    </row>
    <row r="163" spans="2:24" x14ac:dyDescent="0.25">
      <c r="B163" s="560"/>
      <c r="C163" s="558"/>
      <c r="D163" s="561" t="s">
        <v>1162</v>
      </c>
      <c r="E163" s="561"/>
      <c r="F163" s="558" t="s">
        <v>707</v>
      </c>
      <c r="G163" s="18"/>
      <c r="X163" s="497"/>
    </row>
    <row r="164" spans="2:24" x14ac:dyDescent="0.25">
      <c r="B164" s="558" t="s">
        <v>1142</v>
      </c>
      <c r="C164" s="558" t="s">
        <v>1163</v>
      </c>
      <c r="D164" s="558" t="s">
        <v>1164</v>
      </c>
      <c r="E164" s="558" t="s">
        <v>884</v>
      </c>
      <c r="F164" s="558" t="s">
        <v>875</v>
      </c>
      <c r="G164" s="18"/>
      <c r="I164" s="519"/>
      <c r="X164" s="497"/>
    </row>
    <row r="165" spans="2:24" x14ac:dyDescent="0.25">
      <c r="B165" s="495" t="s">
        <v>972</v>
      </c>
      <c r="C165" s="495" t="s">
        <v>974</v>
      </c>
      <c r="D165" s="99" t="s">
        <v>39</v>
      </c>
      <c r="E165">
        <v>1</v>
      </c>
      <c r="G165" s="18"/>
      <c r="X165" s="497"/>
    </row>
    <row r="166" spans="2:24" x14ac:dyDescent="0.25">
      <c r="B166" t="s">
        <v>1117</v>
      </c>
      <c r="C166" s="495" t="s">
        <v>975</v>
      </c>
      <c r="E166">
        <v>1</v>
      </c>
      <c r="F166">
        <v>-4162.2431015000002</v>
      </c>
      <c r="G166" s="18"/>
      <c r="I166" s="350" t="s">
        <v>1227</v>
      </c>
      <c r="X166" s="497"/>
    </row>
    <row r="167" spans="2:24" x14ac:dyDescent="0.25">
      <c r="B167" s="495" t="s">
        <v>964</v>
      </c>
      <c r="D167" s="495" t="s">
        <v>976</v>
      </c>
      <c r="E167">
        <v>1</v>
      </c>
      <c r="F167">
        <v>1400</v>
      </c>
      <c r="I167" s="350" t="s">
        <v>1210</v>
      </c>
      <c r="X167" s="497"/>
    </row>
    <row r="168" spans="2:24" x14ac:dyDescent="0.25">
      <c r="X168" s="497"/>
    </row>
    <row r="169" spans="2:24" x14ac:dyDescent="0.25">
      <c r="X169" s="497"/>
    </row>
    <row r="170" spans="2:24" x14ac:dyDescent="0.25">
      <c r="X170" s="497"/>
    </row>
    <row r="171" spans="2:24" x14ac:dyDescent="0.25">
      <c r="X171" s="497"/>
    </row>
    <row r="172" spans="2:24" x14ac:dyDescent="0.25">
      <c r="X172" s="497"/>
    </row>
    <row r="173" spans="2:24" x14ac:dyDescent="0.25">
      <c r="X173" s="497"/>
    </row>
    <row r="174" spans="2:24" x14ac:dyDescent="0.25">
      <c r="X174" s="497"/>
    </row>
    <row r="175" spans="2:24" x14ac:dyDescent="0.25">
      <c r="X175" s="497"/>
    </row>
    <row r="176" spans="2:24" x14ac:dyDescent="0.25">
      <c r="X176" s="497"/>
    </row>
    <row r="177" spans="2:33" x14ac:dyDescent="0.25">
      <c r="X177" s="497"/>
    </row>
    <row r="178" spans="2:33" x14ac:dyDescent="0.25">
      <c r="X178" s="497"/>
    </row>
    <row r="179" spans="2:33" x14ac:dyDescent="0.25">
      <c r="X179" s="497"/>
    </row>
    <row r="180" spans="2:33" x14ac:dyDescent="0.25">
      <c r="X180" s="497"/>
    </row>
    <row r="181" spans="2:33" x14ac:dyDescent="0.25">
      <c r="X181" s="497"/>
      <c r="AB181" t="s">
        <v>846</v>
      </c>
      <c r="AC181" t="s">
        <v>847</v>
      </c>
    </row>
    <row r="182" spans="2:33" x14ac:dyDescent="0.25">
      <c r="X182" s="497"/>
      <c r="AA182" t="s">
        <v>192</v>
      </c>
      <c r="AB182">
        <v>100</v>
      </c>
      <c r="AC182">
        <v>175</v>
      </c>
      <c r="AD182">
        <v>175</v>
      </c>
      <c r="AE182" s="428">
        <f>AD182*'[16]Facility technicals and LCOE'!$D$4</f>
        <v>3500</v>
      </c>
      <c r="AF182">
        <f>235-175</f>
        <v>60</v>
      </c>
    </row>
    <row r="183" spans="2:33" x14ac:dyDescent="0.25">
      <c r="X183" s="497"/>
      <c r="AA183" t="s">
        <v>848</v>
      </c>
      <c r="AB183">
        <v>100</v>
      </c>
      <c r="AC183">
        <v>235</v>
      </c>
      <c r="AD183">
        <f>AC183-AC182</f>
        <v>60</v>
      </c>
      <c r="AE183" s="428">
        <f>AD183*'[16]Facility technicals and LCOE'!$D$4</f>
        <v>1200</v>
      </c>
      <c r="AG183" t="s">
        <v>991</v>
      </c>
    </row>
    <row r="184" spans="2:33" x14ac:dyDescent="0.25">
      <c r="X184" s="497"/>
      <c r="AA184" t="s">
        <v>849</v>
      </c>
      <c r="AB184">
        <v>100</v>
      </c>
      <c r="AC184">
        <v>350</v>
      </c>
      <c r="AD184">
        <f>AC184-AC183</f>
        <v>115</v>
      </c>
      <c r="AE184" s="428">
        <f>AD184*'[16]Facility technicals and LCOE'!$D$4</f>
        <v>2300</v>
      </c>
    </row>
    <row r="185" spans="2:33" x14ac:dyDescent="0.25">
      <c r="X185" s="497"/>
      <c r="AA185" t="s">
        <v>850</v>
      </c>
      <c r="AB185">
        <v>100</v>
      </c>
      <c r="AC185">
        <v>590</v>
      </c>
      <c r="AD185">
        <f>AC185-AC184</f>
        <v>240</v>
      </c>
      <c r="AE185" s="428">
        <f>AD185*'[16]Facility technicals and LCOE'!$D$4</f>
        <v>4800</v>
      </c>
    </row>
    <row r="186" spans="2:33" x14ac:dyDescent="0.25">
      <c r="X186" s="497"/>
      <c r="AA186" t="s">
        <v>851</v>
      </c>
      <c r="AB186">
        <v>100</v>
      </c>
      <c r="AC186">
        <v>650</v>
      </c>
      <c r="AD186">
        <f>AC186-AC185</f>
        <v>60</v>
      </c>
      <c r="AE186" s="428">
        <f>AD186*'[16]Facility technicals and LCOE'!$D$4</f>
        <v>1200</v>
      </c>
    </row>
    <row r="187" spans="2:33" x14ac:dyDescent="0.25">
      <c r="X187" s="497"/>
    </row>
    <row r="188" spans="2:33" x14ac:dyDescent="0.25">
      <c r="X188" s="497"/>
    </row>
    <row r="189" spans="2:33" x14ac:dyDescent="0.25">
      <c r="X189" s="497"/>
    </row>
    <row r="190" spans="2:33" x14ac:dyDescent="0.25">
      <c r="B190" s="558" t="s">
        <v>1167</v>
      </c>
      <c r="C190" s="558"/>
      <c r="D190" s="558"/>
      <c r="E190" s="558"/>
      <c r="F190" s="558"/>
      <c r="G190" s="558"/>
      <c r="H190" s="558"/>
      <c r="I190" s="558"/>
      <c r="J190" s="558"/>
      <c r="X190" s="497"/>
    </row>
    <row r="191" spans="2:33" x14ac:dyDescent="0.25">
      <c r="B191" s="558" t="s">
        <v>1168</v>
      </c>
      <c r="C191" s="558" t="s">
        <v>1169</v>
      </c>
      <c r="D191" s="558" t="s">
        <v>1170</v>
      </c>
      <c r="E191" s="558" t="s">
        <v>1171</v>
      </c>
      <c r="F191" s="558" t="s">
        <v>644</v>
      </c>
      <c r="G191" s="558" t="s">
        <v>1172</v>
      </c>
      <c r="H191" s="558" t="s">
        <v>1173</v>
      </c>
      <c r="I191" s="558" t="s">
        <v>1174</v>
      </c>
      <c r="J191" s="558" t="s">
        <v>1175</v>
      </c>
      <c r="X191" s="497"/>
    </row>
    <row r="192" spans="2:33" ht="39.75" thickBot="1" x14ac:dyDescent="0.3">
      <c r="B192" s="527" t="s">
        <v>1176</v>
      </c>
      <c r="C192" s="528" t="s">
        <v>1177</v>
      </c>
      <c r="D192" s="527" t="s">
        <v>1178</v>
      </c>
      <c r="E192" s="527" t="s">
        <v>1179</v>
      </c>
      <c r="F192" s="527" t="s">
        <v>644</v>
      </c>
      <c r="G192" s="527" t="s">
        <v>1180</v>
      </c>
      <c r="H192" s="527" t="s">
        <v>1181</v>
      </c>
      <c r="I192" s="527" t="s">
        <v>1182</v>
      </c>
      <c r="J192" s="527" t="s">
        <v>1183</v>
      </c>
      <c r="X192" s="497"/>
    </row>
    <row r="193" spans="2:24" x14ac:dyDescent="0.25">
      <c r="B193" s="529" t="s">
        <v>1185</v>
      </c>
      <c r="C193" s="529" t="s">
        <v>977</v>
      </c>
      <c r="D193" s="495" t="s">
        <v>976</v>
      </c>
      <c r="E193" s="495" t="str">
        <f t="shared" ref="E193:E197" si="8">"Industry - I&amp;S - "&amp;L193</f>
        <v>Industry - I&amp;S - Iron Ore</v>
      </c>
      <c r="F193" s="495" t="s">
        <v>140</v>
      </c>
      <c r="G193" s="495"/>
      <c r="H193" s="477"/>
      <c r="I193" s="477"/>
      <c r="J193" s="477"/>
      <c r="K193" s="477"/>
      <c r="L193" t="s">
        <v>1197</v>
      </c>
      <c r="X193" s="497"/>
    </row>
    <row r="194" spans="2:24" x14ac:dyDescent="0.25">
      <c r="B194" s="529" t="s">
        <v>1185</v>
      </c>
      <c r="C194" s="529" t="s">
        <v>977</v>
      </c>
      <c r="D194" s="495" t="s">
        <v>975</v>
      </c>
      <c r="E194" s="495" t="str">
        <f t="shared" si="8"/>
        <v>Industry - I&amp;S - GreenHBI</v>
      </c>
      <c r="F194" s="495" t="s">
        <v>140</v>
      </c>
      <c r="G194" s="495"/>
      <c r="H194" s="477"/>
      <c r="I194" s="477"/>
      <c r="J194" s="477"/>
      <c r="K194" s="477"/>
      <c r="L194" t="s">
        <v>1211</v>
      </c>
      <c r="X194" s="497"/>
    </row>
    <row r="195" spans="2:24" x14ac:dyDescent="0.25">
      <c r="B195" s="529" t="s">
        <v>1185</v>
      </c>
      <c r="C195" s="529" t="s">
        <v>977</v>
      </c>
      <c r="D195" s="495" t="s">
        <v>974</v>
      </c>
      <c r="E195" s="495" t="str">
        <f t="shared" si="8"/>
        <v>Industry - I&amp;S - GreenSteel</v>
      </c>
      <c r="F195" s="495" t="s">
        <v>140</v>
      </c>
      <c r="G195" s="495"/>
      <c r="H195" s="477"/>
      <c r="I195" s="477"/>
      <c r="J195" s="477"/>
      <c r="K195" s="477"/>
      <c r="L195" t="s">
        <v>1198</v>
      </c>
      <c r="X195" s="497"/>
    </row>
    <row r="196" spans="2:24" x14ac:dyDescent="0.25">
      <c r="B196" s="529" t="s">
        <v>1274</v>
      </c>
      <c r="C196" s="529" t="s">
        <v>977</v>
      </c>
      <c r="D196" s="495" t="s">
        <v>38</v>
      </c>
      <c r="E196" s="495" t="str">
        <f t="shared" si="8"/>
        <v>Industry - I&amp;S - Electricity</v>
      </c>
      <c r="F196" s="495" t="s">
        <v>140</v>
      </c>
      <c r="G196" s="495"/>
      <c r="H196" s="494" t="s">
        <v>979</v>
      </c>
      <c r="I196" s="477"/>
      <c r="J196" s="477"/>
      <c r="K196" s="477"/>
      <c r="L196" t="s">
        <v>14</v>
      </c>
      <c r="X196" s="497"/>
    </row>
    <row r="197" spans="2:24" x14ac:dyDescent="0.25">
      <c r="B197" s="529" t="s">
        <v>1185</v>
      </c>
      <c r="C197" s="529" t="s">
        <v>977</v>
      </c>
      <c r="D197" s="495" t="s">
        <v>973</v>
      </c>
      <c r="E197" s="495" t="str">
        <f t="shared" si="8"/>
        <v>Industry - I&amp;S - Hydrogen</v>
      </c>
      <c r="F197" s="495" t="s">
        <v>140</v>
      </c>
      <c r="G197" s="495"/>
      <c r="H197" s="477"/>
      <c r="I197" s="477"/>
      <c r="J197" s="477"/>
      <c r="K197" s="477"/>
      <c r="L197" t="s">
        <v>800</v>
      </c>
      <c r="X197" s="497"/>
    </row>
    <row r="198" spans="2:24" x14ac:dyDescent="0.25">
      <c r="B198" s="529"/>
      <c r="C198" s="529"/>
      <c r="E198" s="495"/>
      <c r="H198" s="477"/>
      <c r="I198" s="477"/>
      <c r="J198" s="477"/>
      <c r="K198" s="477"/>
      <c r="X198" s="497"/>
    </row>
    <row r="199" spans="2:24" x14ac:dyDescent="0.25">
      <c r="X199" s="497"/>
    </row>
    <row r="200" spans="2:24" x14ac:dyDescent="0.25">
      <c r="X200" s="497"/>
    </row>
    <row r="201" spans="2:24" x14ac:dyDescent="0.25">
      <c r="X201" s="497"/>
    </row>
    <row r="202" spans="2:24" x14ac:dyDescent="0.25">
      <c r="X202" s="497"/>
    </row>
    <row r="203" spans="2:24" x14ac:dyDescent="0.25">
      <c r="X203" s="497"/>
    </row>
    <row r="204" spans="2:24" x14ac:dyDescent="0.25">
      <c r="X204" s="497"/>
    </row>
    <row r="205" spans="2:24" x14ac:dyDescent="0.25">
      <c r="X205" s="497"/>
    </row>
    <row r="206" spans="2:24" x14ac:dyDescent="0.25">
      <c r="X206" s="497"/>
    </row>
    <row r="207" spans="2:24" x14ac:dyDescent="0.25">
      <c r="X207" s="497"/>
    </row>
    <row r="208" spans="2:24" x14ac:dyDescent="0.25">
      <c r="X208" s="497"/>
    </row>
    <row r="209" spans="24:40" x14ac:dyDescent="0.25">
      <c r="X209" s="497"/>
      <c r="AB209" t="s">
        <v>828</v>
      </c>
    </row>
    <row r="210" spans="24:40" x14ac:dyDescent="0.25">
      <c r="X210" s="497"/>
      <c r="AB210" t="s">
        <v>833</v>
      </c>
      <c r="AC210" s="285" t="s">
        <v>834</v>
      </c>
      <c r="AD210" s="285"/>
      <c r="AE210" s="285"/>
      <c r="AF210" s="285"/>
      <c r="AG210" s="285"/>
      <c r="AH210" s="285"/>
    </row>
    <row r="211" spans="24:40" x14ac:dyDescent="0.25">
      <c r="X211" s="497"/>
      <c r="AB211" s="285">
        <v>1</v>
      </c>
      <c r="AC211">
        <v>0.66700000000000004</v>
      </c>
    </row>
    <row r="212" spans="24:40" x14ac:dyDescent="0.25">
      <c r="X212" s="497"/>
      <c r="AB212" s="285">
        <v>0</v>
      </c>
      <c r="AC212">
        <v>3.48</v>
      </c>
      <c r="AG212" s="358">
        <f>AC212-AC215</f>
        <v>0.75999999999999979</v>
      </c>
      <c r="AH212" t="s">
        <v>839</v>
      </c>
    </row>
    <row r="213" spans="24:40" x14ac:dyDescent="0.25">
      <c r="X213" s="497"/>
      <c r="AB213" s="285">
        <v>0.2</v>
      </c>
      <c r="AC213">
        <v>2.16</v>
      </c>
      <c r="AD213" t="s">
        <v>840</v>
      </c>
      <c r="AG213">
        <f>AC216</f>
        <v>2.41</v>
      </c>
      <c r="AH213" t="s">
        <v>841</v>
      </c>
      <c r="AJ213" s="122">
        <f>AG213/AG214</f>
        <v>0.69252873563218398</v>
      </c>
    </row>
    <row r="214" spans="24:40" x14ac:dyDescent="0.25">
      <c r="X214" s="497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842</v>
      </c>
    </row>
    <row r="215" spans="24:40" x14ac:dyDescent="0.25">
      <c r="X215" s="497"/>
      <c r="AB215" s="285">
        <v>0</v>
      </c>
      <c r="AC215">
        <v>2.72</v>
      </c>
      <c r="AG215">
        <f>AC217</f>
        <v>2.9</v>
      </c>
      <c r="AH215" t="s">
        <v>844</v>
      </c>
    </row>
    <row r="216" spans="24:40" x14ac:dyDescent="0.25">
      <c r="X216" s="497"/>
      <c r="AB216" s="285">
        <v>0</v>
      </c>
      <c r="AC216">
        <v>2.41</v>
      </c>
      <c r="AE216" s="268">
        <f>AC215-AC216</f>
        <v>0.31000000000000005</v>
      </c>
      <c r="AF216" t="s">
        <v>845</v>
      </c>
    </row>
    <row r="217" spans="24:40" x14ac:dyDescent="0.25">
      <c r="X217" s="497"/>
      <c r="AB217" s="285">
        <v>0.2</v>
      </c>
      <c r="AC217">
        <v>2.9</v>
      </c>
    </row>
    <row r="218" spans="24:40" x14ac:dyDescent="0.25">
      <c r="X218" s="497"/>
    </row>
    <row r="219" spans="24:40" x14ac:dyDescent="0.25">
      <c r="X219" s="497"/>
    </row>
    <row r="220" spans="24:40" x14ac:dyDescent="0.25">
      <c r="X220" s="497"/>
      <c r="AK220" s="452"/>
    </row>
    <row r="221" spans="24:40" x14ac:dyDescent="0.25">
      <c r="X221" s="497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53"/>
      <c r="AL221" s="8"/>
      <c r="AM221" s="8"/>
      <c r="AN221" s="8"/>
    </row>
    <row r="222" spans="24:40" x14ac:dyDescent="0.25">
      <c r="X222" s="497"/>
    </row>
    <row r="223" spans="24:40" x14ac:dyDescent="0.25">
      <c r="X223" s="497"/>
      <c r="Z223" t="s">
        <v>823</v>
      </c>
    </row>
    <row r="224" spans="24:40" x14ac:dyDescent="0.25">
      <c r="X224" s="497"/>
      <c r="Z224">
        <v>30.6</v>
      </c>
      <c r="AA224" t="s">
        <v>824</v>
      </c>
      <c r="AB224" s="118" t="s">
        <v>825</v>
      </c>
    </row>
    <row r="225" spans="24:38" x14ac:dyDescent="0.25">
      <c r="X225" s="497"/>
      <c r="Z225">
        <f>Z224*AK228</f>
        <v>489.6</v>
      </c>
      <c r="AA225" t="s">
        <v>826</v>
      </c>
      <c r="AK225" t="s">
        <v>827</v>
      </c>
    </row>
    <row r="226" spans="24:38" x14ac:dyDescent="0.25">
      <c r="X226" s="497"/>
    </row>
    <row r="227" spans="24:38" x14ac:dyDescent="0.25">
      <c r="X227" s="497"/>
      <c r="Z227" t="s">
        <v>829</v>
      </c>
      <c r="AK227" t="s">
        <v>831</v>
      </c>
      <c r="AL227" t="s">
        <v>832</v>
      </c>
    </row>
    <row r="228" spans="24:38" x14ac:dyDescent="0.25">
      <c r="X228" s="497"/>
      <c r="Z228" t="s">
        <v>835</v>
      </c>
      <c r="AK228">
        <v>16</v>
      </c>
      <c r="AL228">
        <v>2018</v>
      </c>
    </row>
    <row r="229" spans="24:38" x14ac:dyDescent="0.25">
      <c r="X229" s="497"/>
      <c r="Z229">
        <v>135</v>
      </c>
      <c r="AA229" t="s">
        <v>836</v>
      </c>
      <c r="AB229">
        <v>405</v>
      </c>
      <c r="AC229" t="s">
        <v>837</v>
      </c>
      <c r="AD229" s="118" t="s">
        <v>838</v>
      </c>
    </row>
    <row r="230" spans="24:38" x14ac:dyDescent="0.25">
      <c r="X230" s="497"/>
      <c r="Z230">
        <f>(Z229+AB229)/2</f>
        <v>270</v>
      </c>
      <c r="AA230" t="s">
        <v>756</v>
      </c>
    </row>
    <row r="231" spans="24:38" x14ac:dyDescent="0.25">
      <c r="X231" s="497"/>
    </row>
    <row r="232" spans="24:38" x14ac:dyDescent="0.25">
      <c r="X232" s="497"/>
      <c r="Z232">
        <f>Z230*1000/(12*20*8)</f>
        <v>140.625</v>
      </c>
      <c r="AA232" t="s">
        <v>843</v>
      </c>
    </row>
    <row r="233" spans="24:38" x14ac:dyDescent="0.25">
      <c r="X233" s="497"/>
    </row>
    <row r="234" spans="24:38" x14ac:dyDescent="0.25">
      <c r="X234" s="497"/>
    </row>
    <row r="235" spans="24:38" x14ac:dyDescent="0.25">
      <c r="X235" s="497"/>
    </row>
    <row r="236" spans="24:38" x14ac:dyDescent="0.25">
      <c r="X236" s="497"/>
    </row>
    <row r="237" spans="24:38" x14ac:dyDescent="0.25">
      <c r="X237" s="497"/>
    </row>
    <row r="238" spans="24:38" x14ac:dyDescent="0.25">
      <c r="X238" s="497"/>
      <c r="Z238" s="11" t="s">
        <v>1105</v>
      </c>
      <c r="AA238" s="8"/>
      <c r="AB238" s="8"/>
      <c r="AC238" s="8"/>
      <c r="AD238" s="8"/>
      <c r="AE238" s="8"/>
      <c r="AF238" s="8"/>
    </row>
    <row r="239" spans="24:38" x14ac:dyDescent="0.25">
      <c r="X239" s="497"/>
      <c r="Z239" s="118" t="s">
        <v>1106</v>
      </c>
    </row>
    <row r="240" spans="24:38" x14ac:dyDescent="0.25">
      <c r="X240" s="497"/>
    </row>
    <row r="241" spans="24:31" x14ac:dyDescent="0.25">
      <c r="X241" s="497"/>
      <c r="Z241" t="s">
        <v>1107</v>
      </c>
      <c r="AA241">
        <f>AVERAGE(AB292:AB303)</f>
        <v>342.83333333333331</v>
      </c>
      <c r="AB241" t="s">
        <v>1108</v>
      </c>
    </row>
    <row r="242" spans="24:31" x14ac:dyDescent="0.25">
      <c r="X242" s="497"/>
      <c r="AB242" s="592" t="s">
        <v>1109</v>
      </c>
      <c r="AC242" s="592"/>
      <c r="AD242" s="592"/>
      <c r="AE242" t="s">
        <v>1110</v>
      </c>
    </row>
    <row r="243" spans="24:31" ht="15.75" thickBot="1" x14ac:dyDescent="0.3">
      <c r="X243" s="497"/>
      <c r="AB243" t="s">
        <v>1107</v>
      </c>
      <c r="AC243" t="s">
        <v>1111</v>
      </c>
      <c r="AD243" t="s">
        <v>1112</v>
      </c>
      <c r="AE243" t="s">
        <v>1113</v>
      </c>
    </row>
    <row r="244" spans="24:31" ht="15.75" thickBot="1" x14ac:dyDescent="0.3">
      <c r="X244" s="497"/>
      <c r="Z244" s="513">
        <v>2015</v>
      </c>
      <c r="AA244" s="513">
        <v>1</v>
      </c>
      <c r="AB244" s="513">
        <v>389</v>
      </c>
      <c r="AC244" s="513">
        <v>365</v>
      </c>
      <c r="AD244" s="513">
        <v>320</v>
      </c>
      <c r="AE244" s="513">
        <v>390</v>
      </c>
    </row>
    <row r="245" spans="24:31" ht="15.75" thickBot="1" x14ac:dyDescent="0.3">
      <c r="X245" s="497"/>
      <c r="Z245" s="513">
        <v>2015</v>
      </c>
      <c r="AA245" s="513">
        <v>2</v>
      </c>
      <c r="AB245" s="513">
        <v>342</v>
      </c>
      <c r="AC245" s="513">
        <v>351</v>
      </c>
      <c r="AD245" s="513">
        <v>306</v>
      </c>
      <c r="AE245" s="513">
        <v>414</v>
      </c>
    </row>
    <row r="246" spans="24:31" ht="15.75" thickBot="1" x14ac:dyDescent="0.3">
      <c r="X246" s="497"/>
      <c r="Z246" s="513">
        <v>2015</v>
      </c>
      <c r="AA246" s="513">
        <v>3</v>
      </c>
      <c r="AB246" s="513">
        <v>338</v>
      </c>
      <c r="AC246" s="513">
        <v>313</v>
      </c>
      <c r="AD246" s="513">
        <v>280</v>
      </c>
      <c r="AE246" s="513">
        <v>340</v>
      </c>
    </row>
    <row r="247" spans="24:31" ht="15.75" thickBot="1" x14ac:dyDescent="0.3">
      <c r="X247" s="497"/>
      <c r="Z247" s="513">
        <v>2015</v>
      </c>
      <c r="AA247" s="513">
        <v>4</v>
      </c>
      <c r="AB247" s="513">
        <v>291</v>
      </c>
      <c r="AC247" s="513">
        <v>288</v>
      </c>
      <c r="AD247" s="513">
        <v>238</v>
      </c>
      <c r="AE247" s="513">
        <v>330</v>
      </c>
    </row>
    <row r="248" spans="24:31" ht="15.75" thickBot="1" x14ac:dyDescent="0.3">
      <c r="X248" s="497"/>
      <c r="Z248" s="513">
        <v>2015</v>
      </c>
      <c r="AA248" s="513">
        <v>5</v>
      </c>
      <c r="AB248" s="513">
        <v>278</v>
      </c>
      <c r="AC248" s="513">
        <v>283</v>
      </c>
      <c r="AD248" s="513">
        <v>247</v>
      </c>
      <c r="AE248" s="513">
        <v>325</v>
      </c>
    </row>
    <row r="249" spans="24:31" ht="15.75" thickBot="1" x14ac:dyDescent="0.3">
      <c r="X249" s="497"/>
      <c r="Z249" s="513">
        <v>2015</v>
      </c>
      <c r="AA249" s="513">
        <v>6</v>
      </c>
      <c r="AB249" s="513">
        <v>259</v>
      </c>
      <c r="AC249" s="513">
        <v>258</v>
      </c>
      <c r="AD249" s="513">
        <v>252</v>
      </c>
      <c r="AE249" s="513">
        <v>299</v>
      </c>
    </row>
    <row r="250" spans="24:31" ht="15.75" thickBot="1" x14ac:dyDescent="0.3">
      <c r="X250" s="497"/>
      <c r="Z250" s="513">
        <v>2015</v>
      </c>
      <c r="AA250" s="513">
        <v>7</v>
      </c>
      <c r="AB250" s="513">
        <v>279</v>
      </c>
      <c r="AC250" s="513">
        <v>253</v>
      </c>
      <c r="AD250" s="513">
        <v>252</v>
      </c>
      <c r="AE250" s="513">
        <v>316</v>
      </c>
    </row>
    <row r="251" spans="24:31" ht="15.75" thickBot="1" x14ac:dyDescent="0.3">
      <c r="X251" s="497"/>
      <c r="Z251" s="513">
        <v>2015</v>
      </c>
      <c r="AA251" s="513">
        <v>8</v>
      </c>
      <c r="AB251" s="513">
        <v>264</v>
      </c>
      <c r="AC251" s="513">
        <v>273</v>
      </c>
      <c r="AD251" s="513">
        <v>243</v>
      </c>
      <c r="AE251" s="513">
        <v>301</v>
      </c>
    </row>
    <row r="252" spans="24:31" ht="15.75" thickBot="1" x14ac:dyDescent="0.3">
      <c r="X252" s="497"/>
      <c r="Z252" s="513">
        <v>2015</v>
      </c>
      <c r="AA252" s="513">
        <v>9</v>
      </c>
      <c r="AB252" s="513">
        <v>280</v>
      </c>
      <c r="AC252" s="513">
        <v>233</v>
      </c>
      <c r="AD252" s="513">
        <v>228</v>
      </c>
      <c r="AE252" s="513">
        <v>295</v>
      </c>
    </row>
    <row r="253" spans="24:31" ht="15.75" thickBot="1" x14ac:dyDescent="0.3">
      <c r="X253" s="497"/>
      <c r="Z253" s="513">
        <v>2015</v>
      </c>
      <c r="AA253" s="513">
        <v>10</v>
      </c>
      <c r="AB253" s="513">
        <v>246</v>
      </c>
      <c r="AC253" s="513">
        <v>255</v>
      </c>
      <c r="AD253" s="513">
        <v>209</v>
      </c>
      <c r="AE253" s="513">
        <v>265</v>
      </c>
    </row>
    <row r="254" spans="24:31" ht="15.75" thickBot="1" x14ac:dyDescent="0.3">
      <c r="X254" s="497"/>
      <c r="Z254" s="513">
        <v>2015</v>
      </c>
      <c r="AA254" s="513">
        <v>11</v>
      </c>
      <c r="AB254" s="513">
        <v>222</v>
      </c>
      <c r="AC254" s="513">
        <v>201</v>
      </c>
      <c r="AD254" s="513">
        <v>184</v>
      </c>
      <c r="AE254" s="513">
        <v>213</v>
      </c>
    </row>
    <row r="255" spans="24:31" ht="15.75" thickBot="1" x14ac:dyDescent="0.3">
      <c r="X255" s="497"/>
      <c r="Z255" s="513">
        <v>2015</v>
      </c>
      <c r="AA255" s="513">
        <v>12</v>
      </c>
      <c r="AB255" s="513">
        <v>181</v>
      </c>
      <c r="AC255" s="513">
        <v>174</v>
      </c>
      <c r="AD255" s="513">
        <v>169</v>
      </c>
      <c r="AE255" s="513">
        <v>204</v>
      </c>
    </row>
    <row r="256" spans="24:31" ht="15.75" thickBot="1" x14ac:dyDescent="0.3">
      <c r="X256" s="497"/>
      <c r="Z256" s="513">
        <v>2016</v>
      </c>
      <c r="AA256" s="513">
        <v>1</v>
      </c>
      <c r="AB256" s="513">
        <v>252</v>
      </c>
      <c r="AC256" s="513">
        <v>203</v>
      </c>
      <c r="AD256" s="513">
        <v>167</v>
      </c>
      <c r="AE256" s="513">
        <v>215</v>
      </c>
    </row>
    <row r="257" spans="24:31" ht="15.75" thickBot="1" x14ac:dyDescent="0.3">
      <c r="X257" s="497"/>
      <c r="Z257" s="513">
        <v>2016</v>
      </c>
      <c r="AA257" s="513">
        <v>2</v>
      </c>
      <c r="AB257" s="513">
        <v>214</v>
      </c>
      <c r="AC257" s="513">
        <v>199</v>
      </c>
      <c r="AD257" s="513">
        <v>164</v>
      </c>
      <c r="AE257" s="513">
        <v>209</v>
      </c>
    </row>
    <row r="258" spans="24:31" ht="15.75" thickBot="1" x14ac:dyDescent="0.3">
      <c r="X258" s="497"/>
      <c r="Z258" s="513">
        <v>2016</v>
      </c>
      <c r="AA258" s="513">
        <v>3</v>
      </c>
      <c r="AB258" s="513">
        <v>198</v>
      </c>
      <c r="AC258" s="513">
        <v>182</v>
      </c>
      <c r="AD258" s="513">
        <v>175</v>
      </c>
      <c r="AE258" s="513">
        <v>211</v>
      </c>
    </row>
    <row r="259" spans="24:31" ht="15.75" thickBot="1" x14ac:dyDescent="0.3">
      <c r="X259" s="497"/>
      <c r="Z259" s="513">
        <v>2016</v>
      </c>
      <c r="AA259" s="513">
        <v>4</v>
      </c>
      <c r="AB259" s="513">
        <v>212</v>
      </c>
      <c r="AC259" s="513">
        <v>195</v>
      </c>
      <c r="AD259" s="513">
        <v>184</v>
      </c>
      <c r="AE259" s="513">
        <v>237</v>
      </c>
    </row>
    <row r="260" spans="24:31" ht="15.75" thickBot="1" x14ac:dyDescent="0.3">
      <c r="X260" s="497"/>
      <c r="Z260" s="513">
        <v>2016</v>
      </c>
      <c r="AA260" s="513">
        <v>5</v>
      </c>
      <c r="AB260" s="513">
        <v>212</v>
      </c>
      <c r="AC260" s="513">
        <v>202</v>
      </c>
      <c r="AD260" s="513">
        <v>227</v>
      </c>
      <c r="AE260" s="513">
        <v>247</v>
      </c>
    </row>
    <row r="261" spans="24:31" ht="15.75" thickBot="1" x14ac:dyDescent="0.3">
      <c r="X261" s="497"/>
      <c r="Z261" s="513">
        <v>2016</v>
      </c>
      <c r="AA261" s="513">
        <v>6</v>
      </c>
      <c r="AB261" s="513">
        <v>225</v>
      </c>
      <c r="AC261" s="513">
        <v>224</v>
      </c>
      <c r="AD261" s="513">
        <v>229</v>
      </c>
      <c r="AE261" s="513">
        <v>278</v>
      </c>
    </row>
    <row r="262" spans="24:31" ht="15.75" thickBot="1" x14ac:dyDescent="0.3">
      <c r="X262" s="497"/>
      <c r="Z262" s="513">
        <v>2016</v>
      </c>
      <c r="AA262" s="513">
        <v>7</v>
      </c>
      <c r="AB262" s="513">
        <v>261</v>
      </c>
      <c r="AC262" s="513">
        <v>248</v>
      </c>
      <c r="AD262" s="513">
        <v>246</v>
      </c>
      <c r="AE262" s="513">
        <v>259</v>
      </c>
    </row>
    <row r="263" spans="24:31" ht="15.75" thickBot="1" x14ac:dyDescent="0.3">
      <c r="X263" s="497"/>
      <c r="Z263" s="513">
        <v>2016</v>
      </c>
      <c r="AA263" s="513">
        <v>8</v>
      </c>
      <c r="AB263" s="513">
        <v>272</v>
      </c>
      <c r="AC263" s="513">
        <v>273</v>
      </c>
      <c r="AD263" s="513">
        <v>230</v>
      </c>
      <c r="AE263" s="513">
        <v>271</v>
      </c>
    </row>
    <row r="264" spans="24:31" ht="15.75" thickBot="1" x14ac:dyDescent="0.3">
      <c r="X264" s="497"/>
      <c r="Z264" s="513">
        <v>2016</v>
      </c>
      <c r="AA264" s="513">
        <v>9</v>
      </c>
      <c r="AB264" s="513">
        <v>261</v>
      </c>
      <c r="AC264" s="513">
        <v>241</v>
      </c>
      <c r="AD264" s="513">
        <v>226</v>
      </c>
      <c r="AE264" s="513">
        <v>261</v>
      </c>
    </row>
    <row r="265" spans="24:31" ht="15.75" thickBot="1" x14ac:dyDescent="0.3">
      <c r="X265" s="497"/>
      <c r="Z265" s="513">
        <v>2016</v>
      </c>
      <c r="AA265" s="513">
        <v>10</v>
      </c>
      <c r="AB265" s="513">
        <v>266</v>
      </c>
      <c r="AC265" s="513">
        <v>257</v>
      </c>
      <c r="AD265" s="513">
        <v>229</v>
      </c>
      <c r="AE265" s="513">
        <v>272</v>
      </c>
    </row>
    <row r="266" spans="24:31" ht="15.75" thickBot="1" x14ac:dyDescent="0.3">
      <c r="X266" s="497"/>
      <c r="Z266" s="513">
        <v>2016</v>
      </c>
      <c r="AA266" s="513">
        <v>11</v>
      </c>
      <c r="AB266" s="513">
        <v>255</v>
      </c>
      <c r="AC266" s="513">
        <v>245</v>
      </c>
      <c r="AD266" s="513">
        <v>227</v>
      </c>
      <c r="AE266" s="513">
        <v>264</v>
      </c>
    </row>
    <row r="267" spans="24:31" ht="15.75" thickBot="1" x14ac:dyDescent="0.3">
      <c r="X267" s="497"/>
      <c r="Z267" s="513">
        <v>2016</v>
      </c>
      <c r="AA267" s="513">
        <v>12</v>
      </c>
      <c r="AB267" s="513">
        <v>249</v>
      </c>
      <c r="AC267" s="513">
        <v>271</v>
      </c>
      <c r="AD267" s="513">
        <v>259</v>
      </c>
      <c r="AE267" s="513">
        <v>293</v>
      </c>
    </row>
    <row r="268" spans="24:31" ht="15.75" thickBot="1" x14ac:dyDescent="0.3">
      <c r="X268" s="497"/>
      <c r="Z268" s="513">
        <v>2017</v>
      </c>
      <c r="AA268" s="513">
        <v>1</v>
      </c>
      <c r="AB268" s="513">
        <v>276</v>
      </c>
      <c r="AC268" s="513">
        <v>316</v>
      </c>
      <c r="AD268" s="513">
        <v>284</v>
      </c>
      <c r="AE268" s="513">
        <v>305</v>
      </c>
    </row>
    <row r="269" spans="24:31" ht="15.75" thickBot="1" x14ac:dyDescent="0.3">
      <c r="X269" s="497"/>
      <c r="Z269" s="513">
        <v>2017</v>
      </c>
      <c r="AA269" s="513">
        <v>2</v>
      </c>
      <c r="AB269" s="513">
        <v>296</v>
      </c>
      <c r="AC269" s="513">
        <v>303</v>
      </c>
      <c r="AD269" s="513">
        <v>293</v>
      </c>
      <c r="AE269" s="513">
        <v>322</v>
      </c>
    </row>
    <row r="270" spans="24:31" ht="15.75" thickBot="1" x14ac:dyDescent="0.3">
      <c r="X270" s="497"/>
      <c r="Z270" s="513">
        <v>2017</v>
      </c>
      <c r="AA270" s="513">
        <v>3</v>
      </c>
      <c r="AB270" s="513">
        <v>313</v>
      </c>
      <c r="AC270" s="513">
        <v>316</v>
      </c>
      <c r="AD270" s="513">
        <v>280</v>
      </c>
      <c r="AE270" s="513">
        <v>328</v>
      </c>
    </row>
    <row r="271" spans="24:31" ht="15.75" thickBot="1" x14ac:dyDescent="0.3">
      <c r="X271" s="497"/>
      <c r="Z271" s="513">
        <v>2017</v>
      </c>
      <c r="AA271" s="513">
        <v>4</v>
      </c>
      <c r="AB271" s="513">
        <v>307</v>
      </c>
      <c r="AC271" s="513">
        <v>339</v>
      </c>
      <c r="AD271" s="513">
        <v>305</v>
      </c>
      <c r="AE271" s="513">
        <v>358</v>
      </c>
    </row>
    <row r="272" spans="24:31" ht="15.75" thickBot="1" x14ac:dyDescent="0.3">
      <c r="X272" s="497"/>
      <c r="Z272" s="513">
        <v>2017</v>
      </c>
      <c r="AA272" s="513">
        <v>5</v>
      </c>
      <c r="AB272" s="513">
        <v>319</v>
      </c>
      <c r="AC272" s="513">
        <v>346</v>
      </c>
      <c r="AD272" s="513">
        <v>331</v>
      </c>
      <c r="AE272" s="513">
        <v>378</v>
      </c>
    </row>
    <row r="273" spans="24:31" ht="15.75" thickBot="1" x14ac:dyDescent="0.3">
      <c r="X273" s="497"/>
      <c r="Z273" s="513">
        <v>2017</v>
      </c>
      <c r="AA273" s="513">
        <v>6</v>
      </c>
      <c r="AB273" s="513">
        <v>349</v>
      </c>
      <c r="AC273" s="513">
        <v>365</v>
      </c>
      <c r="AD273" s="513">
        <v>333</v>
      </c>
      <c r="AE273" s="513">
        <v>357</v>
      </c>
    </row>
    <row r="274" spans="24:31" ht="15.75" thickBot="1" x14ac:dyDescent="0.3">
      <c r="X274" s="497"/>
      <c r="Z274" s="513">
        <v>2017</v>
      </c>
      <c r="AA274" s="513">
        <v>7</v>
      </c>
      <c r="AB274" s="513">
        <v>359</v>
      </c>
      <c r="AC274" s="513">
        <v>369</v>
      </c>
      <c r="AD274" s="513">
        <v>324</v>
      </c>
      <c r="AE274" s="513">
        <v>350</v>
      </c>
    </row>
    <row r="275" spans="24:31" ht="15.75" thickBot="1" x14ac:dyDescent="0.3">
      <c r="X275" s="497"/>
      <c r="Z275" s="513">
        <v>2017</v>
      </c>
      <c r="AA275" s="513">
        <v>8</v>
      </c>
      <c r="AB275" s="513">
        <v>364</v>
      </c>
      <c r="AC275" s="513">
        <v>359</v>
      </c>
      <c r="AD275" s="513">
        <v>315</v>
      </c>
      <c r="AE275" s="513">
        <v>365</v>
      </c>
    </row>
    <row r="276" spans="24:31" ht="15.75" thickBot="1" x14ac:dyDescent="0.3">
      <c r="X276" s="497"/>
      <c r="Z276" s="513">
        <v>2017</v>
      </c>
      <c r="AA276" s="513">
        <v>9</v>
      </c>
      <c r="AB276" s="513">
        <v>349</v>
      </c>
      <c r="AC276" s="513">
        <v>345</v>
      </c>
      <c r="AD276" s="513">
        <v>319</v>
      </c>
      <c r="AE276" s="513">
        <v>373</v>
      </c>
    </row>
    <row r="277" spans="24:31" ht="15.75" thickBot="1" x14ac:dyDescent="0.3">
      <c r="X277" s="497"/>
      <c r="Z277" s="513">
        <v>2017</v>
      </c>
      <c r="AA277" s="513">
        <v>10</v>
      </c>
      <c r="AB277" s="513">
        <v>353</v>
      </c>
      <c r="AC277" s="513">
        <v>356</v>
      </c>
      <c r="AD277" s="513">
        <v>333</v>
      </c>
      <c r="AE277" s="513">
        <v>375</v>
      </c>
    </row>
    <row r="278" spans="24:31" ht="15.75" thickBot="1" x14ac:dyDescent="0.3">
      <c r="X278" s="497"/>
      <c r="Z278" s="513">
        <v>2017</v>
      </c>
      <c r="AA278" s="513">
        <v>11</v>
      </c>
      <c r="AB278" s="513">
        <v>353</v>
      </c>
      <c r="AC278" s="513">
        <v>365</v>
      </c>
      <c r="AD278" s="513">
        <v>325</v>
      </c>
      <c r="AE278" s="513">
        <v>364</v>
      </c>
    </row>
    <row r="279" spans="24:31" ht="15.75" thickBot="1" x14ac:dyDescent="0.3">
      <c r="X279" s="497"/>
      <c r="Z279" s="513">
        <v>2017</v>
      </c>
      <c r="AA279" s="513">
        <v>12</v>
      </c>
      <c r="AB279" s="513">
        <v>366</v>
      </c>
      <c r="AC279" s="513">
        <v>316</v>
      </c>
      <c r="AD279" s="513">
        <v>324</v>
      </c>
      <c r="AE279" s="513">
        <v>370</v>
      </c>
    </row>
    <row r="280" spans="24:31" ht="15.75" thickBot="1" x14ac:dyDescent="0.3">
      <c r="X280" s="497"/>
      <c r="Z280" s="513">
        <v>2018</v>
      </c>
      <c r="AA280" s="513">
        <v>1</v>
      </c>
      <c r="AB280" s="513">
        <v>357</v>
      </c>
      <c r="AC280" s="513">
        <v>379</v>
      </c>
      <c r="AD280" s="513">
        <v>325</v>
      </c>
      <c r="AE280" s="513">
        <v>380</v>
      </c>
    </row>
    <row r="281" spans="24:31" ht="15.75" thickBot="1" x14ac:dyDescent="0.3">
      <c r="X281" s="497"/>
      <c r="Z281" s="513">
        <v>2018</v>
      </c>
      <c r="AA281" s="513">
        <v>2</v>
      </c>
      <c r="AB281" s="513">
        <v>381</v>
      </c>
      <c r="AC281" s="513">
        <v>352</v>
      </c>
      <c r="AD281" s="513">
        <v>329</v>
      </c>
      <c r="AE281" s="513">
        <v>370</v>
      </c>
    </row>
    <row r="282" spans="24:31" ht="15.75" thickBot="1" x14ac:dyDescent="0.3">
      <c r="X282" s="497"/>
      <c r="Z282" s="513">
        <v>2018</v>
      </c>
      <c r="AA282" s="513">
        <v>3</v>
      </c>
      <c r="AB282" s="513">
        <v>370</v>
      </c>
      <c r="AC282" s="513">
        <v>334</v>
      </c>
      <c r="AD282" s="513">
        <v>341</v>
      </c>
      <c r="AE282" s="513">
        <v>377</v>
      </c>
    </row>
    <row r="283" spans="24:31" ht="15.75" thickBot="1" x14ac:dyDescent="0.3">
      <c r="X283" s="497"/>
      <c r="Z283" s="513">
        <v>2018</v>
      </c>
      <c r="AA283" s="513">
        <v>4</v>
      </c>
      <c r="AB283" s="513">
        <v>381</v>
      </c>
      <c r="AC283" s="513">
        <v>387</v>
      </c>
      <c r="AD283" s="513">
        <v>330</v>
      </c>
      <c r="AE283" s="513">
        <v>376</v>
      </c>
    </row>
    <row r="284" spans="24:31" ht="15.75" thickBot="1" x14ac:dyDescent="0.3">
      <c r="X284" s="497"/>
      <c r="Z284" s="513">
        <v>2018</v>
      </c>
      <c r="AA284" s="513">
        <v>5</v>
      </c>
      <c r="AB284" s="513">
        <v>387</v>
      </c>
      <c r="AC284" s="513">
        <v>399</v>
      </c>
      <c r="AD284" s="513">
        <v>350</v>
      </c>
      <c r="AE284" s="513">
        <v>406</v>
      </c>
    </row>
    <row r="285" spans="24:31" ht="15.75" thickBot="1" x14ac:dyDescent="0.3">
      <c r="X285" s="497"/>
      <c r="Z285" s="513">
        <v>2018</v>
      </c>
      <c r="AA285" s="513">
        <v>6</v>
      </c>
      <c r="AB285" s="513">
        <v>396</v>
      </c>
      <c r="AC285" s="513">
        <v>377</v>
      </c>
      <c r="AD285" s="513">
        <v>371</v>
      </c>
      <c r="AE285" s="513">
        <v>396</v>
      </c>
    </row>
    <row r="286" spans="24:31" ht="15.75" thickBot="1" x14ac:dyDescent="0.3">
      <c r="X286" s="497"/>
      <c r="Z286" s="513">
        <v>2018</v>
      </c>
      <c r="AA286" s="513">
        <v>7</v>
      </c>
      <c r="AB286" s="513">
        <v>433</v>
      </c>
      <c r="AC286" s="513">
        <v>370</v>
      </c>
      <c r="AD286" s="513">
        <v>368</v>
      </c>
      <c r="AE286" s="513">
        <v>408</v>
      </c>
    </row>
    <row r="287" spans="24:31" ht="15.75" thickBot="1" x14ac:dyDescent="0.3">
      <c r="X287" s="497"/>
      <c r="Z287" s="513">
        <v>2018</v>
      </c>
      <c r="AA287" s="513">
        <v>8</v>
      </c>
      <c r="AB287" s="513">
        <v>415</v>
      </c>
      <c r="AC287" s="513">
        <v>399</v>
      </c>
      <c r="AD287" s="513">
        <v>373</v>
      </c>
      <c r="AE287" s="513">
        <v>407</v>
      </c>
    </row>
    <row r="288" spans="24:31" ht="15.75" thickBot="1" x14ac:dyDescent="0.3">
      <c r="X288" s="497"/>
      <c r="Z288" s="513">
        <v>2018</v>
      </c>
      <c r="AA288" s="513">
        <v>9</v>
      </c>
      <c r="AB288" s="513">
        <v>391</v>
      </c>
      <c r="AC288" s="513">
        <v>394</v>
      </c>
      <c r="AD288" s="513">
        <v>363</v>
      </c>
      <c r="AE288" s="513">
        <v>412</v>
      </c>
    </row>
    <row r="289" spans="24:31" ht="15.75" thickBot="1" x14ac:dyDescent="0.3">
      <c r="X289" s="497"/>
      <c r="Z289" s="513">
        <v>2018</v>
      </c>
      <c r="AA289" s="513">
        <v>10</v>
      </c>
      <c r="AB289" s="513">
        <v>421</v>
      </c>
      <c r="AC289" s="513">
        <v>392</v>
      </c>
      <c r="AD289" s="513">
        <v>358</v>
      </c>
      <c r="AE289" s="513">
        <v>394</v>
      </c>
    </row>
    <row r="290" spans="24:31" ht="15.75" thickBot="1" x14ac:dyDescent="0.3">
      <c r="X290" s="497"/>
      <c r="Z290" s="513">
        <v>2018</v>
      </c>
      <c r="AA290" s="513">
        <v>11</v>
      </c>
      <c r="AB290" s="513">
        <v>410</v>
      </c>
      <c r="AC290" s="513">
        <v>382</v>
      </c>
      <c r="AD290" s="513">
        <v>349</v>
      </c>
      <c r="AE290" s="513">
        <v>393</v>
      </c>
    </row>
    <row r="291" spans="24:31" ht="15.75" thickBot="1" x14ac:dyDescent="0.3">
      <c r="X291" s="497"/>
      <c r="Z291" s="513">
        <v>2018</v>
      </c>
      <c r="AA291" s="513">
        <v>12</v>
      </c>
      <c r="AB291" s="513">
        <v>381</v>
      </c>
      <c r="AC291" s="513">
        <v>364</v>
      </c>
      <c r="AD291" s="513">
        <v>342</v>
      </c>
      <c r="AE291" s="513">
        <v>391</v>
      </c>
    </row>
    <row r="292" spans="24:31" ht="15.75" thickBot="1" x14ac:dyDescent="0.3">
      <c r="X292" s="497"/>
      <c r="Z292" s="513">
        <v>2019</v>
      </c>
      <c r="AA292" s="513">
        <v>1</v>
      </c>
      <c r="AB292" s="513">
        <v>382</v>
      </c>
      <c r="AC292" s="513">
        <v>365</v>
      </c>
      <c r="AD292" s="513">
        <v>344</v>
      </c>
      <c r="AE292" s="513">
        <v>379</v>
      </c>
    </row>
    <row r="293" spans="24:31" ht="15.75" thickBot="1" x14ac:dyDescent="0.3">
      <c r="X293" s="497"/>
      <c r="Z293" s="513">
        <v>2019</v>
      </c>
      <c r="AA293" s="513">
        <v>2</v>
      </c>
      <c r="AB293" s="513">
        <v>383</v>
      </c>
      <c r="AC293" s="513">
        <v>356</v>
      </c>
      <c r="AD293" s="513">
        <v>314</v>
      </c>
      <c r="AE293" s="513">
        <v>359</v>
      </c>
    </row>
    <row r="294" spans="24:31" ht="15.75" thickBot="1" x14ac:dyDescent="0.3">
      <c r="X294" s="497"/>
      <c r="Z294" s="513">
        <v>2019</v>
      </c>
      <c r="AA294" s="513">
        <v>3</v>
      </c>
      <c r="AB294" s="513">
        <v>345</v>
      </c>
      <c r="AC294" s="513">
        <v>345</v>
      </c>
      <c r="AD294" s="513">
        <v>313</v>
      </c>
      <c r="AE294" s="513">
        <v>363</v>
      </c>
    </row>
    <row r="295" spans="24:31" ht="15.75" thickBot="1" x14ac:dyDescent="0.3">
      <c r="X295" s="497"/>
      <c r="Z295" s="513">
        <v>2019</v>
      </c>
      <c r="AA295" s="513">
        <v>4</v>
      </c>
      <c r="AB295" s="513">
        <v>342</v>
      </c>
      <c r="AC295" s="513">
        <v>351</v>
      </c>
      <c r="AD295" s="513">
        <v>331</v>
      </c>
      <c r="AE295" s="513">
        <v>360</v>
      </c>
    </row>
    <row r="296" spans="24:31" ht="15.75" thickBot="1" x14ac:dyDescent="0.3">
      <c r="X296" s="497"/>
      <c r="Z296" s="513">
        <v>2019</v>
      </c>
      <c r="AA296" s="513">
        <v>5</v>
      </c>
      <c r="AB296" s="513">
        <v>369</v>
      </c>
      <c r="AC296" s="513">
        <v>346</v>
      </c>
      <c r="AD296" s="513">
        <v>326</v>
      </c>
      <c r="AE296" s="513">
        <v>358</v>
      </c>
    </row>
    <row r="297" spans="24:31" ht="15.75" thickBot="1" x14ac:dyDescent="0.3">
      <c r="X297" s="497"/>
      <c r="Z297" s="513">
        <v>2019</v>
      </c>
      <c r="AA297" s="513">
        <v>6</v>
      </c>
      <c r="AB297" s="513">
        <v>370</v>
      </c>
      <c r="AC297" s="513">
        <v>341</v>
      </c>
      <c r="AD297" s="513">
        <v>321</v>
      </c>
      <c r="AE297" s="513">
        <v>364</v>
      </c>
    </row>
    <row r="298" spans="24:31" ht="15.75" thickBot="1" x14ac:dyDescent="0.3">
      <c r="X298" s="497"/>
      <c r="Z298" s="513">
        <v>2019</v>
      </c>
      <c r="AA298" s="513">
        <v>7</v>
      </c>
      <c r="AB298" s="513">
        <v>332</v>
      </c>
      <c r="AC298" s="513">
        <v>337</v>
      </c>
      <c r="AD298" s="513">
        <v>316</v>
      </c>
      <c r="AE298" s="513">
        <v>374</v>
      </c>
    </row>
    <row r="299" spans="24:31" ht="15.75" thickBot="1" x14ac:dyDescent="0.3">
      <c r="X299" s="497"/>
      <c r="Z299" s="513">
        <v>2019</v>
      </c>
      <c r="AA299" s="513">
        <v>8</v>
      </c>
      <c r="AB299" s="513">
        <v>355</v>
      </c>
      <c r="AC299" s="513">
        <v>324</v>
      </c>
      <c r="AD299" s="513">
        <v>315</v>
      </c>
      <c r="AE299" s="513">
        <v>384</v>
      </c>
    </row>
    <row r="300" spans="24:31" ht="15.75" thickBot="1" x14ac:dyDescent="0.3">
      <c r="X300" s="497"/>
      <c r="Z300" s="513">
        <v>2019</v>
      </c>
      <c r="AA300" s="513">
        <v>9</v>
      </c>
      <c r="AB300" s="513">
        <v>328</v>
      </c>
      <c r="AC300" s="513">
        <v>335</v>
      </c>
      <c r="AD300" s="513">
        <v>319</v>
      </c>
      <c r="AE300" s="513">
        <v>375</v>
      </c>
    </row>
    <row r="301" spans="24:31" ht="15.75" thickBot="1" x14ac:dyDescent="0.3">
      <c r="X301" s="497"/>
      <c r="Z301" s="513">
        <v>2019</v>
      </c>
      <c r="AA301" s="513">
        <v>10</v>
      </c>
      <c r="AB301" s="513">
        <v>316</v>
      </c>
      <c r="AC301" s="513">
        <v>336</v>
      </c>
      <c r="AD301" s="513">
        <v>307</v>
      </c>
      <c r="AE301" s="513">
        <v>339</v>
      </c>
    </row>
    <row r="302" spans="24:31" ht="15.75" thickBot="1" x14ac:dyDescent="0.3">
      <c r="X302" s="497"/>
      <c r="Z302" s="513">
        <v>2019</v>
      </c>
      <c r="AA302" s="513">
        <v>11</v>
      </c>
      <c r="AB302" s="513">
        <v>313</v>
      </c>
      <c r="AC302" s="513">
        <v>320</v>
      </c>
      <c r="AD302" s="513">
        <v>270</v>
      </c>
      <c r="AE302" s="513">
        <v>336</v>
      </c>
    </row>
    <row r="303" spans="24:31" ht="15.75" thickBot="1" x14ac:dyDescent="0.3">
      <c r="X303" s="497"/>
      <c r="Z303" s="513">
        <v>2019</v>
      </c>
      <c r="AA303" s="513">
        <v>12</v>
      </c>
      <c r="AB303" s="513">
        <v>279</v>
      </c>
      <c r="AC303" s="513">
        <v>296</v>
      </c>
      <c r="AD303" s="513">
        <v>274</v>
      </c>
      <c r="AE303" s="513">
        <v>322</v>
      </c>
    </row>
    <row r="304" spans="24:31" ht="15.75" thickBot="1" x14ac:dyDescent="0.3">
      <c r="X304" s="497"/>
      <c r="Z304" s="513">
        <v>2020</v>
      </c>
      <c r="AA304" s="513">
        <v>1</v>
      </c>
      <c r="AB304" s="513">
        <v>291</v>
      </c>
      <c r="AC304" s="513">
        <v>304</v>
      </c>
      <c r="AD304" s="513">
        <v>305</v>
      </c>
      <c r="AE304" s="513">
        <v>330</v>
      </c>
    </row>
    <row r="305" spans="24:31" ht="15.75" thickBot="1" x14ac:dyDescent="0.3">
      <c r="X305" s="497"/>
      <c r="Z305" s="513">
        <v>2020</v>
      </c>
      <c r="AA305" s="513">
        <v>2</v>
      </c>
      <c r="AB305" s="513">
        <v>297</v>
      </c>
      <c r="AC305" s="513">
        <v>308</v>
      </c>
      <c r="AD305" s="513">
        <v>306</v>
      </c>
      <c r="AE305" s="513" t="s">
        <v>1039</v>
      </c>
    </row>
    <row r="306" spans="24:31" x14ac:dyDescent="0.25">
      <c r="X306" s="497"/>
    </row>
    <row r="307" spans="24:31" x14ac:dyDescent="0.25">
      <c r="X307" s="497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B163">
    <cfRule type="duplicateValues" dxfId="2" priority="1"/>
  </conditionalFormatting>
  <conditionalFormatting sqref="D70:D72">
    <cfRule type="duplicateValues" dxfId="1" priority="3"/>
  </conditionalFormatting>
  <conditionalFormatting sqref="F75 D77">
    <cfRule type="duplicateValues" dxfId="0" priority="2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theme="0" tint="-0.34998626667073579"/>
  </sheetPr>
  <dimension ref="A1:Y203"/>
  <sheetViews>
    <sheetView workbookViewId="0">
      <selection activeCell="D17" sqref="D17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1228</v>
      </c>
    </row>
    <row r="3" spans="1:25" x14ac:dyDescent="0.25">
      <c r="B3" t="s">
        <v>852</v>
      </c>
      <c r="I3" t="s">
        <v>853</v>
      </c>
      <c r="J3">
        <v>3.5999999999999998E-6</v>
      </c>
      <c r="K3" t="s">
        <v>854</v>
      </c>
    </row>
    <row r="4" spans="1:25" x14ac:dyDescent="0.25">
      <c r="B4" t="s">
        <v>855</v>
      </c>
      <c r="I4" t="s">
        <v>800</v>
      </c>
      <c r="J4">
        <v>120</v>
      </c>
      <c r="K4" t="s">
        <v>416</v>
      </c>
    </row>
    <row r="5" spans="1:25" x14ac:dyDescent="0.25">
      <c r="B5" s="454">
        <v>1</v>
      </c>
      <c r="C5" s="446" t="s">
        <v>856</v>
      </c>
      <c r="I5" t="s">
        <v>857</v>
      </c>
      <c r="J5">
        <v>0.125</v>
      </c>
    </row>
    <row r="6" spans="1:25" ht="15.75" thickBot="1" x14ac:dyDescent="0.3">
      <c r="B6">
        <v>11.914999999999999</v>
      </c>
      <c r="C6" t="s">
        <v>858</v>
      </c>
    </row>
    <row r="7" spans="1:25" x14ac:dyDescent="0.25">
      <c r="A7" t="s">
        <v>931</v>
      </c>
      <c r="B7">
        <v>1.1499999999999999</v>
      </c>
      <c r="C7" s="118" t="s">
        <v>780</v>
      </c>
      <c r="K7" s="384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6"/>
    </row>
    <row r="8" spans="1:25" x14ac:dyDescent="0.25">
      <c r="B8" s="268">
        <v>0.85343228200371057</v>
      </c>
      <c r="C8" t="s">
        <v>932</v>
      </c>
      <c r="K8" s="387"/>
      <c r="Y8" s="388"/>
    </row>
    <row r="9" spans="1:25" x14ac:dyDescent="0.25">
      <c r="A9" s="11" t="s">
        <v>930</v>
      </c>
      <c r="B9" s="8"/>
      <c r="C9" s="8"/>
      <c r="D9" s="8"/>
      <c r="E9" s="8"/>
      <c r="F9" s="8"/>
      <c r="G9" s="8"/>
      <c r="H9" s="8"/>
      <c r="I9" s="8"/>
      <c r="K9" s="387"/>
      <c r="Y9" s="388"/>
    </row>
    <row r="10" spans="1:25" x14ac:dyDescent="0.25">
      <c r="A10" s="455" t="s">
        <v>859</v>
      </c>
      <c r="B10" t="s">
        <v>929</v>
      </c>
      <c r="C10" s="268">
        <v>1</v>
      </c>
      <c r="D10" t="s">
        <v>860</v>
      </c>
      <c r="K10" s="387"/>
      <c r="Y10" s="388"/>
    </row>
    <row r="11" spans="1:25" x14ac:dyDescent="0.25">
      <c r="B11" t="s">
        <v>861</v>
      </c>
      <c r="C11" s="358">
        <v>2.7107999999999999</v>
      </c>
      <c r="D11" t="s">
        <v>140</v>
      </c>
      <c r="K11" s="387"/>
      <c r="Y11" s="388"/>
    </row>
    <row r="12" spans="1:25" x14ac:dyDescent="0.25">
      <c r="B12" s="472" t="s">
        <v>862</v>
      </c>
      <c r="C12" s="473">
        <v>0</v>
      </c>
      <c r="D12" s="472" t="s">
        <v>860</v>
      </c>
      <c r="E12" s="472"/>
      <c r="K12" s="387"/>
      <c r="Y12" s="388"/>
    </row>
    <row r="13" spans="1:25" x14ac:dyDescent="0.25">
      <c r="B13" s="472" t="s">
        <v>863</v>
      </c>
      <c r="C13" s="472">
        <v>1</v>
      </c>
      <c r="D13" s="472" t="s">
        <v>860</v>
      </c>
      <c r="E13" s="472"/>
      <c r="F13" s="472"/>
      <c r="K13" s="387"/>
      <c r="Y13" s="388"/>
    </row>
    <row r="14" spans="1:25" x14ac:dyDescent="0.25">
      <c r="K14" s="387"/>
      <c r="Y14" s="388"/>
    </row>
    <row r="15" spans="1:25" x14ac:dyDescent="0.25">
      <c r="B15" t="s">
        <v>864</v>
      </c>
      <c r="C15" s="268">
        <v>3.7107999999999999</v>
      </c>
      <c r="D15" t="s">
        <v>865</v>
      </c>
      <c r="K15" s="387"/>
      <c r="Y15" s="388"/>
    </row>
    <row r="16" spans="1:25" x14ac:dyDescent="0.25">
      <c r="B16" t="s">
        <v>866</v>
      </c>
      <c r="C16" s="358">
        <v>0.26948366928964107</v>
      </c>
      <c r="D16" t="s">
        <v>798</v>
      </c>
      <c r="K16" s="387"/>
      <c r="S16" s="456"/>
      <c r="Y16" s="388"/>
    </row>
    <row r="17" spans="1:25" x14ac:dyDescent="0.25">
      <c r="B17" t="s">
        <v>866</v>
      </c>
      <c r="C17" s="358">
        <v>0.73051633071035893</v>
      </c>
      <c r="D17" t="s">
        <v>38</v>
      </c>
      <c r="K17" s="387"/>
      <c r="O17" s="457"/>
      <c r="U17" s="599"/>
      <c r="V17" s="599"/>
      <c r="Y17" s="388"/>
    </row>
    <row r="18" spans="1:25" x14ac:dyDescent="0.25">
      <c r="K18" s="387"/>
      <c r="S18" s="457"/>
      <c r="Y18" s="388"/>
    </row>
    <row r="19" spans="1:25" x14ac:dyDescent="0.25">
      <c r="B19" s="472" t="s">
        <v>867</v>
      </c>
      <c r="C19" s="472"/>
      <c r="D19" s="472" t="s">
        <v>868</v>
      </c>
      <c r="E19" s="472"/>
      <c r="K19" s="387"/>
      <c r="Y19" s="388"/>
    </row>
    <row r="20" spans="1:25" x14ac:dyDescent="0.25">
      <c r="K20" s="387"/>
      <c r="Y20" s="388"/>
    </row>
    <row r="21" spans="1:25" x14ac:dyDescent="0.25">
      <c r="A21" s="455" t="s">
        <v>869</v>
      </c>
      <c r="B21" s="455" t="s">
        <v>870</v>
      </c>
      <c r="C21" s="455">
        <v>184</v>
      </c>
      <c r="D21" s="455" t="s">
        <v>822</v>
      </c>
      <c r="K21" s="387"/>
      <c r="Y21" s="388"/>
    </row>
    <row r="22" spans="1:25" x14ac:dyDescent="0.25">
      <c r="C22">
        <v>211.6</v>
      </c>
      <c r="D22" t="s">
        <v>652</v>
      </c>
      <c r="K22" s="387"/>
      <c r="Y22" s="388"/>
    </row>
    <row r="23" spans="1:25" x14ac:dyDescent="0.25">
      <c r="B23" t="s">
        <v>872</v>
      </c>
      <c r="C23" s="433">
        <v>2521.2139999999999</v>
      </c>
      <c r="D23" t="s">
        <v>871</v>
      </c>
      <c r="K23" s="387"/>
      <c r="Y23" s="388"/>
    </row>
    <row r="24" spans="1:25" x14ac:dyDescent="0.25">
      <c r="B24" s="472"/>
      <c r="C24" s="475">
        <v>2521.2139999999999</v>
      </c>
      <c r="D24" s="472" t="s">
        <v>873</v>
      </c>
      <c r="E24" s="472"/>
      <c r="K24" s="458"/>
      <c r="Y24" s="388"/>
    </row>
    <row r="25" spans="1:25" x14ac:dyDescent="0.25">
      <c r="A25" t="s">
        <v>220</v>
      </c>
      <c r="B25" t="s">
        <v>670</v>
      </c>
      <c r="C25" s="433">
        <v>725.14525500322793</v>
      </c>
      <c r="D25" t="s">
        <v>874</v>
      </c>
      <c r="H25" s="285">
        <v>0.5</v>
      </c>
      <c r="I25" t="s">
        <v>947</v>
      </c>
      <c r="K25" s="387"/>
      <c r="Y25" s="388"/>
    </row>
    <row r="26" spans="1:25" x14ac:dyDescent="0.25">
      <c r="B26" t="s">
        <v>875</v>
      </c>
      <c r="C26" s="433">
        <v>618.86236976156738</v>
      </c>
      <c r="D26" t="s">
        <v>876</v>
      </c>
      <c r="K26" s="387"/>
      <c r="Y26" s="388"/>
    </row>
    <row r="27" spans="1:25" ht="15.75" thickBot="1" x14ac:dyDescent="0.3">
      <c r="K27" s="387"/>
      <c r="Y27" s="388"/>
    </row>
    <row r="28" spans="1:25" x14ac:dyDescent="0.25"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</row>
    <row r="29" spans="1:25" x14ac:dyDescent="0.25">
      <c r="A29" s="11" t="s">
        <v>948</v>
      </c>
      <c r="B29" s="8"/>
      <c r="C29" s="8"/>
      <c r="D29" s="8"/>
      <c r="E29" s="8"/>
      <c r="F29" s="8"/>
      <c r="G29" s="8"/>
      <c r="H29" s="8"/>
      <c r="I29" s="8"/>
    </row>
    <row r="30" spans="1:25" x14ac:dyDescent="0.25">
      <c r="C30" s="287"/>
      <c r="E30" s="18">
        <v>2020</v>
      </c>
      <c r="F30" s="416">
        <v>2030</v>
      </c>
      <c r="G30" s="416">
        <v>2050</v>
      </c>
    </row>
    <row r="31" spans="1:25" x14ac:dyDescent="0.25">
      <c r="F31" s="459"/>
      <c r="G31" s="459"/>
    </row>
    <row r="32" spans="1:25" x14ac:dyDescent="0.25">
      <c r="A32" s="460" t="s">
        <v>882</v>
      </c>
      <c r="B32" t="s">
        <v>861</v>
      </c>
      <c r="C32" s="287">
        <v>10.928571428571427</v>
      </c>
      <c r="D32" t="s">
        <v>140</v>
      </c>
      <c r="F32" s="459"/>
      <c r="G32" s="459"/>
      <c r="H32" t="s">
        <v>878</v>
      </c>
      <c r="I32" t="s">
        <v>879</v>
      </c>
    </row>
    <row r="33" spans="1:9" x14ac:dyDescent="0.25">
      <c r="B33" t="s">
        <v>880</v>
      </c>
      <c r="C33" s="287">
        <v>6.12</v>
      </c>
      <c r="D33" t="s">
        <v>140</v>
      </c>
      <c r="F33" s="459"/>
      <c r="G33" s="459"/>
      <c r="H33" s="451">
        <v>51000000</v>
      </c>
      <c r="I33" s="303">
        <v>5.0999999999999997E-2</v>
      </c>
    </row>
    <row r="34" spans="1:9" x14ac:dyDescent="0.25">
      <c r="B34" t="s">
        <v>881</v>
      </c>
      <c r="C34" s="303">
        <v>0.40799999999999997</v>
      </c>
      <c r="D34" t="s">
        <v>860</v>
      </c>
      <c r="F34" s="459"/>
      <c r="G34" s="459"/>
    </row>
    <row r="35" spans="1:9" x14ac:dyDescent="0.25">
      <c r="I35" s="358"/>
    </row>
    <row r="36" spans="1:9" x14ac:dyDescent="0.25">
      <c r="A36" s="460" t="s">
        <v>882</v>
      </c>
      <c r="B36" s="460" t="s">
        <v>883</v>
      </c>
      <c r="C36" s="460">
        <v>0.56000000000000005</v>
      </c>
      <c r="D36" s="460"/>
      <c r="E36" s="460"/>
      <c r="F36" s="460">
        <v>0.63</v>
      </c>
      <c r="G36" s="460">
        <v>0.67</v>
      </c>
    </row>
    <row r="37" spans="1:9" x14ac:dyDescent="0.25">
      <c r="B37" t="s">
        <v>884</v>
      </c>
      <c r="C37" s="268">
        <v>1.7857142857142856</v>
      </c>
      <c r="D37" s="268"/>
      <c r="E37" s="268"/>
      <c r="F37" s="268">
        <v>1.5873015873015872</v>
      </c>
      <c r="G37" s="268">
        <v>1.4925373134328357</v>
      </c>
    </row>
    <row r="38" spans="1:9" x14ac:dyDescent="0.25">
      <c r="B38" t="s">
        <v>867</v>
      </c>
      <c r="C38" s="287">
        <v>6.12</v>
      </c>
      <c r="D38" t="s">
        <v>885</v>
      </c>
      <c r="F38" s="461">
        <v>6.8849999999999998</v>
      </c>
      <c r="G38" s="461">
        <v>7.3221428571428575</v>
      </c>
      <c r="I38" t="s">
        <v>886</v>
      </c>
    </row>
    <row r="39" spans="1:9" x14ac:dyDescent="0.25">
      <c r="B39" t="s">
        <v>867</v>
      </c>
      <c r="C39" s="303">
        <v>0.40799999999999997</v>
      </c>
      <c r="D39" t="s">
        <v>887</v>
      </c>
      <c r="F39" s="461">
        <v>0.45899999999999996</v>
      </c>
      <c r="G39" s="461">
        <v>0.4881428571428571</v>
      </c>
      <c r="I39" t="s">
        <v>886</v>
      </c>
    </row>
    <row r="40" spans="1:9" x14ac:dyDescent="0.25">
      <c r="B40" t="s">
        <v>867</v>
      </c>
      <c r="C40" s="287">
        <v>10.928571428571427</v>
      </c>
      <c r="D40" t="s">
        <v>888</v>
      </c>
      <c r="F40" s="459"/>
      <c r="G40" s="459"/>
      <c r="I40" t="s">
        <v>886</v>
      </c>
    </row>
    <row r="42" spans="1:9" x14ac:dyDescent="0.25">
      <c r="A42" t="s">
        <v>889</v>
      </c>
      <c r="B42" t="s">
        <v>890</v>
      </c>
      <c r="C42" s="285">
        <v>0.9</v>
      </c>
    </row>
    <row r="43" spans="1:9" x14ac:dyDescent="0.25">
      <c r="A43" s="460" t="s">
        <v>882</v>
      </c>
      <c r="B43" s="460" t="s">
        <v>891</v>
      </c>
      <c r="C43" s="460">
        <v>1800</v>
      </c>
      <c r="D43" s="460" t="s">
        <v>753</v>
      </c>
      <c r="E43" s="460"/>
      <c r="F43" s="460">
        <v>1500</v>
      </c>
      <c r="G43" s="460">
        <v>900</v>
      </c>
    </row>
    <row r="44" spans="1:9" x14ac:dyDescent="0.25">
      <c r="A44" s="16" t="s">
        <v>892</v>
      </c>
      <c r="B44" t="s">
        <v>891</v>
      </c>
      <c r="C44" s="433">
        <v>21447</v>
      </c>
      <c r="D44" t="s">
        <v>893</v>
      </c>
      <c r="F44" s="433">
        <v>17872.5</v>
      </c>
      <c r="G44" s="433">
        <v>10723.5</v>
      </c>
    </row>
    <row r="45" spans="1:9" x14ac:dyDescent="0.25">
      <c r="B45" t="s">
        <v>872</v>
      </c>
      <c r="C45" s="433">
        <v>21447</v>
      </c>
      <c r="D45" t="s">
        <v>894</v>
      </c>
      <c r="F45" s="433">
        <v>17872.5</v>
      </c>
      <c r="G45" s="433">
        <v>10723.5</v>
      </c>
    </row>
    <row r="46" spans="1:9" x14ac:dyDescent="0.25">
      <c r="C46" s="268"/>
      <c r="F46" s="268"/>
      <c r="G46" s="268"/>
    </row>
    <row r="47" spans="1:9" x14ac:dyDescent="0.25">
      <c r="C47" s="301"/>
      <c r="F47" s="433"/>
      <c r="G47" s="433"/>
    </row>
    <row r="48" spans="1:9" x14ac:dyDescent="0.25">
      <c r="A48" s="460" t="s">
        <v>882</v>
      </c>
      <c r="B48" s="460" t="s">
        <v>895</v>
      </c>
      <c r="C48" s="460">
        <v>60000</v>
      </c>
      <c r="D48" s="460" t="s">
        <v>896</v>
      </c>
      <c r="F48" s="460">
        <v>75000</v>
      </c>
      <c r="G48" s="460">
        <v>12500</v>
      </c>
    </row>
    <row r="49" spans="1:9" x14ac:dyDescent="0.25">
      <c r="B49" t="s">
        <v>897</v>
      </c>
      <c r="C49">
        <v>8</v>
      </c>
      <c r="D49" t="s">
        <v>722</v>
      </c>
      <c r="F49">
        <v>10</v>
      </c>
      <c r="G49">
        <v>2</v>
      </c>
    </row>
    <row r="51" spans="1:9" x14ac:dyDescent="0.25">
      <c r="A51" s="18" t="s">
        <v>899</v>
      </c>
    </row>
    <row r="52" spans="1:9" x14ac:dyDescent="0.25">
      <c r="C52" s="287"/>
      <c r="F52" s="416">
        <v>2030</v>
      </c>
      <c r="G52" s="416">
        <v>2050</v>
      </c>
    </row>
    <row r="53" spans="1:9" x14ac:dyDescent="0.25">
      <c r="F53" s="459"/>
      <c r="G53" s="459"/>
    </row>
    <row r="54" spans="1:9" x14ac:dyDescent="0.25">
      <c r="A54" s="460" t="s">
        <v>877</v>
      </c>
      <c r="B54" t="s">
        <v>861</v>
      </c>
      <c r="C54" s="287">
        <v>0</v>
      </c>
      <c r="D54" t="s">
        <v>140</v>
      </c>
      <c r="F54" s="459"/>
      <c r="G54" s="459"/>
      <c r="H54" t="s">
        <v>878</v>
      </c>
      <c r="I54" t="s">
        <v>879</v>
      </c>
    </row>
    <row r="55" spans="1:9" x14ac:dyDescent="0.25">
      <c r="B55" t="s">
        <v>880</v>
      </c>
      <c r="C55" s="287">
        <v>0</v>
      </c>
      <c r="D55" t="s">
        <v>140</v>
      </c>
      <c r="F55" s="459"/>
      <c r="G55" s="459"/>
      <c r="H55" s="451" t="e">
        <v>#DIV/0!</v>
      </c>
      <c r="I55" s="303" t="e">
        <v>#DIV/0!</v>
      </c>
    </row>
    <row r="56" spans="1:9" x14ac:dyDescent="0.25">
      <c r="B56" t="s">
        <v>881</v>
      </c>
      <c r="C56" s="303" t="e">
        <v>#DIV/0!</v>
      </c>
      <c r="D56" t="s">
        <v>860</v>
      </c>
      <c r="F56" s="459"/>
      <c r="G56" s="459"/>
    </row>
    <row r="57" spans="1:9" x14ac:dyDescent="0.25">
      <c r="I57" s="358"/>
    </row>
    <row r="58" spans="1:9" x14ac:dyDescent="0.25">
      <c r="A58" s="460" t="s">
        <v>882</v>
      </c>
      <c r="B58" s="460" t="s">
        <v>883</v>
      </c>
      <c r="C58" s="464">
        <v>0.63</v>
      </c>
      <c r="D58" s="460"/>
      <c r="E58" s="460"/>
      <c r="F58" s="464">
        <v>0.65</v>
      </c>
      <c r="G58" s="464">
        <v>0.7</v>
      </c>
    </row>
    <row r="59" spans="1:9" x14ac:dyDescent="0.25">
      <c r="B59" s="465" t="s">
        <v>884</v>
      </c>
      <c r="C59" s="466">
        <v>1.5873015873015872</v>
      </c>
      <c r="D59" s="466"/>
      <c r="E59" s="466"/>
      <c r="F59" s="466">
        <v>1.5384615384615383</v>
      </c>
      <c r="G59" s="466">
        <v>1.4285714285714286</v>
      </c>
    </row>
    <row r="60" spans="1:9" x14ac:dyDescent="0.25">
      <c r="B60" t="s">
        <v>867</v>
      </c>
      <c r="C60" s="287">
        <v>0</v>
      </c>
      <c r="D60" t="s">
        <v>885</v>
      </c>
      <c r="F60" s="461">
        <v>0</v>
      </c>
      <c r="G60" s="461">
        <v>0</v>
      </c>
      <c r="I60" t="s">
        <v>886</v>
      </c>
    </row>
    <row r="61" spans="1:9" x14ac:dyDescent="0.25">
      <c r="B61" t="s">
        <v>867</v>
      </c>
      <c r="C61" s="303" t="e">
        <v>#DIV/0!</v>
      </c>
      <c r="D61" t="s">
        <v>887</v>
      </c>
      <c r="F61" s="461" t="e">
        <v>#DIV/0!</v>
      </c>
      <c r="G61" s="461" t="e">
        <v>#DIV/0!</v>
      </c>
      <c r="I61" t="s">
        <v>886</v>
      </c>
    </row>
    <row r="62" spans="1:9" x14ac:dyDescent="0.25">
      <c r="B62" t="s">
        <v>867</v>
      </c>
      <c r="C62" s="287">
        <v>0</v>
      </c>
      <c r="D62" t="s">
        <v>888</v>
      </c>
      <c r="F62" s="459"/>
      <c r="G62" s="459"/>
      <c r="I62" t="s">
        <v>886</v>
      </c>
    </row>
    <row r="64" spans="1:9" x14ac:dyDescent="0.25">
      <c r="A64" s="465" t="s">
        <v>889</v>
      </c>
      <c r="B64" s="465" t="s">
        <v>890</v>
      </c>
      <c r="C64" s="467">
        <v>0.9</v>
      </c>
      <c r="I64" t="s">
        <v>387</v>
      </c>
    </row>
    <row r="65" spans="1:10" x14ac:dyDescent="0.25">
      <c r="A65" s="460" t="s">
        <v>882</v>
      </c>
      <c r="B65" s="460" t="s">
        <v>891</v>
      </c>
      <c r="C65" s="460">
        <v>1400</v>
      </c>
      <c r="D65" s="460" t="s">
        <v>753</v>
      </c>
      <c r="E65" s="460"/>
      <c r="F65" s="460">
        <v>850</v>
      </c>
      <c r="G65" s="460">
        <v>700</v>
      </c>
      <c r="H65" t="s">
        <v>900</v>
      </c>
    </row>
    <row r="66" spans="1:10" x14ac:dyDescent="0.25">
      <c r="A66" s="16" t="s">
        <v>892</v>
      </c>
      <c r="B66" t="s">
        <v>891</v>
      </c>
      <c r="C66" s="433">
        <v>16681</v>
      </c>
      <c r="D66" t="s">
        <v>893</v>
      </c>
      <c r="F66" s="433">
        <v>10127.75</v>
      </c>
      <c r="G66" s="433">
        <v>8340.5</v>
      </c>
    </row>
    <row r="67" spans="1:10" x14ac:dyDescent="0.25">
      <c r="B67" s="465" t="s">
        <v>872</v>
      </c>
      <c r="C67" s="468">
        <v>16681</v>
      </c>
      <c r="D67" s="465" t="s">
        <v>894</v>
      </c>
      <c r="E67" s="469">
        <v>16681</v>
      </c>
      <c r="F67" s="468">
        <v>10127.75</v>
      </c>
      <c r="G67" s="468">
        <v>8340.5</v>
      </c>
    </row>
    <row r="69" spans="1:10" x14ac:dyDescent="0.25">
      <c r="B69" t="s">
        <v>901</v>
      </c>
      <c r="C69" s="433"/>
      <c r="E69" s="285">
        <v>7.0000000000000007E-2</v>
      </c>
      <c r="F69" s="285">
        <v>0.05</v>
      </c>
      <c r="G69" s="285">
        <v>0.05</v>
      </c>
      <c r="H69" t="s">
        <v>902</v>
      </c>
    </row>
    <row r="70" spans="1:10" x14ac:dyDescent="0.25">
      <c r="B70" s="465" t="s">
        <v>903</v>
      </c>
      <c r="C70" s="468"/>
      <c r="D70" s="465"/>
      <c r="E70" s="470">
        <v>1167.67</v>
      </c>
      <c r="F70" s="470">
        <v>506.38750000000005</v>
      </c>
      <c r="G70" s="470">
        <v>417.02500000000003</v>
      </c>
    </row>
    <row r="71" spans="1:10" x14ac:dyDescent="0.25">
      <c r="B71" s="460" t="s">
        <v>891</v>
      </c>
      <c r="C71" s="460">
        <v>500</v>
      </c>
      <c r="D71" s="460" t="s">
        <v>753</v>
      </c>
      <c r="E71" s="460"/>
      <c r="F71" s="460">
        <v>400</v>
      </c>
      <c r="G71" s="460">
        <v>200</v>
      </c>
      <c r="H71" s="16" t="s">
        <v>904</v>
      </c>
    </row>
    <row r="72" spans="1:10" x14ac:dyDescent="0.25">
      <c r="C72" s="301">
        <v>6159.9497526283103</v>
      </c>
      <c r="E72" s="301">
        <v>6159.9497526283103</v>
      </c>
      <c r="F72" s="301">
        <v>4927.9598021026477</v>
      </c>
      <c r="G72" s="301">
        <v>2463.9799010513238</v>
      </c>
    </row>
    <row r="73" spans="1:10" x14ac:dyDescent="0.25">
      <c r="A73" s="460" t="s">
        <v>882</v>
      </c>
      <c r="B73" s="460" t="s">
        <v>895</v>
      </c>
      <c r="C73" s="460">
        <v>75000</v>
      </c>
      <c r="D73" s="460" t="s">
        <v>896</v>
      </c>
      <c r="F73" s="460">
        <v>95000</v>
      </c>
      <c r="G73" s="460">
        <v>125000</v>
      </c>
      <c r="H73" t="s">
        <v>905</v>
      </c>
    </row>
    <row r="74" spans="1:10" x14ac:dyDescent="0.25">
      <c r="A74" s="460"/>
      <c r="B74" s="460"/>
      <c r="C74" s="460"/>
      <c r="D74" s="460" t="s">
        <v>896</v>
      </c>
      <c r="E74">
        <v>60000</v>
      </c>
      <c r="F74" s="460">
        <v>90000</v>
      </c>
      <c r="G74" s="460">
        <v>100000</v>
      </c>
      <c r="H74" t="s">
        <v>904</v>
      </c>
    </row>
    <row r="75" spans="1:10" x14ac:dyDescent="0.25">
      <c r="B75" s="465" t="s">
        <v>897</v>
      </c>
      <c r="C75" s="465">
        <v>10</v>
      </c>
      <c r="D75" s="465" t="s">
        <v>722</v>
      </c>
      <c r="E75" s="465"/>
      <c r="F75" s="465">
        <v>13</v>
      </c>
      <c r="G75" s="465">
        <v>16</v>
      </c>
    </row>
    <row r="77" spans="1:10" x14ac:dyDescent="0.25">
      <c r="A77" s="18" t="s">
        <v>906</v>
      </c>
    </row>
    <row r="78" spans="1:10" x14ac:dyDescent="0.25">
      <c r="C78" s="287"/>
      <c r="F78" s="416">
        <v>2030</v>
      </c>
      <c r="G78" s="416">
        <v>2050</v>
      </c>
    </row>
    <row r="79" spans="1:10" x14ac:dyDescent="0.25">
      <c r="F79" s="459"/>
      <c r="G79" s="459"/>
    </row>
    <row r="80" spans="1:10" x14ac:dyDescent="0.25">
      <c r="A80" s="460" t="s">
        <v>877</v>
      </c>
      <c r="B80" t="s">
        <v>861</v>
      </c>
      <c r="C80" s="287">
        <v>0</v>
      </c>
      <c r="D80" t="s">
        <v>140</v>
      </c>
      <c r="F80" s="459"/>
      <c r="G80" s="459"/>
      <c r="H80" t="s">
        <v>878</v>
      </c>
      <c r="I80" t="s">
        <v>879</v>
      </c>
      <c r="J80" t="s">
        <v>886</v>
      </c>
    </row>
    <row r="81" spans="1:10" x14ac:dyDescent="0.25">
      <c r="B81" t="s">
        <v>880</v>
      </c>
      <c r="C81" s="287">
        <v>0</v>
      </c>
      <c r="D81" t="s">
        <v>140</v>
      </c>
      <c r="F81" s="459"/>
      <c r="G81" s="459"/>
      <c r="H81" s="451" t="e">
        <v>#DIV/0!</v>
      </c>
      <c r="I81" s="303" t="e">
        <v>#DIV/0!</v>
      </c>
      <c r="J81" t="s">
        <v>886</v>
      </c>
    </row>
    <row r="82" spans="1:10" x14ac:dyDescent="0.25">
      <c r="B82" t="s">
        <v>881</v>
      </c>
      <c r="C82" s="303" t="e">
        <v>#DIV/0!</v>
      </c>
      <c r="D82" t="s">
        <v>860</v>
      </c>
      <c r="F82" s="459"/>
      <c r="G82" s="459"/>
      <c r="J82" t="s">
        <v>886</v>
      </c>
    </row>
    <row r="83" spans="1:10" x14ac:dyDescent="0.25">
      <c r="I83" s="358"/>
    </row>
    <row r="84" spans="1:10" x14ac:dyDescent="0.25">
      <c r="A84" s="460" t="s">
        <v>882</v>
      </c>
      <c r="B84" s="460" t="s">
        <v>883</v>
      </c>
      <c r="C84" s="464">
        <v>0.7</v>
      </c>
      <c r="D84" s="460"/>
      <c r="E84" s="460"/>
      <c r="F84" s="464">
        <v>0.71</v>
      </c>
      <c r="G84" s="464">
        <v>0.8</v>
      </c>
      <c r="H84" t="s">
        <v>900</v>
      </c>
    </row>
    <row r="85" spans="1:10" x14ac:dyDescent="0.25">
      <c r="B85" s="465" t="s">
        <v>884</v>
      </c>
      <c r="C85" s="466">
        <v>1.4285714285714286</v>
      </c>
      <c r="D85" s="466"/>
      <c r="E85" s="466"/>
      <c r="F85" s="466">
        <v>1.4084507042253522</v>
      </c>
      <c r="G85" s="466">
        <v>1.25</v>
      </c>
    </row>
    <row r="86" spans="1:10" x14ac:dyDescent="0.25">
      <c r="B86" t="s">
        <v>867</v>
      </c>
      <c r="C86" s="287">
        <v>0</v>
      </c>
      <c r="D86" t="s">
        <v>885</v>
      </c>
      <c r="F86" s="461">
        <v>0</v>
      </c>
      <c r="G86" s="461">
        <v>0</v>
      </c>
    </row>
    <row r="87" spans="1:10" x14ac:dyDescent="0.25">
      <c r="B87" t="s">
        <v>867</v>
      </c>
      <c r="C87" s="303" t="e">
        <v>#DIV/0!</v>
      </c>
      <c r="D87" t="s">
        <v>887</v>
      </c>
      <c r="F87" s="461" t="e">
        <v>#DIV/0!</v>
      </c>
      <c r="G87" s="461" t="e">
        <v>#DIV/0!</v>
      </c>
    </row>
    <row r="88" spans="1:10" x14ac:dyDescent="0.25">
      <c r="B88" t="s">
        <v>867</v>
      </c>
      <c r="C88" s="287">
        <v>0</v>
      </c>
      <c r="D88" t="s">
        <v>888</v>
      </c>
      <c r="F88" s="459"/>
      <c r="G88" s="459"/>
    </row>
    <row r="90" spans="1:10" x14ac:dyDescent="0.25">
      <c r="A90" t="s">
        <v>889</v>
      </c>
      <c r="B90" t="s">
        <v>890</v>
      </c>
      <c r="C90" s="285"/>
    </row>
    <row r="91" spans="1:10" x14ac:dyDescent="0.25">
      <c r="A91" s="460" t="s">
        <v>882</v>
      </c>
      <c r="B91" s="460" t="s">
        <v>891</v>
      </c>
      <c r="C91" s="460">
        <v>500</v>
      </c>
      <c r="D91" s="460" t="s">
        <v>753</v>
      </c>
      <c r="E91" s="460"/>
      <c r="F91" s="460">
        <v>400</v>
      </c>
      <c r="G91" s="460">
        <v>200</v>
      </c>
    </row>
    <row r="92" spans="1:10" x14ac:dyDescent="0.25">
      <c r="A92" s="16" t="s">
        <v>892</v>
      </c>
      <c r="B92" t="s">
        <v>891</v>
      </c>
      <c r="C92" s="433">
        <v>5957.5</v>
      </c>
      <c r="D92" t="s">
        <v>893</v>
      </c>
      <c r="F92" s="433">
        <v>4766</v>
      </c>
      <c r="G92" s="433">
        <v>2383</v>
      </c>
      <c r="H92" t="s">
        <v>907</v>
      </c>
    </row>
    <row r="93" spans="1:10" x14ac:dyDescent="0.25">
      <c r="B93" s="465" t="s">
        <v>872</v>
      </c>
      <c r="C93" s="468">
        <v>5957.5</v>
      </c>
      <c r="D93" s="465" t="s">
        <v>894</v>
      </c>
      <c r="E93" s="469">
        <v>5957.5</v>
      </c>
      <c r="F93" s="468">
        <v>4766</v>
      </c>
      <c r="G93" s="468">
        <v>2383</v>
      </c>
    </row>
    <row r="94" spans="1:10" x14ac:dyDescent="0.25">
      <c r="C94" s="433"/>
      <c r="F94" s="433"/>
      <c r="G94" s="433"/>
    </row>
    <row r="95" spans="1:10" x14ac:dyDescent="0.25">
      <c r="B95" t="s">
        <v>901</v>
      </c>
      <c r="C95" s="433"/>
      <c r="E95" s="285">
        <v>7.0000000000000007E-2</v>
      </c>
      <c r="F95" s="285">
        <v>0.05</v>
      </c>
      <c r="G95" s="285">
        <v>0.05</v>
      </c>
      <c r="H95" t="s">
        <v>902</v>
      </c>
    </row>
    <row r="96" spans="1:10" x14ac:dyDescent="0.25">
      <c r="B96" s="465" t="s">
        <v>903</v>
      </c>
      <c r="C96" s="468"/>
      <c r="D96" s="465"/>
      <c r="E96" s="470">
        <v>417.02500000000003</v>
      </c>
      <c r="F96" s="470">
        <v>238.3</v>
      </c>
      <c r="G96" s="470">
        <v>119.15</v>
      </c>
    </row>
    <row r="97" spans="1:15" x14ac:dyDescent="0.25">
      <c r="C97" s="268"/>
      <c r="F97" s="268"/>
      <c r="G97" s="268"/>
    </row>
    <row r="98" spans="1:15" x14ac:dyDescent="0.25">
      <c r="C98" s="301"/>
      <c r="F98" s="433"/>
      <c r="G98" s="433"/>
    </row>
    <row r="99" spans="1:15" x14ac:dyDescent="0.25">
      <c r="A99" s="460" t="s">
        <v>882</v>
      </c>
      <c r="B99" s="460" t="s">
        <v>895</v>
      </c>
      <c r="C99" s="460">
        <v>75000</v>
      </c>
      <c r="D99" s="460" t="s">
        <v>896</v>
      </c>
      <c r="F99" s="460">
        <v>95000</v>
      </c>
      <c r="G99" s="460">
        <v>125000</v>
      </c>
      <c r="H99" t="s">
        <v>908</v>
      </c>
    </row>
    <row r="100" spans="1:15" x14ac:dyDescent="0.25">
      <c r="E100">
        <v>90000</v>
      </c>
      <c r="F100">
        <v>100000</v>
      </c>
      <c r="G100">
        <v>150000</v>
      </c>
      <c r="H100" t="s">
        <v>754</v>
      </c>
    </row>
    <row r="101" spans="1:15" x14ac:dyDescent="0.25">
      <c r="B101" s="465" t="s">
        <v>897</v>
      </c>
      <c r="C101" s="465">
        <v>10</v>
      </c>
      <c r="D101" s="465" t="s">
        <v>722</v>
      </c>
      <c r="E101" s="465">
        <v>10</v>
      </c>
      <c r="F101" s="465">
        <v>13</v>
      </c>
      <c r="G101" s="465">
        <v>16</v>
      </c>
    </row>
    <row r="104" spans="1:15" ht="15.75" x14ac:dyDescent="0.25">
      <c r="O104" s="499"/>
    </row>
    <row r="105" spans="1:15" x14ac:dyDescent="0.25">
      <c r="A105" s="11" t="s">
        <v>909</v>
      </c>
      <c r="B105" s="8"/>
      <c r="C105" s="8"/>
      <c r="D105" s="8"/>
      <c r="E105" s="8"/>
      <c r="F105" s="8"/>
      <c r="G105" s="8"/>
      <c r="H105" s="8"/>
      <c r="I105" s="8"/>
    </row>
    <row r="106" spans="1:15" x14ac:dyDescent="0.25">
      <c r="F106" s="459"/>
      <c r="G106" s="459"/>
    </row>
    <row r="107" spans="1:15" x14ac:dyDescent="0.25">
      <c r="A107" s="455" t="s">
        <v>910</v>
      </c>
      <c r="B107" t="s">
        <v>911</v>
      </c>
      <c r="C107" s="321">
        <v>6.12</v>
      </c>
      <c r="D107" t="s">
        <v>140</v>
      </c>
      <c r="F107" s="459"/>
      <c r="G107" s="459"/>
    </row>
    <row r="108" spans="1:15" x14ac:dyDescent="0.25">
      <c r="B108" t="s">
        <v>912</v>
      </c>
      <c r="C108">
        <v>1.504</v>
      </c>
      <c r="D108" t="s">
        <v>913</v>
      </c>
      <c r="F108" s="459"/>
      <c r="G108" s="459"/>
    </row>
    <row r="109" spans="1:15" x14ac:dyDescent="0.25">
      <c r="B109" t="s">
        <v>914</v>
      </c>
      <c r="C109" s="320">
        <v>1</v>
      </c>
      <c r="D109" t="s">
        <v>860</v>
      </c>
      <c r="F109" s="459"/>
      <c r="G109" s="459"/>
    </row>
    <row r="110" spans="1:15" x14ac:dyDescent="0.25">
      <c r="B110" s="16" t="s">
        <v>867</v>
      </c>
      <c r="C110" s="16">
        <v>0.74400000000000022</v>
      </c>
      <c r="D110" s="16" t="s">
        <v>915</v>
      </c>
      <c r="E110" s="16" t="s">
        <v>916</v>
      </c>
      <c r="F110" s="471"/>
      <c r="G110" s="471"/>
      <c r="H110" s="16" t="s">
        <v>917</v>
      </c>
    </row>
    <row r="111" spans="1:15" x14ac:dyDescent="0.25">
      <c r="B111" t="s">
        <v>867</v>
      </c>
      <c r="C111">
        <v>1.504</v>
      </c>
      <c r="D111" t="s">
        <v>37</v>
      </c>
      <c r="F111" s="459"/>
      <c r="G111" s="459"/>
    </row>
    <row r="112" spans="1:15" x14ac:dyDescent="0.25">
      <c r="B112" t="s">
        <v>867</v>
      </c>
      <c r="C112" s="321">
        <v>6.12</v>
      </c>
      <c r="D112" t="s">
        <v>885</v>
      </c>
    </row>
    <row r="113" spans="1:4" x14ac:dyDescent="0.25">
      <c r="B113" t="s">
        <v>867</v>
      </c>
      <c r="C113" s="320">
        <v>1</v>
      </c>
      <c r="D113" t="s">
        <v>798</v>
      </c>
    </row>
    <row r="115" spans="1:4" x14ac:dyDescent="0.25">
      <c r="A115" t="s">
        <v>889</v>
      </c>
      <c r="B115" t="s">
        <v>918</v>
      </c>
      <c r="C115" s="285">
        <v>0.9</v>
      </c>
      <c r="D115" t="s">
        <v>919</v>
      </c>
    </row>
    <row r="117" spans="1:4" x14ac:dyDescent="0.25">
      <c r="A117" s="455" t="s">
        <v>869</v>
      </c>
      <c r="B117" s="455" t="s">
        <v>870</v>
      </c>
      <c r="C117" s="455">
        <v>230</v>
      </c>
      <c r="D117" s="455" t="s">
        <v>822</v>
      </c>
    </row>
    <row r="118" spans="1:4" x14ac:dyDescent="0.25">
      <c r="C118">
        <v>264.5</v>
      </c>
      <c r="D118" t="s">
        <v>631</v>
      </c>
    </row>
    <row r="119" spans="1:4" x14ac:dyDescent="0.25">
      <c r="C119" s="428">
        <v>3151.5174999999999</v>
      </c>
      <c r="D119" t="s">
        <v>920</v>
      </c>
    </row>
    <row r="120" spans="1:4" x14ac:dyDescent="0.25">
      <c r="B120" t="s">
        <v>872</v>
      </c>
      <c r="C120" s="287">
        <v>3151.5174999999999</v>
      </c>
      <c r="D120" t="s">
        <v>873</v>
      </c>
    </row>
    <row r="121" spans="1:4" x14ac:dyDescent="0.25">
      <c r="C121" s="287"/>
    </row>
    <row r="122" spans="1:4" x14ac:dyDescent="0.25">
      <c r="B122" t="s">
        <v>921</v>
      </c>
      <c r="C122" s="287"/>
    </row>
    <row r="123" spans="1:4" x14ac:dyDescent="0.25">
      <c r="A123" t="s">
        <v>220</v>
      </c>
      <c r="B123" t="s">
        <v>670</v>
      </c>
      <c r="C123" s="433">
        <v>725.14525500322793</v>
      </c>
      <c r="D123" t="s">
        <v>874</v>
      </c>
    </row>
    <row r="124" spans="1:4" x14ac:dyDescent="0.25">
      <c r="B124" t="s">
        <v>875</v>
      </c>
      <c r="C124" s="433">
        <v>618.86236976156738</v>
      </c>
      <c r="D124" t="s">
        <v>876</v>
      </c>
    </row>
    <row r="127" spans="1:4" x14ac:dyDescent="0.25">
      <c r="C127" s="321"/>
    </row>
    <row r="129" spans="1:9" x14ac:dyDescent="0.25">
      <c r="A129" t="s">
        <v>922</v>
      </c>
    </row>
    <row r="131" spans="1:9" x14ac:dyDescent="0.25">
      <c r="A131" t="s">
        <v>923</v>
      </c>
      <c r="C131" s="428">
        <v>318.83499999999998</v>
      </c>
      <c r="D131" t="s">
        <v>924</v>
      </c>
    </row>
    <row r="132" spans="1:9" x14ac:dyDescent="0.25">
      <c r="C132">
        <v>4162.2431015000002</v>
      </c>
      <c r="D132" t="s">
        <v>920</v>
      </c>
    </row>
    <row r="139" spans="1:9" x14ac:dyDescent="0.25">
      <c r="I139" s="519"/>
    </row>
    <row r="189" spans="12:13" x14ac:dyDescent="0.25">
      <c r="L189" s="18"/>
      <c r="M189" s="18"/>
    </row>
    <row r="190" spans="12:13" x14ac:dyDescent="0.25">
      <c r="L190" s="518"/>
    </row>
    <row r="191" spans="12:13" x14ac:dyDescent="0.25">
      <c r="L191" s="519"/>
      <c r="M191" s="519"/>
    </row>
    <row r="203" spans="2:2" ht="21" x14ac:dyDescent="0.35">
      <c r="B203" s="434"/>
    </row>
  </sheetData>
  <mergeCells count="1">
    <mergeCell ref="U17:V17"/>
  </mergeCells>
  <hyperlinks>
    <hyperlink ref="C7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4"/>
  </sheetPr>
  <dimension ref="A2:AB280"/>
  <sheetViews>
    <sheetView topLeftCell="A138" zoomScale="85" zoomScaleNormal="85" workbookViewId="0">
      <selection activeCell="C198" sqref="C198"/>
    </sheetView>
  </sheetViews>
  <sheetFormatPr defaultRowHeight="15" x14ac:dyDescent="0.25"/>
  <cols>
    <col min="2" max="2" width="26.28515625" customWidth="1"/>
    <col min="3" max="3" width="12" bestFit="1" customWidth="1"/>
    <col min="4" max="4" width="10" bestFit="1" customWidth="1"/>
    <col min="5" max="5" width="11.28515625" bestFit="1" customWidth="1"/>
    <col min="6" max="6" width="10.7109375" bestFit="1" customWidth="1"/>
    <col min="7" max="7" width="11" bestFit="1" customWidth="1"/>
    <col min="8" max="8" width="10.28515625" bestFit="1" customWidth="1"/>
    <col min="9" max="9" width="11.28515625" bestFit="1" customWidth="1"/>
    <col min="10" max="11" width="9.7109375" bestFit="1" customWidth="1"/>
    <col min="12" max="12" width="16.5703125" customWidth="1"/>
    <col min="13" max="13" width="12.140625" customWidth="1"/>
    <col min="14" max="14" width="9.28515625" bestFit="1" customWidth="1"/>
    <col min="16" max="16" width="9" customWidth="1"/>
    <col min="18" max="18" width="10.7109375" bestFit="1" customWidth="1"/>
    <col min="19" max="19" width="9.5703125" bestFit="1" customWidth="1"/>
    <col min="20" max="20" width="11.5703125" customWidth="1"/>
    <col min="21" max="21" width="10.140625" bestFit="1" customWidth="1"/>
    <col min="22" max="22" width="9.28515625" bestFit="1" customWidth="1"/>
  </cols>
  <sheetData>
    <row r="2" spans="2:24" x14ac:dyDescent="0.25">
      <c r="P2" t="s">
        <v>438</v>
      </c>
    </row>
    <row r="3" spans="2:24" x14ac:dyDescent="0.25">
      <c r="B3" t="s">
        <v>401</v>
      </c>
      <c r="P3" t="s">
        <v>439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434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435</v>
      </c>
      <c r="R5" t="s">
        <v>14</v>
      </c>
      <c r="S5" t="s">
        <v>12</v>
      </c>
      <c r="T5" t="s">
        <v>436</v>
      </c>
      <c r="U5" t="s">
        <v>151</v>
      </c>
      <c r="V5" t="s">
        <v>437</v>
      </c>
      <c r="W5" t="s">
        <v>320</v>
      </c>
      <c r="X5" s="5" t="s">
        <v>3</v>
      </c>
    </row>
    <row r="6" spans="2:24" ht="15.75" x14ac:dyDescent="0.25">
      <c r="B6" s="338"/>
      <c r="C6" s="24"/>
      <c r="D6" s="24" t="s">
        <v>7</v>
      </c>
      <c r="E6" s="24" t="s">
        <v>9</v>
      </c>
      <c r="F6" s="24"/>
      <c r="G6" s="24" t="s">
        <v>8</v>
      </c>
      <c r="H6" s="24" t="s">
        <v>136</v>
      </c>
      <c r="I6" s="24" t="s">
        <v>10</v>
      </c>
      <c r="L6" s="5"/>
      <c r="P6" s="4" t="s">
        <v>440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45">
        <v>24.71180046111926</v>
      </c>
    </row>
    <row r="7" spans="2:24" ht="15.75" x14ac:dyDescent="0.25">
      <c r="B7" s="339" t="s">
        <v>137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3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46" t="s">
        <v>441</v>
      </c>
      <c r="X8" s="5"/>
    </row>
    <row r="9" spans="2:24" ht="15.75" x14ac:dyDescent="0.25">
      <c r="B9" s="33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38"/>
      <c r="C10" s="26" t="s">
        <v>130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435</v>
      </c>
      <c r="R10" t="s">
        <v>14</v>
      </c>
      <c r="S10" t="s">
        <v>12</v>
      </c>
      <c r="T10" t="s">
        <v>436</v>
      </c>
      <c r="U10" t="s">
        <v>151</v>
      </c>
      <c r="V10" t="s">
        <v>437</v>
      </c>
      <c r="W10" t="s">
        <v>320</v>
      </c>
      <c r="X10" s="5" t="s">
        <v>3</v>
      </c>
    </row>
    <row r="11" spans="2:24" ht="15.75" x14ac:dyDescent="0.25">
      <c r="B11" s="338"/>
      <c r="C11" s="26" t="s">
        <v>138</v>
      </c>
      <c r="D11" s="52"/>
      <c r="E11" s="52"/>
      <c r="F11" s="52"/>
      <c r="G11" s="52"/>
      <c r="H11" s="52">
        <v>0</v>
      </c>
      <c r="I11" s="52"/>
      <c r="L11" s="5"/>
      <c r="P11" s="4" t="s">
        <v>440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3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3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442</v>
      </c>
      <c r="X14" s="5"/>
    </row>
    <row r="15" spans="2:24" x14ac:dyDescent="0.25">
      <c r="B15" s="4"/>
      <c r="L15" s="5"/>
      <c r="P15" s="4"/>
      <c r="Q15" t="s">
        <v>435</v>
      </c>
      <c r="R15" t="s">
        <v>14</v>
      </c>
      <c r="S15" t="s">
        <v>12</v>
      </c>
      <c r="T15" t="s">
        <v>436</v>
      </c>
      <c r="U15" t="s">
        <v>151</v>
      </c>
      <c r="V15" t="s">
        <v>437</v>
      </c>
      <c r="W15" t="s">
        <v>320</v>
      </c>
      <c r="X15" s="5" t="s">
        <v>3</v>
      </c>
    </row>
    <row r="16" spans="2:24" x14ac:dyDescent="0.25">
      <c r="B16" s="4"/>
      <c r="L16" s="5"/>
      <c r="P16" s="4" t="s">
        <v>440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38"/>
      <c r="L18" s="5"/>
      <c r="P18" s="4" t="s">
        <v>95</v>
      </c>
      <c r="X18" s="5"/>
    </row>
    <row r="19" spans="2:28" ht="15.75" x14ac:dyDescent="0.25">
      <c r="B19" s="340" t="s">
        <v>115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435</v>
      </c>
      <c r="R19" t="s">
        <v>14</v>
      </c>
      <c r="S19" t="s">
        <v>12</v>
      </c>
      <c r="T19" t="s">
        <v>436</v>
      </c>
      <c r="U19" t="s">
        <v>151</v>
      </c>
      <c r="V19" t="s">
        <v>437</v>
      </c>
      <c r="W19" t="s">
        <v>320</v>
      </c>
      <c r="X19" s="5" t="s">
        <v>3</v>
      </c>
    </row>
    <row r="20" spans="2:28" ht="15.75" x14ac:dyDescent="0.25">
      <c r="B20" s="341" t="s">
        <v>122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440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4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4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4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443</v>
      </c>
      <c r="X23" s="5"/>
    </row>
    <row r="24" spans="2:28" ht="15.75" x14ac:dyDescent="0.25">
      <c r="B24" s="342" t="s">
        <v>130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146</v>
      </c>
      <c r="X24" s="5"/>
      <c r="Z24" t="s">
        <v>520</v>
      </c>
    </row>
    <row r="25" spans="2:28" ht="15.75" x14ac:dyDescent="0.25">
      <c r="B25" s="342" t="s">
        <v>131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435</v>
      </c>
      <c r="R25" s="135" t="s">
        <v>14</v>
      </c>
      <c r="S25" s="135" t="s">
        <v>12</v>
      </c>
      <c r="T25" s="135" t="s">
        <v>436</v>
      </c>
      <c r="U25" s="135" t="s">
        <v>151</v>
      </c>
      <c r="V25" s="135" t="s">
        <v>437</v>
      </c>
      <c r="W25" s="135" t="s">
        <v>320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47">
        <f>Q6</f>
        <v>9.7324443858011449</v>
      </c>
      <c r="R26" s="347">
        <f t="shared" ref="R26:W26" si="0">R6</f>
        <v>5.4098168519259584</v>
      </c>
      <c r="S26" s="347">
        <f t="shared" si="0"/>
        <v>8.4486477066739596</v>
      </c>
      <c r="T26" s="347">
        <f t="shared" si="0"/>
        <v>0</v>
      </c>
      <c r="U26" s="347">
        <f t="shared" si="0"/>
        <v>0.59433505502672301</v>
      </c>
      <c r="V26" s="347">
        <f t="shared" si="0"/>
        <v>0.52655646169147485</v>
      </c>
      <c r="W26" s="347">
        <f t="shared" si="0"/>
        <v>0</v>
      </c>
      <c r="X26" s="348">
        <f>SUM(Q26:W26)</f>
        <v>24.71180046111926</v>
      </c>
      <c r="Z26" s="268">
        <f>'INPUT Capacity &amp; Production'!M291</f>
        <v>3.3</v>
      </c>
      <c r="AA26" s="268">
        <f>SUMIFS('INPUT Capacity &amp; Production'!$R$291:$R$295,'INPUT Capacity &amp; Production'!$B$291:$B$295,AB26)</f>
        <v>3.0330810810810807</v>
      </c>
      <c r="AB26" s="129" t="s">
        <v>7</v>
      </c>
    </row>
    <row r="27" spans="2:28" x14ac:dyDescent="0.25">
      <c r="B27" s="4"/>
      <c r="L27" s="5"/>
      <c r="P27" s="117" t="s">
        <v>173</v>
      </c>
      <c r="Q27" s="347">
        <f>Q11</f>
        <v>4.2466739383685805</v>
      </c>
      <c r="R27" s="347">
        <f t="shared" ref="R27:W27" si="1">R11</f>
        <v>17.308347986465257</v>
      </c>
      <c r="S27" s="347">
        <f t="shared" si="1"/>
        <v>0</v>
      </c>
      <c r="T27" s="347">
        <f t="shared" si="1"/>
        <v>0</v>
      </c>
      <c r="U27" s="347">
        <f t="shared" si="1"/>
        <v>0</v>
      </c>
      <c r="V27" s="347">
        <f t="shared" si="1"/>
        <v>2.2897460751661631</v>
      </c>
      <c r="W27" s="347">
        <f t="shared" si="1"/>
        <v>0</v>
      </c>
      <c r="X27" s="348">
        <f>SUM(Q27:W27)</f>
        <v>23.844768000000002</v>
      </c>
      <c r="Z27" s="268">
        <f>'INPUT Capacity &amp; Production'!M292</f>
        <v>1.21</v>
      </c>
      <c r="AA27" s="268">
        <f>SUMIFS('INPUT Capacity &amp; Production'!$R$291:$R$295,'INPUT Capacity &amp; Production'!$B$291:$B$295,AB27)</f>
        <v>0.75891891891891894</v>
      </c>
      <c r="AB27" s="129" t="s">
        <v>9</v>
      </c>
    </row>
    <row r="28" spans="2:28" x14ac:dyDescent="0.25">
      <c r="B28" s="4"/>
      <c r="L28" s="5"/>
      <c r="P28" s="117" t="s">
        <v>444</v>
      </c>
      <c r="Q28" s="347">
        <f t="shared" ref="Q28:W28" si="2">Q16</f>
        <v>0</v>
      </c>
      <c r="R28" s="347">
        <f t="shared" si="2"/>
        <v>5.9178209366664776</v>
      </c>
      <c r="S28" s="347">
        <f t="shared" si="2"/>
        <v>0</v>
      </c>
      <c r="T28" s="347">
        <f t="shared" si="2"/>
        <v>0</v>
      </c>
      <c r="U28" s="347">
        <f t="shared" si="2"/>
        <v>0.70602057094563631</v>
      </c>
      <c r="V28" s="347">
        <f t="shared" si="2"/>
        <v>0.69427752927902087</v>
      </c>
      <c r="W28" s="347">
        <f t="shared" si="2"/>
        <v>0</v>
      </c>
      <c r="X28" s="348">
        <f>SUM(Q28:W28)</f>
        <v>7.3181190368911349</v>
      </c>
      <c r="Z28" s="268">
        <f>'INPUT Capacity &amp; Production'!M293</f>
        <v>0.95</v>
      </c>
      <c r="AA28" s="268">
        <f>SUMIFS('INPUT Capacity &amp; Production'!$R$291:$R$295,'INPUT Capacity &amp; Production'!$B$291:$B$295,AB28)</f>
        <v>1.3200000000000003</v>
      </c>
      <c r="AB28" s="129" t="s">
        <v>8</v>
      </c>
    </row>
    <row r="29" spans="2:28" x14ac:dyDescent="0.25">
      <c r="B29" s="4"/>
      <c r="L29" s="5"/>
      <c r="P29" s="117" t="s">
        <v>95</v>
      </c>
      <c r="Q29" s="347">
        <f>Q20</f>
        <v>10.977729217827143</v>
      </c>
      <c r="R29" s="347">
        <f t="shared" ref="R29:W29" si="3">R20</f>
        <v>9.8647899051720884</v>
      </c>
      <c r="S29" s="347">
        <f>S20</f>
        <v>0</v>
      </c>
      <c r="T29" s="347">
        <f t="shared" si="3"/>
        <v>0</v>
      </c>
      <c r="U29" s="347">
        <f t="shared" si="3"/>
        <v>3.6723488357449594</v>
      </c>
      <c r="V29" s="347">
        <f t="shared" si="3"/>
        <v>0.406700668706789</v>
      </c>
      <c r="W29" s="347">
        <f t="shared" si="3"/>
        <v>0</v>
      </c>
      <c r="X29" s="348">
        <f>SUM(Q29:W29)</f>
        <v>24.921568627450981</v>
      </c>
      <c r="Z29" s="268">
        <f>'INPUT Capacity &amp; Production'!M294</f>
        <v>0.62</v>
      </c>
      <c r="AA29" s="268">
        <f>SUMIFS('INPUT Capacity &amp; Production'!$R$291:$R$295,'INPUT Capacity &amp; Production'!$B$291:$B$295,AB29)</f>
        <v>1.1180000000000001</v>
      </c>
      <c r="AB29" s="129" t="s">
        <v>170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76" t="s">
        <v>185</v>
      </c>
      <c r="L33" s="5"/>
      <c r="Q33" s="18">
        <v>2012</v>
      </c>
      <c r="Z33" t="s">
        <v>524</v>
      </c>
      <c r="AA33" t="s">
        <v>526</v>
      </c>
    </row>
    <row r="34" spans="2:27" x14ac:dyDescent="0.25">
      <c r="B34" s="4" t="s">
        <v>146</v>
      </c>
      <c r="L34" s="5"/>
      <c r="P34" s="117" t="s">
        <v>7</v>
      </c>
      <c r="Q34" s="321">
        <f>Q26*$Z26</f>
        <v>32.11706647314378</v>
      </c>
      <c r="R34" s="321">
        <f t="shared" ref="R34:W34" si="4">R26*$Z26</f>
        <v>17.852395611355661</v>
      </c>
      <c r="S34" s="321">
        <f t="shared" si="4"/>
        <v>27.880537432024067</v>
      </c>
      <c r="T34" s="321">
        <f t="shared" si="4"/>
        <v>0</v>
      </c>
      <c r="U34" s="321">
        <f t="shared" si="4"/>
        <v>1.9613056815881857</v>
      </c>
      <c r="V34" s="321">
        <f t="shared" si="4"/>
        <v>1.7376363235818668</v>
      </c>
      <c r="W34" s="321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75" t="s">
        <v>7</v>
      </c>
      <c r="E35" s="375" t="s">
        <v>9</v>
      </c>
      <c r="F35" s="375"/>
      <c r="G35" s="375" t="s">
        <v>8</v>
      </c>
      <c r="H35" s="375" t="s">
        <v>136</v>
      </c>
      <c r="I35" s="375" t="s">
        <v>10</v>
      </c>
      <c r="L35" s="5"/>
      <c r="P35" s="117" t="s">
        <v>173</v>
      </c>
      <c r="Q35" s="321">
        <f t="shared" ref="Q35:W37" si="5">Q27*$Z27</f>
        <v>5.1384754654259819</v>
      </c>
      <c r="R35" s="321">
        <f t="shared" si="5"/>
        <v>20.943101063622962</v>
      </c>
      <c r="S35" s="321">
        <f t="shared" si="5"/>
        <v>0</v>
      </c>
      <c r="T35" s="321">
        <f t="shared" si="5"/>
        <v>0</v>
      </c>
      <c r="U35" s="321">
        <f t="shared" si="5"/>
        <v>0</v>
      </c>
      <c r="V35" s="321">
        <f t="shared" si="5"/>
        <v>2.7705927509510575</v>
      </c>
      <c r="W35" s="321">
        <f t="shared" si="5"/>
        <v>0</v>
      </c>
      <c r="Z35" t="s">
        <v>525</v>
      </c>
      <c r="AA35" s="285">
        <v>0.5</v>
      </c>
    </row>
    <row r="36" spans="2:27" ht="15.75" x14ac:dyDescent="0.25">
      <c r="B36" s="33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444</v>
      </c>
      <c r="Q36" s="321">
        <f t="shared" si="5"/>
        <v>0</v>
      </c>
      <c r="R36" s="321">
        <f t="shared" si="5"/>
        <v>5.6219298898331536</v>
      </c>
      <c r="S36" s="321">
        <f t="shared" si="5"/>
        <v>0</v>
      </c>
      <c r="T36" s="321">
        <f t="shared" si="5"/>
        <v>0</v>
      </c>
      <c r="U36" s="321">
        <f t="shared" si="5"/>
        <v>0.67071954239835441</v>
      </c>
      <c r="V36" s="321">
        <f t="shared" si="5"/>
        <v>0.65956365281506979</v>
      </c>
      <c r="W36" s="321">
        <f t="shared" si="5"/>
        <v>0</v>
      </c>
    </row>
    <row r="37" spans="2:27" ht="15.75" x14ac:dyDescent="0.25">
      <c r="B37" s="33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95</v>
      </c>
      <c r="Q37" s="321">
        <f t="shared" si="5"/>
        <v>6.8061921150528288</v>
      </c>
      <c r="R37" s="321">
        <f t="shared" si="5"/>
        <v>6.1161697412066944</v>
      </c>
      <c r="S37" s="321">
        <f t="shared" si="5"/>
        <v>0</v>
      </c>
      <c r="T37" s="321">
        <f t="shared" si="5"/>
        <v>0</v>
      </c>
      <c r="U37" s="321">
        <f t="shared" si="5"/>
        <v>2.2768562781618749</v>
      </c>
      <c r="V37" s="321">
        <f t="shared" si="5"/>
        <v>0.2521544145982092</v>
      </c>
      <c r="W37" s="321">
        <f t="shared" si="5"/>
        <v>0</v>
      </c>
    </row>
    <row r="38" spans="2:27" ht="15.75" x14ac:dyDescent="0.25">
      <c r="B38" s="33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8">
        <f>SUM(Q34:Q37)</f>
        <v>44.061734053622594</v>
      </c>
      <c r="R38" s="328">
        <f t="shared" ref="R38:W38" si="7">SUM(R34:R37)</f>
        <v>50.533596306018474</v>
      </c>
      <c r="S38" s="328">
        <f t="shared" si="7"/>
        <v>27.880537432024067</v>
      </c>
      <c r="T38" s="328">
        <f t="shared" si="7"/>
        <v>0</v>
      </c>
      <c r="U38" s="328">
        <f t="shared" si="7"/>
        <v>4.9088815021484145</v>
      </c>
      <c r="V38" s="328">
        <f t="shared" si="7"/>
        <v>5.4199471419462029</v>
      </c>
      <c r="W38" s="328">
        <f t="shared" si="7"/>
        <v>0</v>
      </c>
    </row>
    <row r="39" spans="2:27" ht="15.75" x14ac:dyDescent="0.25">
      <c r="B39" s="338" t="s">
        <v>130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38" t="s">
        <v>131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3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1">
        <f>Q26*$AA26</f>
        <v>29.519292939247229</v>
      </c>
      <c r="R42" s="321">
        <f t="shared" ref="R42:W42" si="9">R26*$AA26</f>
        <v>16.408413145690233</v>
      </c>
      <c r="S42" s="321">
        <f t="shared" si="9"/>
        <v>25.625433519831848</v>
      </c>
      <c r="T42" s="321">
        <f t="shared" si="9"/>
        <v>0</v>
      </c>
      <c r="U42" s="321">
        <f t="shared" si="9"/>
        <v>1.8026664112248365</v>
      </c>
      <c r="V42" s="321">
        <f t="shared" si="9"/>
        <v>1.5970884420774072</v>
      </c>
      <c r="W42" s="321">
        <f t="shared" si="9"/>
        <v>0</v>
      </c>
    </row>
    <row r="43" spans="2:27" x14ac:dyDescent="0.25">
      <c r="B43" s="4"/>
      <c r="C43" s="135" t="s">
        <v>435</v>
      </c>
      <c r="D43" s="135" t="s">
        <v>14</v>
      </c>
      <c r="E43" s="135" t="s">
        <v>12</v>
      </c>
      <c r="F43" s="135" t="s">
        <v>436</v>
      </c>
      <c r="G43" s="135" t="s">
        <v>151</v>
      </c>
      <c r="H43" s="135" t="s">
        <v>437</v>
      </c>
      <c r="I43" s="135" t="s">
        <v>320</v>
      </c>
      <c r="L43" s="5"/>
      <c r="P43" s="117" t="s">
        <v>173</v>
      </c>
      <c r="Q43" s="321">
        <f t="shared" ref="Q43:W45" si="10">Q27*$AA27</f>
        <v>3.2228811943078308</v>
      </c>
      <c r="R43" s="321">
        <f t="shared" si="10"/>
        <v>13.135632742160661</v>
      </c>
      <c r="S43" s="321">
        <f t="shared" si="10"/>
        <v>0</v>
      </c>
      <c r="T43" s="321">
        <f t="shared" si="10"/>
        <v>0</v>
      </c>
      <c r="U43" s="321">
        <f t="shared" si="10"/>
        <v>0</v>
      </c>
      <c r="V43" s="321">
        <f t="shared" si="10"/>
        <v>1.7377316159639422</v>
      </c>
      <c r="W43" s="321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444</v>
      </c>
      <c r="Q44" s="321">
        <f t="shared" si="10"/>
        <v>0</v>
      </c>
      <c r="R44" s="321">
        <f t="shared" si="10"/>
        <v>7.8115236363997518</v>
      </c>
      <c r="S44" s="321">
        <f t="shared" si="10"/>
        <v>0</v>
      </c>
      <c r="T44" s="321">
        <f t="shared" si="10"/>
        <v>0</v>
      </c>
      <c r="U44" s="321">
        <f t="shared" si="10"/>
        <v>0.9319471536482401</v>
      </c>
      <c r="V44" s="321">
        <f t="shared" si="10"/>
        <v>0.91644633864830771</v>
      </c>
      <c r="W44" s="321">
        <f t="shared" si="10"/>
        <v>0</v>
      </c>
    </row>
    <row r="45" spans="2:27" x14ac:dyDescent="0.25">
      <c r="B45" s="117" t="s">
        <v>173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95</v>
      </c>
      <c r="Q45" s="321">
        <f t="shared" si="10"/>
        <v>12.273101265530746</v>
      </c>
      <c r="R45" s="321">
        <f t="shared" si="10"/>
        <v>11.028835113982396</v>
      </c>
      <c r="S45" s="321">
        <f t="shared" si="10"/>
        <v>0</v>
      </c>
      <c r="T45" s="321">
        <f t="shared" si="10"/>
        <v>0</v>
      </c>
      <c r="U45" s="321">
        <f t="shared" si="10"/>
        <v>4.1056859983628646</v>
      </c>
      <c r="V45" s="321">
        <f t="shared" si="10"/>
        <v>0.45469134761419017</v>
      </c>
      <c r="W45" s="321">
        <f t="shared" si="10"/>
        <v>0</v>
      </c>
    </row>
    <row r="46" spans="2:27" x14ac:dyDescent="0.25">
      <c r="B46" s="117" t="s">
        <v>444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8">
        <f t="shared" ref="Q46:W46" si="11">SUM(Q42:Q45)</f>
        <v>45.015275399085809</v>
      </c>
      <c r="R46" s="328">
        <f t="shared" si="11"/>
        <v>48.384404638233036</v>
      </c>
      <c r="S46" s="328">
        <f t="shared" si="11"/>
        <v>25.625433519831848</v>
      </c>
      <c r="T46" s="328">
        <f t="shared" si="11"/>
        <v>0</v>
      </c>
      <c r="U46" s="328">
        <f t="shared" si="11"/>
        <v>6.8402995632359413</v>
      </c>
      <c r="V46" s="328">
        <f t="shared" si="11"/>
        <v>4.7059577443038467</v>
      </c>
      <c r="W46" s="328">
        <f t="shared" si="11"/>
        <v>0</v>
      </c>
    </row>
    <row r="47" spans="2:27" x14ac:dyDescent="0.25">
      <c r="B47" s="117" t="s">
        <v>95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523</v>
      </c>
      <c r="R49" s="377">
        <v>17312</v>
      </c>
      <c r="S49" t="s">
        <v>321</v>
      </c>
    </row>
    <row r="50" spans="2:24" x14ac:dyDescent="0.25">
      <c r="P50" t="s">
        <v>384</v>
      </c>
      <c r="R50" s="378">
        <f>R46*1000</f>
        <v>48384.404638233034</v>
      </c>
    </row>
    <row r="51" spans="2:24" x14ac:dyDescent="0.25">
      <c r="B51" t="s">
        <v>466</v>
      </c>
    </row>
    <row r="52" spans="2:24" x14ac:dyDescent="0.25">
      <c r="B52" s="14"/>
      <c r="C52" s="15" t="s">
        <v>468</v>
      </c>
      <c r="D52" s="15"/>
      <c r="E52" s="15" t="s">
        <v>519</v>
      </c>
      <c r="F52" s="15"/>
      <c r="G52" s="3"/>
      <c r="P52" t="s">
        <v>13</v>
      </c>
      <c r="Q52" t="s">
        <v>530</v>
      </c>
      <c r="R52">
        <f>'INPUT Coke'!K17</f>
        <v>2.91</v>
      </c>
      <c r="S52" t="s">
        <v>187</v>
      </c>
    </row>
    <row r="53" spans="2:24" x14ac:dyDescent="0.25">
      <c r="B53" s="4" t="s">
        <v>467</v>
      </c>
      <c r="C53">
        <v>0.753</v>
      </c>
      <c r="E53">
        <f>C53*1000000*3600/1000000000</f>
        <v>2.7107999999999999</v>
      </c>
      <c r="G53" s="5"/>
      <c r="Q53" t="s">
        <v>384</v>
      </c>
      <c r="R53" s="321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531</v>
      </c>
      <c r="R54">
        <v>2.75</v>
      </c>
    </row>
    <row r="56" spans="2:24" x14ac:dyDescent="0.25">
      <c r="B56" t="s">
        <v>502</v>
      </c>
      <c r="Q56" s="321">
        <f>'AMSA - Saldanha'!B81</f>
        <v>242.57861307692306</v>
      </c>
      <c r="R56" t="s">
        <v>562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499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547</v>
      </c>
    </row>
    <row r="60" spans="2:24" x14ac:dyDescent="0.25">
      <c r="B60" s="4" t="s">
        <v>487</v>
      </c>
      <c r="C60" s="1">
        <f>'INPUT Coke'!L86</f>
        <v>3840</v>
      </c>
      <c r="D60" s="1">
        <f>'INPUT Coke'!L85</f>
        <v>11730</v>
      </c>
      <c r="E60" s="301">
        <f>D60/C60</f>
        <v>3.0546875</v>
      </c>
      <c r="G60" s="5"/>
      <c r="Q60" t="s">
        <v>532</v>
      </c>
    </row>
    <row r="61" spans="2:24" x14ac:dyDescent="0.25">
      <c r="B61" s="4" t="s">
        <v>488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435</v>
      </c>
      <c r="R61" s="135" t="s">
        <v>14</v>
      </c>
      <c r="S61" s="135" t="s">
        <v>12</v>
      </c>
      <c r="T61" s="135" t="s">
        <v>436</v>
      </c>
      <c r="U61" s="135" t="s">
        <v>151</v>
      </c>
      <c r="V61" s="135" t="s">
        <v>437</v>
      </c>
      <c r="W61" s="135" t="s">
        <v>320</v>
      </c>
    </row>
    <row r="62" spans="2:24" x14ac:dyDescent="0.25">
      <c r="B62" s="4" t="s">
        <v>489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7">
        <v>9.7324443858011449</v>
      </c>
      <c r="R62" s="327">
        <v>5.4098168519259584</v>
      </c>
      <c r="S62" s="327">
        <v>8.4486477066739596</v>
      </c>
      <c r="T62" s="327">
        <v>0</v>
      </c>
      <c r="U62" s="327">
        <v>0.59433505502672301</v>
      </c>
      <c r="V62" s="327">
        <v>0.52655646169147485</v>
      </c>
      <c r="W62" s="327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173</v>
      </c>
      <c r="Q63" s="327">
        <v>4.2466739383685805</v>
      </c>
      <c r="R63" s="327">
        <v>17.308347986465257</v>
      </c>
      <c r="S63" s="327">
        <v>0</v>
      </c>
      <c r="T63" s="327">
        <v>0</v>
      </c>
      <c r="U63" s="327">
        <v>0</v>
      </c>
      <c r="V63" s="327">
        <v>2.2897460751661631</v>
      </c>
      <c r="W63" s="327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444</v>
      </c>
      <c r="Q64" s="327">
        <v>0</v>
      </c>
      <c r="R64" s="327">
        <v>5.9178209366664776</v>
      </c>
      <c r="S64" s="327">
        <v>0</v>
      </c>
      <c r="T64" s="327">
        <v>0</v>
      </c>
      <c r="U64" s="327">
        <v>0.70602057094563631</v>
      </c>
      <c r="V64" s="327">
        <v>0.69427752927902087</v>
      </c>
      <c r="W64" s="327">
        <v>0</v>
      </c>
      <c r="X64" s="287">
        <f>SUM(Q64:W64)</f>
        <v>7.3181190368911349</v>
      </c>
    </row>
    <row r="65" spans="2:25" x14ac:dyDescent="0.25">
      <c r="B65" s="6" t="s">
        <v>521</v>
      </c>
      <c r="E65" t="s">
        <v>503</v>
      </c>
      <c r="G65" s="5"/>
      <c r="I65" t="s">
        <v>504</v>
      </c>
      <c r="P65" s="117" t="s">
        <v>95</v>
      </c>
      <c r="Q65" s="327">
        <v>10.977729217827143</v>
      </c>
      <c r="R65" s="327">
        <v>9.8647899051720884</v>
      </c>
      <c r="S65" s="327">
        <v>0</v>
      </c>
      <c r="T65" s="327">
        <v>0</v>
      </c>
      <c r="U65" s="327">
        <v>3.6723488357449594</v>
      </c>
      <c r="V65" s="327">
        <v>0.406700668706789</v>
      </c>
      <c r="W65" s="327">
        <v>0</v>
      </c>
      <c r="X65" s="287">
        <f>SUM(Q65:W65)</f>
        <v>24.921568627450981</v>
      </c>
    </row>
    <row r="66" spans="2:25" x14ac:dyDescent="0.25">
      <c r="B66" s="4" t="s">
        <v>487</v>
      </c>
      <c r="C66" s="19">
        <f t="shared" ref="C66:D68" si="12">C60/C$64</f>
        <v>160</v>
      </c>
      <c r="D66" s="19">
        <f t="shared" si="12"/>
        <v>391</v>
      </c>
      <c r="E66" s="358">
        <f>C66/D66</f>
        <v>0.40920716112531969</v>
      </c>
      <c r="G66" s="5"/>
      <c r="I66" s="355">
        <f>'AMSA reports'!C26</f>
        <v>0.74270000000000003</v>
      </c>
      <c r="L66" s="321"/>
      <c r="N66" s="328"/>
    </row>
    <row r="67" spans="2:25" x14ac:dyDescent="0.25">
      <c r="B67" s="4" t="s">
        <v>488</v>
      </c>
      <c r="C67" s="19">
        <f t="shared" si="12"/>
        <v>205</v>
      </c>
      <c r="D67" s="19">
        <f t="shared" si="12"/>
        <v>275</v>
      </c>
      <c r="E67" s="358">
        <f>C67/D67</f>
        <v>0.74545454545454548</v>
      </c>
      <c r="G67" s="5"/>
    </row>
    <row r="68" spans="2:25" x14ac:dyDescent="0.25">
      <c r="B68" s="4" t="s">
        <v>489</v>
      </c>
      <c r="C68" s="19">
        <f>C62/C$64</f>
        <v>180.4257116262487</v>
      </c>
      <c r="D68" s="19">
        <f t="shared" si="12"/>
        <v>295.85945375159446</v>
      </c>
      <c r="E68" s="358">
        <f>C68/D68</f>
        <v>0.60983588436465952</v>
      </c>
      <c r="G68" s="5"/>
      <c r="P68" t="s">
        <v>548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39"/>
      <c r="Q70" s="24" t="s">
        <v>7</v>
      </c>
      <c r="R70" s="24" t="s">
        <v>44</v>
      </c>
      <c r="S70" s="24"/>
      <c r="T70" s="24" t="s">
        <v>8</v>
      </c>
      <c r="U70" s="24" t="s">
        <v>46</v>
      </c>
      <c r="V70" s="24" t="s">
        <v>10</v>
      </c>
      <c r="Y70" s="5"/>
    </row>
    <row r="71" spans="2:25" ht="15.75" x14ac:dyDescent="0.25">
      <c r="P71" s="342" t="s">
        <v>87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42" t="s">
        <v>90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42" t="s">
        <v>94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173</v>
      </c>
      <c r="E74" s="268">
        <f>AA27</f>
        <v>0.75891891891891894</v>
      </c>
      <c r="G74">
        <f>1-G73</f>
        <v>0.20013684570646606</v>
      </c>
      <c r="P74" s="342" t="s">
        <v>110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444</v>
      </c>
      <c r="E75" s="268">
        <f>AA28</f>
        <v>1.3200000000000003</v>
      </c>
      <c r="P75" s="383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95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544</v>
      </c>
    </row>
    <row r="79" spans="2:25" x14ac:dyDescent="0.25">
      <c r="E79" t="s">
        <v>532</v>
      </c>
    </row>
    <row r="80" spans="2:25" x14ac:dyDescent="0.25">
      <c r="E80" s="135" t="s">
        <v>435</v>
      </c>
      <c r="F80" s="135" t="s">
        <v>14</v>
      </c>
      <c r="G80" s="135" t="s">
        <v>12</v>
      </c>
      <c r="H80" s="135" t="s">
        <v>436</v>
      </c>
      <c r="I80" s="135" t="s">
        <v>151</v>
      </c>
      <c r="J80" s="135" t="s">
        <v>437</v>
      </c>
      <c r="K80" s="135" t="s">
        <v>320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7"/>
      <c r="I81" s="327"/>
      <c r="J81" s="327"/>
      <c r="K81" s="327"/>
    </row>
    <row r="82" spans="2:23" x14ac:dyDescent="0.25">
      <c r="D82" s="117" t="s">
        <v>173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7"/>
      <c r="I82" s="327"/>
      <c r="J82" s="327"/>
      <c r="K82" s="327"/>
    </row>
    <row r="83" spans="2:23" x14ac:dyDescent="0.25">
      <c r="D83" s="117" t="s">
        <v>444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7"/>
      <c r="I83" s="327"/>
      <c r="J83" s="327"/>
      <c r="K83" s="327"/>
    </row>
    <row r="84" spans="2:23" x14ac:dyDescent="0.25">
      <c r="D84" s="117" t="s">
        <v>95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7"/>
      <c r="K84" s="327"/>
    </row>
    <row r="87" spans="2:23" x14ac:dyDescent="0.25">
      <c r="D87" t="s">
        <v>545</v>
      </c>
    </row>
    <row r="88" spans="2:23" x14ac:dyDescent="0.25">
      <c r="E88" t="s">
        <v>532</v>
      </c>
    </row>
    <row r="89" spans="2:23" x14ac:dyDescent="0.25">
      <c r="E89" s="135" t="s">
        <v>435</v>
      </c>
      <c r="F89" s="135" t="s">
        <v>14</v>
      </c>
      <c r="G89" s="135" t="s">
        <v>12</v>
      </c>
      <c r="H89" s="135" t="s">
        <v>436</v>
      </c>
      <c r="I89" s="135" t="s">
        <v>151</v>
      </c>
      <c r="J89" s="135" t="s">
        <v>437</v>
      </c>
      <c r="K89" s="135" t="s">
        <v>320</v>
      </c>
    </row>
    <row r="90" spans="2:23" x14ac:dyDescent="0.25">
      <c r="D90" s="117" t="s">
        <v>7</v>
      </c>
      <c r="E90" s="327">
        <f>Q26</f>
        <v>9.7324443858011449</v>
      </c>
      <c r="F90" s="327">
        <f t="shared" ref="F90:K93" si="14">R26</f>
        <v>5.4098168519259584</v>
      </c>
      <c r="G90" s="327">
        <f t="shared" si="14"/>
        <v>8.4486477066739596</v>
      </c>
      <c r="H90" s="327">
        <f t="shared" si="14"/>
        <v>0</v>
      </c>
      <c r="I90" s="327">
        <f t="shared" si="14"/>
        <v>0.59433505502672301</v>
      </c>
      <c r="J90" s="327">
        <f t="shared" si="14"/>
        <v>0.52655646169147485</v>
      </c>
      <c r="K90" s="327">
        <f t="shared" si="14"/>
        <v>0</v>
      </c>
    </row>
    <row r="91" spans="2:23" x14ac:dyDescent="0.25">
      <c r="D91" s="117" t="s">
        <v>173</v>
      </c>
      <c r="E91" s="327">
        <f>Q27</f>
        <v>4.2466739383685805</v>
      </c>
      <c r="F91" s="327">
        <f t="shared" si="14"/>
        <v>17.308347986465257</v>
      </c>
      <c r="G91" s="327">
        <f t="shared" si="14"/>
        <v>0</v>
      </c>
      <c r="H91" s="327">
        <f t="shared" si="14"/>
        <v>0</v>
      </c>
      <c r="I91" s="327">
        <f t="shared" si="14"/>
        <v>0</v>
      </c>
      <c r="J91" s="327">
        <f t="shared" si="14"/>
        <v>2.2897460751661631</v>
      </c>
      <c r="K91" s="327">
        <f t="shared" si="14"/>
        <v>0</v>
      </c>
    </row>
    <row r="92" spans="2:23" x14ac:dyDescent="0.25">
      <c r="D92" s="117" t="s">
        <v>444</v>
      </c>
      <c r="E92" s="327">
        <f>Q28</f>
        <v>0</v>
      </c>
      <c r="F92" s="327">
        <f t="shared" si="14"/>
        <v>5.9178209366664776</v>
      </c>
      <c r="G92" s="327">
        <f t="shared" si="14"/>
        <v>0</v>
      </c>
      <c r="H92" s="327">
        <f t="shared" si="14"/>
        <v>0</v>
      </c>
      <c r="I92" s="327">
        <f t="shared" si="14"/>
        <v>0.70602057094563631</v>
      </c>
      <c r="J92" s="327">
        <f t="shared" si="14"/>
        <v>0.69427752927902087</v>
      </c>
      <c r="K92" s="327">
        <f t="shared" si="14"/>
        <v>0</v>
      </c>
    </row>
    <row r="93" spans="2:23" x14ac:dyDescent="0.25">
      <c r="D93" s="117" t="s">
        <v>95</v>
      </c>
      <c r="E93" s="327">
        <f>Q29</f>
        <v>10.977729217827143</v>
      </c>
      <c r="F93" s="327">
        <f t="shared" si="14"/>
        <v>9.8647899051720884</v>
      </c>
      <c r="G93" s="327">
        <f t="shared" si="14"/>
        <v>0</v>
      </c>
      <c r="H93" s="327">
        <f t="shared" si="14"/>
        <v>0</v>
      </c>
      <c r="I93" s="327">
        <f t="shared" si="14"/>
        <v>3.6723488357449594</v>
      </c>
      <c r="J93" s="327">
        <f t="shared" si="14"/>
        <v>0.406700668706789</v>
      </c>
      <c r="K93" s="327">
        <f t="shared" si="14"/>
        <v>0</v>
      </c>
    </row>
    <row r="94" spans="2:23" x14ac:dyDescent="0.25">
      <c r="P94" t="s">
        <v>533</v>
      </c>
      <c r="R94" s="350" t="s">
        <v>538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84" t="s">
        <v>553</v>
      </c>
      <c r="C96" s="385"/>
      <c r="D96" s="385"/>
      <c r="E96" s="385"/>
      <c r="F96" s="385"/>
      <c r="G96" s="385"/>
      <c r="H96" s="385"/>
      <c r="I96" s="385"/>
      <c r="J96" s="385"/>
      <c r="K96" s="385"/>
      <c r="L96" s="385"/>
      <c r="M96" s="386"/>
      <c r="P96" s="4"/>
      <c r="R96" s="380" t="s">
        <v>534</v>
      </c>
      <c r="S96" s="16" t="s">
        <v>384</v>
      </c>
      <c r="T96" s="16" t="s">
        <v>522</v>
      </c>
      <c r="U96" t="s">
        <v>3</v>
      </c>
      <c r="W96" s="5"/>
    </row>
    <row r="97" spans="2:23" ht="15.75" x14ac:dyDescent="0.25">
      <c r="B97" s="387"/>
      <c r="E97" t="s">
        <v>532</v>
      </c>
      <c r="M97" s="388"/>
      <c r="P97" s="4" t="s">
        <v>14</v>
      </c>
      <c r="Q97" t="s">
        <v>321</v>
      </c>
      <c r="R97" s="381">
        <v>17312</v>
      </c>
      <c r="S97" s="536">
        <f>F114</f>
        <v>17383.575380289374</v>
      </c>
      <c r="T97" s="16"/>
      <c r="U97" s="382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87"/>
      <c r="E98" s="135" t="s">
        <v>435</v>
      </c>
      <c r="F98" s="135" t="s">
        <v>14</v>
      </c>
      <c r="G98" s="135" t="s">
        <v>11</v>
      </c>
      <c r="H98" s="135" t="s">
        <v>436</v>
      </c>
      <c r="I98" s="135" t="s">
        <v>151</v>
      </c>
      <c r="J98" s="135" t="s">
        <v>437</v>
      </c>
      <c r="K98" s="135" t="s">
        <v>320</v>
      </c>
      <c r="L98" s="416" t="s">
        <v>3</v>
      </c>
      <c r="M98" s="388"/>
      <c r="P98" s="4"/>
      <c r="R98" s="380"/>
      <c r="S98" s="16"/>
      <c r="T98" s="16"/>
      <c r="U98" s="382"/>
      <c r="W98" s="5"/>
    </row>
    <row r="99" spans="2:23" x14ac:dyDescent="0.25">
      <c r="B99" s="387" t="s">
        <v>558</v>
      </c>
      <c r="D99" s="117" t="s">
        <v>7</v>
      </c>
      <c r="E99" s="389">
        <f>E81</f>
        <v>4.3302170790299686</v>
      </c>
      <c r="F99" s="389">
        <f>Q74*(1-$U$118)</f>
        <v>2.0996782148442206</v>
      </c>
      <c r="G99" s="389">
        <f>G81</f>
        <v>8.8757836125478331</v>
      </c>
      <c r="H99" s="389"/>
      <c r="I99" s="389">
        <f t="shared" ref="I99:J101" si="15">I90</f>
        <v>0.59433505502672301</v>
      </c>
      <c r="J99" s="389">
        <f>R113</f>
        <v>3.8314510321037716</v>
      </c>
      <c r="K99" s="389"/>
      <c r="L99" s="287">
        <f>SUM(E99:K99)</f>
        <v>19.731464993552517</v>
      </c>
      <c r="M99" s="388"/>
      <c r="P99" s="4"/>
      <c r="R99" s="380" t="s">
        <v>536</v>
      </c>
      <c r="S99" s="16"/>
      <c r="T99" s="16"/>
      <c r="U99" s="382"/>
      <c r="W99" s="5"/>
    </row>
    <row r="100" spans="2:23" x14ac:dyDescent="0.25">
      <c r="B100" s="387" t="s">
        <v>558</v>
      </c>
      <c r="D100" s="117" t="s">
        <v>173</v>
      </c>
      <c r="E100" s="389">
        <f>E82</f>
        <v>20.596584135938251</v>
      </c>
      <c r="F100" s="389">
        <f>SUM(R73:R74)*(1-U118)</f>
        <v>4.8574938650306745</v>
      </c>
      <c r="G100" s="389">
        <f>G82</f>
        <v>0</v>
      </c>
      <c r="H100" s="389"/>
      <c r="I100" s="389">
        <f t="shared" si="15"/>
        <v>0</v>
      </c>
      <c r="J100" s="389">
        <f>J99</f>
        <v>3.8314510321037716</v>
      </c>
      <c r="K100" s="389"/>
      <c r="L100" s="287">
        <f>SUM(E100:K100)</f>
        <v>29.285529033072699</v>
      </c>
      <c r="M100" s="388"/>
      <c r="P100" s="4" t="s">
        <v>13</v>
      </c>
      <c r="Q100" t="s">
        <v>187</v>
      </c>
      <c r="R100" s="380">
        <v>2.91</v>
      </c>
      <c r="S100" s="266">
        <f>E114/24000</f>
        <v>1.9997765360520332</v>
      </c>
      <c r="T100" s="16">
        <v>2.75</v>
      </c>
      <c r="U100" s="382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87" t="s">
        <v>387</v>
      </c>
      <c r="C101" s="285">
        <v>0.2</v>
      </c>
      <c r="D101" s="117" t="s">
        <v>444</v>
      </c>
      <c r="E101" s="389">
        <f>E83</f>
        <v>0</v>
      </c>
      <c r="F101" s="389">
        <f>T75*(1-C101)</f>
        <v>4.0884341801385684</v>
      </c>
      <c r="G101" s="389">
        <f>G83</f>
        <v>0</v>
      </c>
      <c r="H101" s="389"/>
      <c r="I101" s="389">
        <f t="shared" si="15"/>
        <v>0.70602057094563631</v>
      </c>
      <c r="J101" s="389">
        <f t="shared" si="15"/>
        <v>0.69427752927902087</v>
      </c>
      <c r="K101" s="389"/>
      <c r="L101" s="287">
        <f>SUM(E101:K101)</f>
        <v>5.4887322803632257</v>
      </c>
      <c r="M101" s="388"/>
      <c r="P101" s="4"/>
      <c r="R101" s="380"/>
      <c r="S101" s="16"/>
      <c r="T101" s="16"/>
      <c r="U101" s="382"/>
      <c r="W101" s="5"/>
    </row>
    <row r="102" spans="2:23" x14ac:dyDescent="0.25">
      <c r="B102" s="387" t="s">
        <v>561</v>
      </c>
      <c r="C102" s="285">
        <v>0.6</v>
      </c>
      <c r="D102" s="117" t="s">
        <v>95</v>
      </c>
      <c r="E102" s="389">
        <f>E84</f>
        <v>17.2</v>
      </c>
      <c r="F102" s="389">
        <f>U73*C102</f>
        <v>1.728</v>
      </c>
      <c r="G102" s="389">
        <f>G84</f>
        <v>2.6</v>
      </c>
      <c r="H102" s="389"/>
      <c r="I102" s="389">
        <f>Q56/1000/E76</f>
        <v>0.21697550364662166</v>
      </c>
      <c r="J102" s="389">
        <f>J93</f>
        <v>0.406700668706789</v>
      </c>
      <c r="K102" s="389"/>
      <c r="L102" s="287">
        <f>SUM(E102:K102)</f>
        <v>22.151676172353415</v>
      </c>
      <c r="M102" s="388"/>
      <c r="P102" s="4"/>
      <c r="R102" s="380" t="s">
        <v>537</v>
      </c>
      <c r="S102" s="16"/>
      <c r="T102" s="16"/>
      <c r="U102" s="382"/>
      <c r="W102" s="5"/>
    </row>
    <row r="103" spans="2:23" x14ac:dyDescent="0.25">
      <c r="B103" s="387"/>
      <c r="D103" s="5" t="s">
        <v>18</v>
      </c>
      <c r="E103" s="389">
        <f>I36</f>
        <v>20.61</v>
      </c>
      <c r="F103" s="389">
        <f>I38</f>
        <v>20.61</v>
      </c>
      <c r="G103" s="389"/>
      <c r="H103" s="389"/>
      <c r="I103" s="389"/>
      <c r="J103" s="389">
        <f>I39</f>
        <v>3.4349999999999996</v>
      </c>
      <c r="K103" s="389"/>
      <c r="L103" s="287">
        <f>SUM(E103:K103)</f>
        <v>44.655000000000001</v>
      </c>
      <c r="M103" s="388"/>
      <c r="P103" s="4" t="s">
        <v>546</v>
      </c>
      <c r="Q103" t="s">
        <v>187</v>
      </c>
      <c r="R103" s="380">
        <v>2.7</v>
      </c>
      <c r="S103" s="266"/>
      <c r="T103" s="16"/>
      <c r="U103" s="382"/>
      <c r="V103" s="17"/>
      <c r="W103" s="5"/>
    </row>
    <row r="104" spans="2:23" ht="15.75" thickBot="1" x14ac:dyDescent="0.3">
      <c r="B104" s="390"/>
      <c r="C104" s="391"/>
      <c r="D104" s="391"/>
      <c r="E104" s="391"/>
      <c r="F104" s="391"/>
      <c r="G104" s="391"/>
      <c r="H104" s="391"/>
      <c r="I104" s="391"/>
      <c r="J104" s="391"/>
      <c r="K104" s="391"/>
      <c r="L104" s="391"/>
      <c r="M104" s="392"/>
      <c r="P104" s="4"/>
      <c r="R104" s="380" t="s">
        <v>542</v>
      </c>
      <c r="S104" s="16"/>
      <c r="T104" s="16"/>
      <c r="U104" s="18"/>
      <c r="W104" s="5"/>
    </row>
    <row r="105" spans="2:23" x14ac:dyDescent="0.25">
      <c r="P105" s="4" t="s">
        <v>539</v>
      </c>
      <c r="Q105" t="s">
        <v>187</v>
      </c>
      <c r="R105" s="269">
        <f>'INPUT Coke'!J51/1000000</f>
        <v>2.0936980769230766</v>
      </c>
      <c r="S105" s="16"/>
      <c r="U105" s="18"/>
      <c r="W105" s="5"/>
    </row>
    <row r="106" spans="2:23" x14ac:dyDescent="0.25">
      <c r="D106" t="s">
        <v>535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435</v>
      </c>
      <c r="F107" s="135" t="s">
        <v>14</v>
      </c>
      <c r="G107" s="135" t="s">
        <v>12</v>
      </c>
      <c r="H107" s="135" t="s">
        <v>436</v>
      </c>
      <c r="I107" s="135" t="s">
        <v>151</v>
      </c>
      <c r="J107" s="135" t="s">
        <v>437</v>
      </c>
      <c r="K107" s="135" t="s">
        <v>320</v>
      </c>
      <c r="P107" s="4" t="s">
        <v>543</v>
      </c>
      <c r="R107" s="269">
        <f>R105</f>
        <v>2.0936980769230766</v>
      </c>
      <c r="S107" s="16">
        <f>G115</f>
        <v>0.99425904516627739</v>
      </c>
      <c r="T107">
        <v>1.43</v>
      </c>
      <c r="U107" s="382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7">
        <f t="shared" ref="E108:K111" si="16">$E73*E99</f>
        <v>13.133899499379977</v>
      </c>
      <c r="F108" s="327">
        <f t="shared" si="16"/>
        <v>6.3684942698021016</v>
      </c>
      <c r="G108" s="327">
        <f t="shared" si="16"/>
        <v>26.920971354988321</v>
      </c>
      <c r="H108" s="327">
        <f t="shared" si="16"/>
        <v>0</v>
      </c>
      <c r="I108" s="327">
        <f t="shared" si="16"/>
        <v>1.8026664112248365</v>
      </c>
      <c r="J108" s="327">
        <f t="shared" si="16"/>
        <v>11.62110163856253</v>
      </c>
      <c r="K108" s="327">
        <f t="shared" si="16"/>
        <v>0</v>
      </c>
      <c r="P108" s="4"/>
      <c r="R108" s="285"/>
      <c r="W108" s="5"/>
    </row>
    <row r="109" spans="2:23" x14ac:dyDescent="0.25">
      <c r="D109" s="117" t="s">
        <v>173</v>
      </c>
      <c r="E109" s="327">
        <f t="shared" si="16"/>
        <v>15.631137365868813</v>
      </c>
      <c r="F109" s="327">
        <f t="shared" si="16"/>
        <v>3.6864439927043606</v>
      </c>
      <c r="G109" s="327">
        <f t="shared" si="16"/>
        <v>0</v>
      </c>
      <c r="H109" s="327">
        <f t="shared" si="16"/>
        <v>0</v>
      </c>
      <c r="I109" s="327">
        <f t="shared" si="16"/>
        <v>0</v>
      </c>
      <c r="J109" s="327">
        <f t="shared" si="16"/>
        <v>2.9077606751749707</v>
      </c>
      <c r="K109" s="327">
        <f t="shared" si="16"/>
        <v>0</v>
      </c>
      <c r="P109" s="7" t="s">
        <v>437</v>
      </c>
      <c r="Q109" s="8" t="s">
        <v>321</v>
      </c>
      <c r="R109">
        <v>15900</v>
      </c>
      <c r="S109" s="517">
        <f>J114</f>
        <v>15900</v>
      </c>
      <c r="T109" s="8"/>
      <c r="U109" s="382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444</v>
      </c>
      <c r="E110" s="327">
        <f t="shared" si="16"/>
        <v>0</v>
      </c>
      <c r="F110" s="327">
        <f t="shared" si="16"/>
        <v>5.3967331177829116</v>
      </c>
      <c r="G110" s="327">
        <f t="shared" si="16"/>
        <v>0</v>
      </c>
      <c r="H110" s="327">
        <f t="shared" si="16"/>
        <v>0</v>
      </c>
      <c r="I110" s="327">
        <f t="shared" si="16"/>
        <v>0.9319471536482401</v>
      </c>
      <c r="J110" s="327">
        <f>$E75*J101</f>
        <v>0.91644633864830771</v>
      </c>
      <c r="K110" s="327">
        <f t="shared" si="16"/>
        <v>0</v>
      </c>
    </row>
    <row r="111" spans="2:23" x14ac:dyDescent="0.25">
      <c r="D111" s="117" t="s">
        <v>95</v>
      </c>
      <c r="E111" s="327">
        <f t="shared" si="16"/>
        <v>19.229600000000001</v>
      </c>
      <c r="F111" s="327">
        <f t="shared" si="16"/>
        <v>1.9319040000000001</v>
      </c>
      <c r="G111" s="327">
        <f t="shared" si="16"/>
        <v>2.9068000000000005</v>
      </c>
      <c r="H111" s="327">
        <f t="shared" si="16"/>
        <v>0</v>
      </c>
      <c r="I111" s="327">
        <f t="shared" si="16"/>
        <v>0.24257861307692305</v>
      </c>
      <c r="J111" s="327">
        <f t="shared" si="16"/>
        <v>0.45469134761419017</v>
      </c>
      <c r="K111" s="327">
        <f t="shared" si="16"/>
        <v>0</v>
      </c>
      <c r="R111" s="321">
        <f>R109/1000-J110-J111</f>
        <v>14.528862313737502</v>
      </c>
      <c r="S111" t="s">
        <v>1131</v>
      </c>
    </row>
    <row r="112" spans="2:23" x14ac:dyDescent="0.25">
      <c r="R112" s="268">
        <f>SUM(E73:E74)</f>
        <v>3.7919999999999998</v>
      </c>
      <c r="S112" t="s">
        <v>1132</v>
      </c>
    </row>
    <row r="113" spans="1:22" x14ac:dyDescent="0.25">
      <c r="D113" t="s">
        <v>140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1">
        <f>R111/R112</f>
        <v>3.8314510321037716</v>
      </c>
    </row>
    <row r="114" spans="1:22" x14ac:dyDescent="0.25">
      <c r="D114" t="s">
        <v>321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1:22" x14ac:dyDescent="0.25">
      <c r="G115" s="358">
        <f>G113/G106</f>
        <v>0.99425904516627739</v>
      </c>
      <c r="H115" t="s">
        <v>187</v>
      </c>
      <c r="P115" s="350" t="s">
        <v>554</v>
      </c>
    </row>
    <row r="116" spans="1:22" x14ac:dyDescent="0.25">
      <c r="P116" s="395">
        <v>3.26</v>
      </c>
      <c r="Q116" s="15" t="s">
        <v>417</v>
      </c>
      <c r="R116" s="396" t="s">
        <v>549</v>
      </c>
      <c r="S116" s="3"/>
    </row>
    <row r="117" spans="1:22" x14ac:dyDescent="0.25">
      <c r="P117" s="4">
        <f>P116*3.6</f>
        <v>11.735999999999999</v>
      </c>
      <c r="Q117" t="s">
        <v>140</v>
      </c>
      <c r="R117" t="s">
        <v>549</v>
      </c>
      <c r="S117" s="5"/>
    </row>
    <row r="118" spans="1:22" x14ac:dyDescent="0.25">
      <c r="P118" s="397">
        <v>0.28899999999999998</v>
      </c>
      <c r="Q118" s="350" t="s">
        <v>287</v>
      </c>
      <c r="R118" s="350" t="s">
        <v>550</v>
      </c>
      <c r="S118" s="5"/>
      <c r="U118" s="393">
        <f>P118/P116</f>
        <v>8.8650306748466259E-2</v>
      </c>
      <c r="V118" t="s">
        <v>559</v>
      </c>
    </row>
    <row r="119" spans="1:22" x14ac:dyDescent="0.25">
      <c r="P119" s="7">
        <f>P118*3.6</f>
        <v>1.0404</v>
      </c>
      <c r="Q119" s="8" t="s">
        <v>140</v>
      </c>
      <c r="R119" s="8" t="s">
        <v>550</v>
      </c>
      <c r="S119" s="9"/>
      <c r="U119">
        <f>U118/(SUM(E73:E74)/SUM(E73:E74,E76))</f>
        <v>0.11478718516217547</v>
      </c>
      <c r="V119" t="s">
        <v>560</v>
      </c>
    </row>
    <row r="121" spans="1:22" x14ac:dyDescent="0.25">
      <c r="P121">
        <f>P117+P119</f>
        <v>12.776399999999999</v>
      </c>
      <c r="R121" t="s">
        <v>555</v>
      </c>
    </row>
    <row r="122" spans="1:22" x14ac:dyDescent="0.25">
      <c r="P122">
        <f>P117</f>
        <v>11.735999999999999</v>
      </c>
      <c r="R122" t="s">
        <v>551</v>
      </c>
    </row>
    <row r="123" spans="1:22" x14ac:dyDescent="0.25">
      <c r="P123" s="287">
        <f>F110</f>
        <v>5.3967331177829116</v>
      </c>
      <c r="R123" t="s">
        <v>556</v>
      </c>
    </row>
    <row r="124" spans="1:22" x14ac:dyDescent="0.25">
      <c r="P124" s="268">
        <f>SUM(P122:P123)</f>
        <v>17.132733117782912</v>
      </c>
      <c r="R124" t="s">
        <v>552</v>
      </c>
    </row>
    <row r="125" spans="1:22" x14ac:dyDescent="0.25">
      <c r="P125" s="394">
        <f>R97/1000</f>
        <v>17.312000000000001</v>
      </c>
      <c r="R125" t="s">
        <v>557</v>
      </c>
    </row>
    <row r="128" spans="1:22" x14ac:dyDescent="0.25">
      <c r="A128" s="18" t="s">
        <v>1251</v>
      </c>
    </row>
    <row r="130" spans="1:21" x14ac:dyDescent="0.25">
      <c r="B130" s="578" t="s">
        <v>1167</v>
      </c>
      <c r="C130" s="578"/>
      <c r="D130" s="579"/>
      <c r="E130" s="579"/>
      <c r="F130" s="579"/>
      <c r="G130" s="579"/>
      <c r="H130" s="579"/>
      <c r="I130" s="579"/>
      <c r="J130" s="579"/>
    </row>
    <row r="131" spans="1:21" x14ac:dyDescent="0.25">
      <c r="B131" s="580" t="s">
        <v>1168</v>
      </c>
      <c r="C131" s="581" t="s">
        <v>1169</v>
      </c>
      <c r="D131" s="580" t="s">
        <v>1170</v>
      </c>
      <c r="E131" s="580" t="s">
        <v>1171</v>
      </c>
      <c r="F131" s="582" t="s">
        <v>644</v>
      </c>
      <c r="G131" s="582" t="s">
        <v>1172</v>
      </c>
      <c r="H131" s="582" t="s">
        <v>1173</v>
      </c>
      <c r="I131" s="582" t="s">
        <v>1174</v>
      </c>
      <c r="J131" s="582" t="s">
        <v>1175</v>
      </c>
    </row>
    <row r="132" spans="1:21" x14ac:dyDescent="0.25">
      <c r="B132" s="529" t="s">
        <v>1185</v>
      </c>
      <c r="C132" s="529" t="s">
        <v>977</v>
      </c>
      <c r="D132" t="s">
        <v>38</v>
      </c>
      <c r="E132" t="str">
        <f>"Industry - I&amp;S - "&amp;'INPUT Energy and Emissions'!U150</f>
        <v xml:space="preserve">Industry - I&amp;S - </v>
      </c>
      <c r="F132" s="529" t="s">
        <v>140</v>
      </c>
      <c r="G132" s="526"/>
      <c r="H132" s="529" t="s">
        <v>979</v>
      </c>
      <c r="I132" s="526"/>
      <c r="J132" s="529" t="s">
        <v>1186</v>
      </c>
    </row>
    <row r="133" spans="1:21" x14ac:dyDescent="0.25">
      <c r="B133" s="529" t="s">
        <v>1185</v>
      </c>
      <c r="C133" s="529" t="s">
        <v>977</v>
      </c>
      <c r="D133" t="s">
        <v>40</v>
      </c>
      <c r="E133" t="str">
        <f>"Industry - I&amp;S - "&amp;'INPUT Energy and Emissions'!U151</f>
        <v xml:space="preserve">Industry - I&amp;S - </v>
      </c>
      <c r="F133" s="529" t="s">
        <v>140</v>
      </c>
      <c r="G133" s="526"/>
      <c r="H133" s="529" t="s">
        <v>980</v>
      </c>
      <c r="I133" s="526"/>
      <c r="J133" s="526"/>
    </row>
    <row r="134" spans="1:21" x14ac:dyDescent="0.25">
      <c r="B134" s="530" t="s">
        <v>1184</v>
      </c>
      <c r="C134" s="529" t="s">
        <v>977</v>
      </c>
      <c r="D134" s="99" t="s">
        <v>39</v>
      </c>
      <c r="E134" t="str">
        <f>"Industry - I&amp;S - "&amp;'INPUT Energy and Emissions'!U154</f>
        <v xml:space="preserve">Industry - I&amp;S - </v>
      </c>
      <c r="F134" s="530" t="s">
        <v>140</v>
      </c>
      <c r="G134" s="526"/>
      <c r="H134" s="531" t="s">
        <v>980</v>
      </c>
      <c r="I134" s="526"/>
      <c r="J134" s="526"/>
    </row>
    <row r="135" spans="1:21" x14ac:dyDescent="0.25">
      <c r="B135" s="529" t="s">
        <v>1185</v>
      </c>
      <c r="C135" s="529" t="s">
        <v>977</v>
      </c>
      <c r="D135" s="99" t="s">
        <v>1118</v>
      </c>
      <c r="E135" t="str">
        <f>"Industry - I&amp;S - "&amp;'INPUT Energy and Emissions'!U155</f>
        <v xml:space="preserve">Industry - I&amp;S - </v>
      </c>
      <c r="F135" s="530" t="s">
        <v>140</v>
      </c>
      <c r="G135" s="526"/>
      <c r="H135" s="531" t="s">
        <v>980</v>
      </c>
      <c r="I135" s="526"/>
      <c r="J135" s="526"/>
    </row>
    <row r="139" spans="1:21" ht="23.25" x14ac:dyDescent="0.35">
      <c r="A139" s="566" t="s">
        <v>1239</v>
      </c>
    </row>
    <row r="140" spans="1:21" x14ac:dyDescent="0.25">
      <c r="M140" s="16" t="s">
        <v>1260</v>
      </c>
    </row>
    <row r="141" spans="1:21" ht="21" x14ac:dyDescent="0.35">
      <c r="B141" s="434" t="s">
        <v>1190</v>
      </c>
      <c r="N141" t="s">
        <v>1223</v>
      </c>
      <c r="O141" t="s">
        <v>38</v>
      </c>
      <c r="P141" t="s">
        <v>40</v>
      </c>
      <c r="R141" t="s">
        <v>1104</v>
      </c>
      <c r="S141" t="s">
        <v>1102</v>
      </c>
    </row>
    <row r="142" spans="1:21" x14ac:dyDescent="0.25">
      <c r="C142" s="18" t="s">
        <v>1250</v>
      </c>
      <c r="J142" s="532"/>
      <c r="N142" s="135" t="s">
        <v>13</v>
      </c>
      <c r="O142" s="135" t="s">
        <v>14</v>
      </c>
      <c r="P142" s="135" t="s">
        <v>11</v>
      </c>
      <c r="Q142" s="135" t="s">
        <v>436</v>
      </c>
      <c r="R142" s="135" t="s">
        <v>151</v>
      </c>
      <c r="S142" s="135" t="s">
        <v>198</v>
      </c>
      <c r="T142" s="135" t="s">
        <v>320</v>
      </c>
      <c r="U142" s="18"/>
    </row>
    <row r="143" spans="1:21" x14ac:dyDescent="0.25">
      <c r="C143" s="18"/>
      <c r="J143" s="532"/>
      <c r="L143" s="287" t="s">
        <v>167</v>
      </c>
      <c r="M143" s="117" t="s">
        <v>7</v>
      </c>
      <c r="N143" s="389">
        <f>'INPUT Energy and Emissions'!E99</f>
        <v>4.3302170790299686</v>
      </c>
      <c r="O143" s="389">
        <f>'INPUT Energy and Emissions'!F99</f>
        <v>2.0996782148442206</v>
      </c>
      <c r="P143" s="389">
        <f>'INPUT Energy and Emissions'!G99</f>
        <v>8.8757836125478331</v>
      </c>
      <c r="Q143" s="389">
        <f>'INPUT Energy and Emissions'!H99</f>
        <v>0</v>
      </c>
      <c r="R143" s="389">
        <f>'INPUT Energy and Emissions'!I99</f>
        <v>0.59433505502672301</v>
      </c>
      <c r="S143" s="389">
        <f>'INPUT Energy and Emissions'!J99</f>
        <v>3.8314510321037716</v>
      </c>
      <c r="T143" s="389">
        <f>'INPUT Energy and Emissions'!K99</f>
        <v>0</v>
      </c>
      <c r="U143" s="18"/>
    </row>
    <row r="144" spans="1:21" x14ac:dyDescent="0.25">
      <c r="C144" s="518"/>
      <c r="D144" s="518"/>
      <c r="E144" s="564" t="s">
        <v>1162</v>
      </c>
      <c r="F144" s="575"/>
      <c r="G144" s="560"/>
      <c r="L144" s="287" t="s">
        <v>172</v>
      </c>
      <c r="M144" s="117" t="s">
        <v>173</v>
      </c>
      <c r="N144" s="389">
        <f>'INPUT Energy and Emissions'!E100</f>
        <v>20.596584135938251</v>
      </c>
      <c r="O144" s="389">
        <f>'INPUT Energy and Emissions'!F100</f>
        <v>4.8574938650306745</v>
      </c>
      <c r="P144" s="389">
        <f>'INPUT Energy and Emissions'!G100</f>
        <v>0</v>
      </c>
      <c r="Q144" s="389">
        <f>'INPUT Energy and Emissions'!H100</f>
        <v>0</v>
      </c>
      <c r="R144" s="389">
        <f>'INPUT Energy and Emissions'!I100</f>
        <v>0</v>
      </c>
      <c r="S144" s="389">
        <f>'INPUT Energy and Emissions'!J100</f>
        <v>3.8314510321037716</v>
      </c>
      <c r="T144" s="389">
        <f>'INPUT Energy and Emissions'!K100</f>
        <v>0</v>
      </c>
      <c r="U144" s="518"/>
    </row>
    <row r="145" spans="3:21" x14ac:dyDescent="0.25">
      <c r="D145" s="520"/>
      <c r="E145" s="564" t="s">
        <v>1142</v>
      </c>
      <c r="F145" s="564" t="s">
        <v>1163</v>
      </c>
      <c r="G145" s="564" t="s">
        <v>1164</v>
      </c>
      <c r="L145" s="287" t="s">
        <v>178</v>
      </c>
      <c r="M145" s="117" t="s">
        <v>444</v>
      </c>
      <c r="N145" s="389">
        <f>'INPUT Energy and Emissions'!E101</f>
        <v>0</v>
      </c>
      <c r="O145" s="389">
        <f>'INPUT Energy and Emissions'!F101</f>
        <v>4.0884341801385684</v>
      </c>
      <c r="P145" s="389">
        <f>'INPUT Energy and Emissions'!G101</f>
        <v>0</v>
      </c>
      <c r="Q145" s="389">
        <f>'INPUT Energy and Emissions'!H101</f>
        <v>0</v>
      </c>
      <c r="R145" s="389">
        <f>'INPUT Energy and Emissions'!I101</f>
        <v>0.70602057094563631</v>
      </c>
      <c r="S145" s="389">
        <f>'INPUT Energy and Emissions'!J101</f>
        <v>0.69427752927902087</v>
      </c>
      <c r="T145" s="389">
        <f>'INPUT Energy and Emissions'!K101</f>
        <v>0</v>
      </c>
      <c r="U145" s="519"/>
    </row>
    <row r="146" spans="3:21" x14ac:dyDescent="0.25">
      <c r="C146" t="s">
        <v>0</v>
      </c>
      <c r="D146" s="518"/>
      <c r="E146" t="s">
        <v>167</v>
      </c>
      <c r="F146" t="s">
        <v>1223</v>
      </c>
      <c r="G146" s="521"/>
      <c r="I146" s="287"/>
      <c r="J146" s="287"/>
      <c r="K146" s="287"/>
      <c r="L146" s="287" t="s">
        <v>169</v>
      </c>
      <c r="M146" s="117" t="s">
        <v>95</v>
      </c>
      <c r="N146" s="389">
        <f>'INPUT Energy and Emissions'!E102</f>
        <v>17.2</v>
      </c>
      <c r="O146" s="389">
        <f>'INPUT Energy and Emissions'!F102</f>
        <v>1.728</v>
      </c>
      <c r="P146" s="389">
        <f>'INPUT Energy and Emissions'!G102</f>
        <v>2.6</v>
      </c>
      <c r="Q146" s="389">
        <f>'INPUT Energy and Emissions'!H102</f>
        <v>0</v>
      </c>
      <c r="R146" s="389">
        <f>'INPUT Energy and Emissions'!I102</f>
        <v>0.21697550364662166</v>
      </c>
      <c r="S146" s="389">
        <f>'INPUT Energy and Emissions'!J102</f>
        <v>0.406700668706789</v>
      </c>
      <c r="T146" s="389">
        <f>'INPUT Energy and Emissions'!K102</f>
        <v>0</v>
      </c>
      <c r="U146" s="518"/>
    </row>
    <row r="147" spans="3:21" x14ac:dyDescent="0.25">
      <c r="D147" s="518"/>
      <c r="F147" t="s">
        <v>38</v>
      </c>
      <c r="G147" s="521"/>
      <c r="I147" s="287"/>
      <c r="J147" s="287"/>
      <c r="K147" s="287"/>
      <c r="L147" s="287" t="s">
        <v>176</v>
      </c>
      <c r="M147" s="5" t="s">
        <v>18</v>
      </c>
      <c r="N147" s="389">
        <f>'INPUT Energy and Emissions'!E103</f>
        <v>20.61</v>
      </c>
      <c r="O147" s="389">
        <f>'INPUT Energy and Emissions'!F103</f>
        <v>20.61</v>
      </c>
      <c r="P147" s="389">
        <f>'INPUT Energy and Emissions'!G103</f>
        <v>0</v>
      </c>
      <c r="Q147" s="389">
        <f>'INPUT Energy and Emissions'!H103</f>
        <v>0</v>
      </c>
      <c r="R147" s="389">
        <f>'INPUT Energy and Emissions'!I103</f>
        <v>0</v>
      </c>
      <c r="S147" s="389">
        <f>'INPUT Energy and Emissions'!J103</f>
        <v>3.4349999999999996</v>
      </c>
      <c r="T147" s="389">
        <f>'INPUT Energy and Emissions'!K103</f>
        <v>0</v>
      </c>
    </row>
    <row r="148" spans="3:21" x14ac:dyDescent="0.25">
      <c r="D148" s="518"/>
      <c r="F148" t="s">
        <v>40</v>
      </c>
      <c r="G148" s="521"/>
      <c r="I148" s="287"/>
      <c r="J148" s="287"/>
      <c r="K148" s="287"/>
    </row>
    <row r="149" spans="3:21" x14ac:dyDescent="0.25">
      <c r="D149" s="518"/>
      <c r="F149" t="s">
        <v>1104</v>
      </c>
      <c r="G149" s="521"/>
      <c r="I149" s="287"/>
      <c r="J149" s="287"/>
      <c r="K149" s="287"/>
    </row>
    <row r="150" spans="3:21" x14ac:dyDescent="0.25">
      <c r="F150" t="s">
        <v>1102</v>
      </c>
      <c r="G150" s="521"/>
      <c r="I150" s="287"/>
      <c r="J150" s="287"/>
      <c r="K150" s="287"/>
      <c r="L150" s="287"/>
      <c r="M150" s="287"/>
      <c r="N150" t="s">
        <v>1258</v>
      </c>
      <c r="O150" s="287"/>
      <c r="P150" t="s">
        <v>1258</v>
      </c>
      <c r="R150" s="287"/>
      <c r="S150" s="287" t="s">
        <v>1256</v>
      </c>
      <c r="T150" t="s">
        <v>1259</v>
      </c>
    </row>
    <row r="151" spans="3:21" x14ac:dyDescent="0.25">
      <c r="F151" s="495" t="s">
        <v>976</v>
      </c>
      <c r="G151" s="521"/>
      <c r="I151" s="287"/>
      <c r="J151" s="287"/>
      <c r="K151" s="287"/>
      <c r="L151" s="583" t="s">
        <v>1162</v>
      </c>
      <c r="M151" s="584"/>
      <c r="N151" s="584"/>
      <c r="O151" s="584"/>
      <c r="P151" s="584"/>
      <c r="Q151" s="584"/>
      <c r="R151" s="584"/>
      <c r="S151" s="584"/>
      <c r="T151" s="584"/>
    </row>
    <row r="152" spans="3:21" x14ac:dyDescent="0.25">
      <c r="F152" s="521"/>
      <c r="G152" s="99" t="s">
        <v>39</v>
      </c>
      <c r="I152" s="287"/>
      <c r="J152" s="287"/>
      <c r="K152" s="287"/>
      <c r="L152" s="583" t="s">
        <v>1191</v>
      </c>
      <c r="M152" s="583" t="s">
        <v>1142</v>
      </c>
      <c r="N152" s="584" t="s">
        <v>1223</v>
      </c>
      <c r="O152" s="584" t="s">
        <v>38</v>
      </c>
      <c r="P152" s="584" t="s">
        <v>40</v>
      </c>
      <c r="Q152" s="584" t="s">
        <v>1104</v>
      </c>
      <c r="R152" s="584" t="s">
        <v>1102</v>
      </c>
      <c r="S152" s="584" t="s">
        <v>976</v>
      </c>
      <c r="T152" s="584" t="s">
        <v>1118</v>
      </c>
    </row>
    <row r="153" spans="3:21" x14ac:dyDescent="0.25">
      <c r="F153" s="525"/>
      <c r="G153" s="99" t="s">
        <v>1118</v>
      </c>
      <c r="I153" s="287"/>
      <c r="J153" s="287"/>
      <c r="K153" s="287"/>
      <c r="L153" s="287" t="s">
        <v>867</v>
      </c>
      <c r="M153" s="287" t="s">
        <v>167</v>
      </c>
      <c r="N153" s="320">
        <f>IF(INDEX($N$143:$T$147,MATCH($M153,$L$143:$L$147,0),MATCH(N$152,$N$141:$T$141,0))=0,"",INDEX($N$143:$T$147,MATCH($M153,$L$143:$L$147,0),MATCH(N$152,$N$141:$T$141,0)))</f>
        <v>4.3302170790299686</v>
      </c>
      <c r="O153" s="320">
        <f t="shared" ref="O153:R157" si="19">IF(INDEX($N$143:$T$147,MATCH($M153,$L$143:$L$147,0),MATCH(O$152,$N$141:$T$141,0))=0,"",INDEX($N$143:$T$147,MATCH($M153,$L$143:$L$147,0),MATCH(O$152,$N$141:$T$141,0)))</f>
        <v>2.0996782148442206</v>
      </c>
      <c r="P153" s="320">
        <f t="shared" si="19"/>
        <v>8.8757836125478331</v>
      </c>
      <c r="Q153" s="320">
        <f t="shared" si="19"/>
        <v>0.59433505502672301</v>
      </c>
      <c r="R153" s="320">
        <f t="shared" si="19"/>
        <v>3.8314510321037716</v>
      </c>
      <c r="S153" s="287">
        <v>1.5</v>
      </c>
      <c r="T153">
        <v>0.3</v>
      </c>
    </row>
    <row r="154" spans="3:21" x14ac:dyDescent="0.25">
      <c r="C154" t="s">
        <v>1152</v>
      </c>
      <c r="E154" t="s">
        <v>172</v>
      </c>
      <c r="F154" t="s">
        <v>1223</v>
      </c>
      <c r="G154" s="521"/>
      <c r="I154" s="287"/>
      <c r="J154" s="287"/>
      <c r="K154" s="287"/>
      <c r="L154" s="287" t="s">
        <v>867</v>
      </c>
      <c r="M154" s="287" t="s">
        <v>169</v>
      </c>
      <c r="N154" s="320">
        <f t="shared" ref="N154:N157" si="20">IF(INDEX($N$143:$T$147,MATCH($M154,$L$143:$L$147,0),MATCH(N$152,$N$141:$T$141,0))=0,"",INDEX($N$143:$T$147,MATCH($M154,$L$143:$L$147,0),MATCH(N$152,$N$141:$T$141,0)))</f>
        <v>17.2</v>
      </c>
      <c r="O154" s="320">
        <f t="shared" si="19"/>
        <v>1.728</v>
      </c>
      <c r="P154" s="320">
        <f t="shared" si="19"/>
        <v>2.6</v>
      </c>
      <c r="Q154" s="320">
        <f t="shared" si="19"/>
        <v>0.21697550364662166</v>
      </c>
      <c r="R154" s="320">
        <f t="shared" si="19"/>
        <v>0.406700668706789</v>
      </c>
      <c r="S154" s="287">
        <v>1.5</v>
      </c>
      <c r="T154" s="327"/>
    </row>
    <row r="155" spans="3:21" x14ac:dyDescent="0.25">
      <c r="F155" t="s">
        <v>38</v>
      </c>
      <c r="G155" s="521"/>
      <c r="I155" s="287"/>
      <c r="J155" s="287"/>
      <c r="K155" s="287"/>
      <c r="L155" s="287" t="s">
        <v>867</v>
      </c>
      <c r="M155" s="287" t="s">
        <v>172</v>
      </c>
      <c r="N155" s="320">
        <f t="shared" si="20"/>
        <v>20.596584135938251</v>
      </c>
      <c r="O155" s="320">
        <f t="shared" si="19"/>
        <v>4.8574938650306745</v>
      </c>
      <c r="P155" s="320" t="str">
        <f t="shared" si="19"/>
        <v/>
      </c>
      <c r="Q155" s="320" t="str">
        <f t="shared" si="19"/>
        <v/>
      </c>
      <c r="R155" s="320">
        <f t="shared" si="19"/>
        <v>3.8314510321037716</v>
      </c>
      <c r="S155" s="287">
        <v>1.5</v>
      </c>
    </row>
    <row r="156" spans="3:21" x14ac:dyDescent="0.25">
      <c r="F156" t="s">
        <v>1102</v>
      </c>
      <c r="G156" s="521"/>
      <c r="I156" s="287"/>
      <c r="J156" s="287"/>
      <c r="K156" s="287"/>
      <c r="L156" s="287" t="s">
        <v>867</v>
      </c>
      <c r="M156" s="287" t="s">
        <v>176</v>
      </c>
      <c r="N156" s="320">
        <f t="shared" si="20"/>
        <v>20.61</v>
      </c>
      <c r="O156" s="320">
        <f t="shared" si="19"/>
        <v>20.61</v>
      </c>
      <c r="P156" s="320" t="str">
        <f t="shared" si="19"/>
        <v/>
      </c>
      <c r="Q156" s="320" t="str">
        <f t="shared" si="19"/>
        <v/>
      </c>
      <c r="R156" s="320">
        <f t="shared" si="19"/>
        <v>3.4349999999999996</v>
      </c>
      <c r="S156" s="287">
        <v>1.5</v>
      </c>
    </row>
    <row r="157" spans="3:21" x14ac:dyDescent="0.25">
      <c r="F157" s="495" t="s">
        <v>976</v>
      </c>
      <c r="G157" s="521"/>
      <c r="I157" s="287"/>
      <c r="J157" s="287"/>
      <c r="K157" s="287"/>
      <c r="L157" s="287" t="s">
        <v>867</v>
      </c>
      <c r="M157" s="287" t="s">
        <v>178</v>
      </c>
      <c r="N157" s="320" t="str">
        <f t="shared" si="20"/>
        <v/>
      </c>
      <c r="O157" s="320">
        <f t="shared" si="19"/>
        <v>4.0884341801385684</v>
      </c>
      <c r="P157" s="320" t="str">
        <f t="shared" si="19"/>
        <v/>
      </c>
      <c r="Q157" s="320">
        <f t="shared" si="19"/>
        <v>0.70602057094563631</v>
      </c>
      <c r="R157" s="320">
        <f t="shared" si="19"/>
        <v>0.69427752927902087</v>
      </c>
      <c r="S157" s="287"/>
    </row>
    <row r="158" spans="3:21" x14ac:dyDescent="0.25">
      <c r="F158" s="521"/>
      <c r="G158" s="99" t="s">
        <v>39</v>
      </c>
      <c r="I158" s="287"/>
      <c r="J158" s="287"/>
      <c r="K158" s="287"/>
      <c r="L158" s="287"/>
      <c r="N158" s="287"/>
      <c r="O158" s="287"/>
      <c r="P158" s="287"/>
      <c r="R158" s="287"/>
      <c r="S158" s="287"/>
    </row>
    <row r="159" spans="3:21" x14ac:dyDescent="0.25">
      <c r="C159" t="s">
        <v>1151</v>
      </c>
      <c r="D159" s="522"/>
      <c r="E159" t="s">
        <v>169</v>
      </c>
      <c r="F159" t="s">
        <v>1223</v>
      </c>
      <c r="G159" s="521"/>
      <c r="I159" s="287"/>
      <c r="J159" s="287"/>
      <c r="K159" s="287"/>
      <c r="L159" s="287"/>
      <c r="N159" s="287"/>
      <c r="O159" s="287"/>
      <c r="P159" s="287"/>
      <c r="R159" s="287"/>
      <c r="S159" s="287"/>
    </row>
    <row r="160" spans="3:21" x14ac:dyDescent="0.25">
      <c r="F160" t="s">
        <v>38</v>
      </c>
      <c r="G160" s="521"/>
      <c r="I160" s="287"/>
      <c r="J160" s="287"/>
      <c r="K160" s="287"/>
      <c r="L160" s="287"/>
      <c r="N160" s="287"/>
      <c r="O160" s="287"/>
      <c r="P160" s="287"/>
      <c r="R160" s="287"/>
      <c r="S160" s="287"/>
      <c r="U160" s="18"/>
    </row>
    <row r="161" spans="3:19" x14ac:dyDescent="0.25">
      <c r="F161" t="s">
        <v>40</v>
      </c>
      <c r="G161" s="521"/>
      <c r="I161" s="287"/>
      <c r="J161" s="287"/>
      <c r="K161" s="287"/>
      <c r="L161" s="287"/>
      <c r="M161" s="287"/>
      <c r="N161" s="287"/>
      <c r="O161" s="287"/>
      <c r="P161" s="287"/>
      <c r="R161" s="287"/>
      <c r="S161" s="287"/>
    </row>
    <row r="162" spans="3:19" x14ac:dyDescent="0.25">
      <c r="F162" t="s">
        <v>1104</v>
      </c>
      <c r="G162" s="521"/>
      <c r="I162" s="287"/>
      <c r="J162" s="287"/>
      <c r="K162" s="287"/>
      <c r="O162" s="287"/>
      <c r="P162" s="287"/>
      <c r="R162" s="287"/>
      <c r="S162" s="287"/>
    </row>
    <row r="163" spans="3:19" x14ac:dyDescent="0.25">
      <c r="F163" t="s">
        <v>1102</v>
      </c>
      <c r="G163" s="521"/>
      <c r="I163" s="287"/>
      <c r="J163" s="287"/>
      <c r="K163" s="287"/>
      <c r="O163" s="287"/>
      <c r="P163" s="287"/>
      <c r="R163" s="287"/>
      <c r="S163" s="287"/>
    </row>
    <row r="164" spans="3:19" x14ac:dyDescent="0.25">
      <c r="F164" s="495" t="s">
        <v>976</v>
      </c>
      <c r="G164" s="521"/>
      <c r="I164" s="287"/>
      <c r="J164" s="287"/>
      <c r="K164" s="287"/>
      <c r="O164" s="287"/>
      <c r="P164" s="287"/>
      <c r="R164" s="287"/>
      <c r="S164" s="287"/>
    </row>
    <row r="165" spans="3:19" x14ac:dyDescent="0.25">
      <c r="F165" s="521"/>
      <c r="G165" s="99" t="s">
        <v>39</v>
      </c>
      <c r="I165" s="287"/>
      <c r="J165" s="287"/>
      <c r="K165" s="287"/>
    </row>
    <row r="166" spans="3:19" x14ac:dyDescent="0.25">
      <c r="C166" t="s">
        <v>1150</v>
      </c>
      <c r="D166" s="522"/>
      <c r="E166" t="s">
        <v>176</v>
      </c>
      <c r="F166" t="s">
        <v>1223</v>
      </c>
      <c r="I166" s="287"/>
      <c r="J166" s="287"/>
      <c r="K166" s="287"/>
    </row>
    <row r="167" spans="3:19" x14ac:dyDescent="0.25">
      <c r="F167" t="s">
        <v>38</v>
      </c>
      <c r="I167" s="287"/>
      <c r="J167" s="287"/>
      <c r="K167" s="287"/>
    </row>
    <row r="168" spans="3:19" x14ac:dyDescent="0.25">
      <c r="F168" t="s">
        <v>1102</v>
      </c>
      <c r="I168" s="287"/>
      <c r="J168" s="287"/>
      <c r="K168" s="287"/>
    </row>
    <row r="169" spans="3:19" x14ac:dyDescent="0.25">
      <c r="F169" s="495" t="s">
        <v>976</v>
      </c>
      <c r="I169" s="287"/>
      <c r="J169" s="287"/>
      <c r="K169" s="287"/>
    </row>
    <row r="170" spans="3:19" x14ac:dyDescent="0.25">
      <c r="G170" s="99" t="s">
        <v>39</v>
      </c>
      <c r="I170" s="287"/>
      <c r="J170" s="287"/>
      <c r="K170" s="287"/>
    </row>
    <row r="171" spans="3:19" x14ac:dyDescent="0.25">
      <c r="C171" t="s">
        <v>1149</v>
      </c>
      <c r="E171" t="s">
        <v>178</v>
      </c>
      <c r="F171" t="s">
        <v>38</v>
      </c>
      <c r="I171" s="287"/>
      <c r="J171" s="287"/>
      <c r="K171" s="287"/>
    </row>
    <row r="172" spans="3:19" x14ac:dyDescent="0.25">
      <c r="F172" t="s">
        <v>1104</v>
      </c>
      <c r="I172" s="287"/>
      <c r="J172" s="287"/>
      <c r="K172" s="287"/>
      <c r="O172" s="287"/>
      <c r="P172" s="287"/>
      <c r="R172" s="287"/>
      <c r="S172" s="287"/>
    </row>
    <row r="173" spans="3:19" x14ac:dyDescent="0.25">
      <c r="D173" s="518"/>
      <c r="F173" t="s">
        <v>1102</v>
      </c>
      <c r="I173" s="287"/>
      <c r="J173" s="287"/>
      <c r="K173" s="287"/>
      <c r="O173" s="287"/>
      <c r="P173" s="287"/>
      <c r="R173" s="287"/>
      <c r="S173" s="287"/>
    </row>
    <row r="174" spans="3:19" x14ac:dyDescent="0.25">
      <c r="G174" s="99" t="s">
        <v>39</v>
      </c>
      <c r="I174" s="287"/>
      <c r="J174" s="287"/>
      <c r="K174" s="287"/>
      <c r="O174" s="287"/>
      <c r="P174" s="287"/>
      <c r="R174" s="287"/>
      <c r="S174" s="287"/>
    </row>
    <row r="175" spans="3:19" x14ac:dyDescent="0.25">
      <c r="E175" s="99"/>
      <c r="I175" s="287"/>
      <c r="J175" s="287"/>
      <c r="K175" s="287"/>
      <c r="O175" s="287"/>
      <c r="P175" s="287"/>
      <c r="R175" s="287"/>
      <c r="S175" s="287"/>
    </row>
    <row r="178" spans="2:27" ht="21" x14ac:dyDescent="0.35">
      <c r="B178" s="434" t="s">
        <v>1187</v>
      </c>
      <c r="I178" s="18"/>
      <c r="J178" s="18"/>
      <c r="K178" s="18"/>
      <c r="N178" t="s">
        <v>1258</v>
      </c>
      <c r="P178" t="s">
        <v>1258</v>
      </c>
      <c r="S178" t="s">
        <v>1256</v>
      </c>
      <c r="T178" t="s">
        <v>1258</v>
      </c>
      <c r="U178" t="s">
        <v>1259</v>
      </c>
    </row>
    <row r="179" spans="2:27" x14ac:dyDescent="0.25">
      <c r="E179" s="564" t="s">
        <v>1162</v>
      </c>
      <c r="F179" s="575"/>
      <c r="G179" s="560"/>
      <c r="I179" s="18"/>
      <c r="J179" s="18"/>
      <c r="K179" s="18"/>
      <c r="L179" s="583" t="s">
        <v>1162</v>
      </c>
      <c r="M179" s="584"/>
      <c r="N179" s="584"/>
      <c r="O179" s="584"/>
      <c r="P179" s="584"/>
      <c r="Q179" s="584"/>
      <c r="R179" s="584"/>
      <c r="S179" s="584"/>
      <c r="T179" s="558"/>
      <c r="U179" s="584"/>
      <c r="X179" s="18" t="s">
        <v>1255</v>
      </c>
    </row>
    <row r="180" spans="2:27" x14ac:dyDescent="0.25">
      <c r="E180" s="564" t="s">
        <v>1142</v>
      </c>
      <c r="F180" s="564" t="s">
        <v>1163</v>
      </c>
      <c r="G180" s="564" t="s">
        <v>1164</v>
      </c>
      <c r="I180" s="18"/>
      <c r="J180" s="18"/>
      <c r="K180" s="18"/>
      <c r="L180" s="583" t="s">
        <v>1191</v>
      </c>
      <c r="M180" s="583" t="s">
        <v>1142</v>
      </c>
      <c r="N180" s="584" t="s">
        <v>1223</v>
      </c>
      <c r="O180" s="584" t="s">
        <v>38</v>
      </c>
      <c r="P180" s="584" t="s">
        <v>40</v>
      </c>
      <c r="Q180" s="584" t="s">
        <v>1104</v>
      </c>
      <c r="R180" s="584" t="s">
        <v>1102</v>
      </c>
      <c r="S180" s="584" t="s">
        <v>976</v>
      </c>
      <c r="T180" s="558" t="s">
        <v>1257</v>
      </c>
      <c r="U180" s="584" t="s">
        <v>1118</v>
      </c>
    </row>
    <row r="181" spans="2:27" x14ac:dyDescent="0.25">
      <c r="E181" t="s">
        <v>515</v>
      </c>
      <c r="F181" t="s">
        <v>1223</v>
      </c>
      <c r="G181" s="521"/>
      <c r="I181" s="18"/>
      <c r="J181" s="18"/>
      <c r="K181" s="18"/>
      <c r="L181" s="287" t="s">
        <v>867</v>
      </c>
      <c r="M181" s="287" t="str">
        <f>E181</f>
        <v>IISBFBOF-N</v>
      </c>
      <c r="N181" s="320">
        <f>N153</f>
        <v>4.3302170790299686</v>
      </c>
      <c r="O181" s="320">
        <f t="shared" ref="O181:R181" si="21">O153</f>
        <v>2.0996782148442206</v>
      </c>
      <c r="P181" s="320">
        <f t="shared" si="21"/>
        <v>8.8757836125478331</v>
      </c>
      <c r="Q181" s="320">
        <f t="shared" si="21"/>
        <v>0.59433505502672301</v>
      </c>
      <c r="R181" s="320">
        <f t="shared" si="21"/>
        <v>3.8314510321037716</v>
      </c>
      <c r="S181">
        <v>1.5</v>
      </c>
      <c r="U181">
        <v>0.3</v>
      </c>
      <c r="X181" t="s">
        <v>1252</v>
      </c>
    </row>
    <row r="182" spans="2:27" x14ac:dyDescent="0.25">
      <c r="F182" t="s">
        <v>38</v>
      </c>
      <c r="G182" s="521"/>
      <c r="I182" s="18"/>
      <c r="J182" s="18"/>
      <c r="K182" s="18"/>
      <c r="L182" s="287" t="s">
        <v>867</v>
      </c>
      <c r="M182" t="str">
        <f>E189</f>
        <v>IISDRIEAF-NG</v>
      </c>
      <c r="N182" s="518"/>
      <c r="O182" s="268">
        <f>AA183</f>
        <v>8.9027919999999998</v>
      </c>
      <c r="Q182" s="268">
        <f>AA185</f>
        <v>0.23428399999999999</v>
      </c>
      <c r="S182" s="18">
        <v>1.5</v>
      </c>
      <c r="T182" s="268">
        <f>AA184</f>
        <v>14.291323999999999</v>
      </c>
      <c r="Y182">
        <v>23.4284</v>
      </c>
    </row>
    <row r="183" spans="2:27" x14ac:dyDescent="0.25">
      <c r="F183" t="s">
        <v>40</v>
      </c>
      <c r="G183" s="521"/>
      <c r="I183" s="18"/>
      <c r="J183" s="18"/>
      <c r="K183" s="18"/>
      <c r="L183" s="287" t="str">
        <f>L182</f>
        <v>PRC_ACTFLO</v>
      </c>
      <c r="M183" t="str">
        <f>E194</f>
        <v>IISSCREAF-N</v>
      </c>
      <c r="N183" s="535" t="str">
        <f>N157</f>
        <v/>
      </c>
      <c r="O183" s="535">
        <f t="shared" ref="O183:R183" si="22">O157</f>
        <v>4.0884341801385684</v>
      </c>
      <c r="P183" s="535" t="str">
        <f t="shared" si="22"/>
        <v/>
      </c>
      <c r="Q183" s="535">
        <f t="shared" si="22"/>
        <v>0.70602057094563631</v>
      </c>
      <c r="R183" s="535">
        <f t="shared" si="22"/>
        <v>0.69427752927902087</v>
      </c>
      <c r="X183" t="s">
        <v>38</v>
      </c>
      <c r="Y183">
        <v>0.38</v>
      </c>
      <c r="AA183">
        <f>Y183*$Y$182</f>
        <v>8.9027919999999998</v>
      </c>
    </row>
    <row r="184" spans="2:27" x14ac:dyDescent="0.25">
      <c r="F184" t="s">
        <v>1104</v>
      </c>
      <c r="G184" s="521"/>
      <c r="I184" s="18"/>
      <c r="J184" s="18"/>
      <c r="K184" s="18"/>
      <c r="N184" s="518"/>
      <c r="X184" t="s">
        <v>1253</v>
      </c>
      <c r="Y184">
        <v>0.61</v>
      </c>
      <c r="AA184">
        <f>Y184*$Y$182</f>
        <v>14.291323999999999</v>
      </c>
    </row>
    <row r="185" spans="2:27" x14ac:dyDescent="0.25">
      <c r="F185" t="s">
        <v>1102</v>
      </c>
      <c r="G185" s="521"/>
      <c r="I185" s="18"/>
      <c r="J185" s="18"/>
      <c r="K185" s="18"/>
      <c r="N185" s="522"/>
      <c r="X185" t="s">
        <v>1254</v>
      </c>
      <c r="Y185">
        <v>0.01</v>
      </c>
      <c r="AA185">
        <f>Y185*$Y$182</f>
        <v>0.23428399999999999</v>
      </c>
    </row>
    <row r="186" spans="2:27" x14ac:dyDescent="0.25">
      <c r="F186" t="str">
        <f>F169</f>
        <v>IISFEORE</v>
      </c>
      <c r="G186" s="521"/>
      <c r="I186" s="18"/>
      <c r="J186" s="18"/>
      <c r="K186" s="18"/>
      <c r="N186" s="522"/>
    </row>
    <row r="187" spans="2:27" x14ac:dyDescent="0.25">
      <c r="F187" s="521"/>
      <c r="G187" s="99" t="s">
        <v>39</v>
      </c>
      <c r="I187" s="18"/>
      <c r="J187" s="18"/>
      <c r="K187" s="18"/>
      <c r="N187" s="518"/>
    </row>
    <row r="188" spans="2:27" x14ac:dyDescent="0.25">
      <c r="F188" s="525"/>
      <c r="G188" s="99" t="s">
        <v>1118</v>
      </c>
      <c r="I188" s="18"/>
      <c r="J188" s="18"/>
      <c r="K188" s="18"/>
    </row>
    <row r="189" spans="2:27" x14ac:dyDescent="0.25">
      <c r="E189" t="s">
        <v>517</v>
      </c>
      <c r="F189" t="s">
        <v>38</v>
      </c>
      <c r="G189" s="521"/>
      <c r="I189" s="18"/>
      <c r="J189" s="18"/>
      <c r="K189" s="18"/>
      <c r="N189" s="518"/>
    </row>
    <row r="190" spans="2:27" x14ac:dyDescent="0.25">
      <c r="F190" t="s">
        <v>1257</v>
      </c>
      <c r="G190" s="521"/>
      <c r="I190" s="18"/>
      <c r="J190" s="18"/>
      <c r="K190" s="18"/>
      <c r="N190" s="518"/>
    </row>
    <row r="191" spans="2:27" x14ac:dyDescent="0.25">
      <c r="F191" t="s">
        <v>1104</v>
      </c>
      <c r="G191" s="521"/>
      <c r="I191" s="18"/>
      <c r="J191" s="18"/>
      <c r="K191" s="18"/>
    </row>
    <row r="192" spans="2:27" x14ac:dyDescent="0.25">
      <c r="F192" t="str">
        <f>F186</f>
        <v>IISFEORE</v>
      </c>
      <c r="G192" s="521"/>
      <c r="I192" s="18"/>
      <c r="J192" s="18"/>
      <c r="K192" s="18"/>
    </row>
    <row r="193" spans="1:19" x14ac:dyDescent="0.25">
      <c r="F193" s="521"/>
      <c r="G193" s="99" t="s">
        <v>39</v>
      </c>
      <c r="I193" s="18"/>
      <c r="J193" s="18"/>
      <c r="K193" s="18"/>
    </row>
    <row r="194" spans="1:19" x14ac:dyDescent="0.25">
      <c r="E194" s="99" t="s">
        <v>518</v>
      </c>
      <c r="F194" t="s">
        <v>38</v>
      </c>
      <c r="I194" s="18"/>
      <c r="J194" s="18"/>
      <c r="K194" s="18"/>
    </row>
    <row r="195" spans="1:19" x14ac:dyDescent="0.25">
      <c r="F195" t="s">
        <v>1104</v>
      </c>
      <c r="I195" s="18"/>
      <c r="J195" s="18"/>
      <c r="K195" s="18"/>
    </row>
    <row r="196" spans="1:19" x14ac:dyDescent="0.25">
      <c r="F196" t="s">
        <v>1102</v>
      </c>
      <c r="I196" s="18"/>
      <c r="J196" s="18"/>
      <c r="K196" s="18"/>
    </row>
    <row r="197" spans="1:19" x14ac:dyDescent="0.25">
      <c r="G197" s="99" t="s">
        <v>39</v>
      </c>
      <c r="I197" s="18"/>
      <c r="J197" s="18"/>
      <c r="K197" s="18"/>
    </row>
    <row r="198" spans="1:19" x14ac:dyDescent="0.25">
      <c r="G198" s="521"/>
      <c r="I198" s="18"/>
      <c r="J198" s="18"/>
      <c r="K198" s="18"/>
    </row>
    <row r="199" spans="1:19" x14ac:dyDescent="0.25">
      <c r="F199" s="521"/>
      <c r="G199" s="99"/>
      <c r="I199" s="18"/>
      <c r="J199" s="18"/>
      <c r="K199" s="18"/>
    </row>
    <row r="200" spans="1:19" x14ac:dyDescent="0.25">
      <c r="I200" s="18"/>
      <c r="J200" s="18"/>
      <c r="K200" s="18"/>
    </row>
    <row r="201" spans="1:19" x14ac:dyDescent="0.25">
      <c r="I201" s="18"/>
      <c r="J201" s="18"/>
      <c r="K201" s="18"/>
    </row>
    <row r="202" spans="1:19" x14ac:dyDescent="0.25">
      <c r="I202" s="18"/>
      <c r="J202" s="18"/>
      <c r="K202" s="18"/>
    </row>
    <row r="203" spans="1:19" ht="23.25" x14ac:dyDescent="0.35">
      <c r="A203" s="566" t="s">
        <v>354</v>
      </c>
    </row>
    <row r="205" spans="1:19" x14ac:dyDescent="0.25">
      <c r="B205" t="s">
        <v>364</v>
      </c>
      <c r="J205" t="s">
        <v>368</v>
      </c>
    </row>
    <row r="206" spans="1:19" x14ac:dyDescent="0.25">
      <c r="B206" s="14"/>
      <c r="C206" s="15"/>
      <c r="D206" s="15"/>
      <c r="E206" s="15"/>
      <c r="F206" s="15"/>
      <c r="G206" s="3"/>
      <c r="J206" s="14"/>
      <c r="K206" s="15"/>
      <c r="L206" s="15"/>
      <c r="M206" s="3"/>
      <c r="P206" t="s">
        <v>617</v>
      </c>
    </row>
    <row r="207" spans="1:19" x14ac:dyDescent="0.25">
      <c r="B207" s="4" t="s">
        <v>357</v>
      </c>
      <c r="C207" t="s">
        <v>355</v>
      </c>
      <c r="D207" t="s">
        <v>356</v>
      </c>
      <c r="E207" s="323">
        <v>1.46</v>
      </c>
      <c r="G207" s="5"/>
      <c r="J207" s="4"/>
      <c r="L207" s="18" t="s">
        <v>352</v>
      </c>
      <c r="M207" s="5"/>
      <c r="P207" s="343" t="s">
        <v>379</v>
      </c>
      <c r="Q207" s="15"/>
      <c r="R207" s="15"/>
      <c r="S207" s="3"/>
    </row>
    <row r="208" spans="1:19" x14ac:dyDescent="0.25">
      <c r="B208" s="4" t="s">
        <v>358</v>
      </c>
      <c r="C208" t="s">
        <v>355</v>
      </c>
      <c r="D208" t="s">
        <v>356</v>
      </c>
      <c r="E208" s="323">
        <v>0.08</v>
      </c>
      <c r="G208" s="5"/>
      <c r="J208" s="325" t="s">
        <v>367</v>
      </c>
      <c r="L208">
        <v>94.6</v>
      </c>
      <c r="M208" s="5"/>
      <c r="P208" s="4"/>
      <c r="Q208" t="s">
        <v>355</v>
      </c>
      <c r="S208" s="5"/>
    </row>
    <row r="209" spans="2:19" x14ac:dyDescent="0.25">
      <c r="B209" s="4" t="s">
        <v>359</v>
      </c>
      <c r="C209" t="s">
        <v>355</v>
      </c>
      <c r="D209" t="s">
        <v>356</v>
      </c>
      <c r="E209" s="323"/>
      <c r="G209" s="5"/>
      <c r="J209" s="4" t="s">
        <v>11</v>
      </c>
      <c r="L209">
        <v>107</v>
      </c>
      <c r="M209" s="5"/>
      <c r="P209" s="4" t="s">
        <v>24</v>
      </c>
      <c r="Q209" s="1">
        <v>7251928</v>
      </c>
      <c r="R209" t="s">
        <v>616</v>
      </c>
      <c r="S209" s="5" t="s">
        <v>618</v>
      </c>
    </row>
    <row r="210" spans="2:19" x14ac:dyDescent="0.25">
      <c r="B210" s="4" t="s">
        <v>360</v>
      </c>
      <c r="C210" t="s">
        <v>355</v>
      </c>
      <c r="D210" t="s">
        <v>356</v>
      </c>
      <c r="E210" s="323">
        <v>1.35</v>
      </c>
      <c r="G210" s="5"/>
      <c r="J210" s="4" t="s">
        <v>366</v>
      </c>
      <c r="L210">
        <v>0</v>
      </c>
      <c r="M210" s="5"/>
      <c r="P210" s="4" t="s">
        <v>1</v>
      </c>
      <c r="Q210" s="1">
        <v>0</v>
      </c>
      <c r="R210" t="s">
        <v>616</v>
      </c>
      <c r="S210" s="5" t="s">
        <v>618</v>
      </c>
    </row>
    <row r="211" spans="2:19" x14ac:dyDescent="0.25">
      <c r="B211" s="4" t="s">
        <v>361</v>
      </c>
      <c r="C211" t="s">
        <v>355</v>
      </c>
      <c r="D211" t="s">
        <v>356</v>
      </c>
      <c r="E211" s="324">
        <v>1.5249999999999999</v>
      </c>
      <c r="G211" s="5"/>
      <c r="J211" s="4" t="s">
        <v>365</v>
      </c>
      <c r="L211">
        <v>56.1</v>
      </c>
      <c r="M211" s="5"/>
      <c r="P211" s="4" t="s">
        <v>362</v>
      </c>
      <c r="Q211" s="1">
        <v>812005</v>
      </c>
      <c r="R211" t="s">
        <v>616</v>
      </c>
      <c r="S211" s="5" t="s">
        <v>618</v>
      </c>
    </row>
    <row r="212" spans="2:19" x14ac:dyDescent="0.25">
      <c r="B212" s="4" t="s">
        <v>362</v>
      </c>
      <c r="C212" t="s">
        <v>355</v>
      </c>
      <c r="D212" t="s">
        <v>356</v>
      </c>
      <c r="E212" s="324">
        <v>0.34</v>
      </c>
      <c r="G212" s="5"/>
      <c r="J212" s="4" t="s">
        <v>353</v>
      </c>
      <c r="L212">
        <v>77.400000000000006</v>
      </c>
      <c r="M212" s="5"/>
      <c r="P212" s="4" t="s">
        <v>20</v>
      </c>
      <c r="Q212" s="1">
        <v>586261</v>
      </c>
      <c r="R212" t="s">
        <v>616</v>
      </c>
      <c r="S212" s="5" t="s">
        <v>618</v>
      </c>
    </row>
    <row r="213" spans="2:19" x14ac:dyDescent="0.25">
      <c r="B213" s="4" t="s">
        <v>363</v>
      </c>
      <c r="C213" t="s">
        <v>355</v>
      </c>
      <c r="D213" t="s">
        <v>356</v>
      </c>
      <c r="E213" s="323"/>
      <c r="G213" s="5"/>
      <c r="J213" s="4"/>
      <c r="M213" s="5"/>
      <c r="P213" s="4"/>
      <c r="Q213" s="19">
        <f>SUM(Q209:Q212)</f>
        <v>8650194</v>
      </c>
      <c r="S213" s="5"/>
    </row>
    <row r="214" spans="2:19" x14ac:dyDescent="0.25">
      <c r="B214" s="4"/>
      <c r="G214" s="5"/>
      <c r="J214" s="4"/>
      <c r="M214" s="5"/>
      <c r="P214" s="7"/>
      <c r="Q214" s="8"/>
      <c r="R214" s="8"/>
      <c r="S214" s="9"/>
    </row>
    <row r="215" spans="2:19" x14ac:dyDescent="0.25">
      <c r="B215" s="7"/>
      <c r="C215" s="8"/>
      <c r="D215" s="8"/>
      <c r="E215" s="8"/>
      <c r="F215" s="8"/>
      <c r="G215" s="9"/>
      <c r="J215" s="7"/>
      <c r="K215" s="8"/>
      <c r="L215" s="8"/>
      <c r="M215" s="9"/>
    </row>
    <row r="217" spans="2:19" x14ac:dyDescent="0.25">
      <c r="B217" t="s">
        <v>369</v>
      </c>
    </row>
    <row r="218" spans="2:19" x14ac:dyDescent="0.25">
      <c r="C218" t="s">
        <v>376</v>
      </c>
      <c r="Q218" t="s">
        <v>376</v>
      </c>
    </row>
    <row r="219" spans="2:19" x14ac:dyDescent="0.25">
      <c r="B219" t="s">
        <v>7</v>
      </c>
      <c r="C219">
        <f>E207+E210</f>
        <v>2.81</v>
      </c>
      <c r="E219" s="326"/>
      <c r="J219" t="s">
        <v>375</v>
      </c>
      <c r="P219" t="s">
        <v>7</v>
      </c>
      <c r="Q219">
        <v>2.81</v>
      </c>
    </row>
    <row r="220" spans="2:19" x14ac:dyDescent="0.25">
      <c r="B220" t="s">
        <v>9</v>
      </c>
      <c r="C220">
        <f>E211+E208</f>
        <v>1.605</v>
      </c>
      <c r="E220" s="326"/>
      <c r="J220" t="s">
        <v>512</v>
      </c>
      <c r="P220" t="s">
        <v>9</v>
      </c>
      <c r="Q220">
        <v>1.605</v>
      </c>
    </row>
    <row r="221" spans="2:19" x14ac:dyDescent="0.25">
      <c r="B221" t="s">
        <v>45</v>
      </c>
      <c r="E221" s="326"/>
      <c r="J221">
        <f>E207*0.5+E208*0.5</f>
        <v>0.77</v>
      </c>
      <c r="K221" t="s">
        <v>374</v>
      </c>
      <c r="P221" t="s">
        <v>8</v>
      </c>
      <c r="Q221">
        <v>0.08</v>
      </c>
    </row>
    <row r="222" spans="2:19" x14ac:dyDescent="0.25">
      <c r="B222" t="s">
        <v>8</v>
      </c>
      <c r="C222">
        <f>E208</f>
        <v>0.08</v>
      </c>
      <c r="E222" s="326"/>
      <c r="J222" s="268">
        <f>J226*E210*'AMSA - Saldanha'!I54+E211*'AMSA - Saldanha'!I55</f>
        <v>1.3567142857142858</v>
      </c>
      <c r="K222" t="s">
        <v>373</v>
      </c>
      <c r="P222" t="s">
        <v>170</v>
      </c>
      <c r="Q222">
        <v>2.1267142857142858</v>
      </c>
    </row>
    <row r="223" spans="2:19" x14ac:dyDescent="0.25">
      <c r="B223" t="s">
        <v>170</v>
      </c>
      <c r="C223" s="268">
        <f>J222+J221</f>
        <v>2.1267142857142858</v>
      </c>
      <c r="E223" s="326"/>
      <c r="P223" t="s">
        <v>10</v>
      </c>
      <c r="Q223">
        <v>1.54</v>
      </c>
      <c r="R223" t="s">
        <v>511</v>
      </c>
    </row>
    <row r="224" spans="2:19" x14ac:dyDescent="0.25">
      <c r="B224" t="s">
        <v>10</v>
      </c>
      <c r="C224">
        <f>E208+E207</f>
        <v>1.54</v>
      </c>
      <c r="D224" t="s">
        <v>511</v>
      </c>
      <c r="E224" s="326"/>
      <c r="J224" t="s">
        <v>387</v>
      </c>
    </row>
    <row r="225" spans="2:19" x14ac:dyDescent="0.25">
      <c r="D225" s="326"/>
      <c r="E225" s="326"/>
      <c r="J225" s="285">
        <v>0.1</v>
      </c>
      <c r="K225" t="s">
        <v>513</v>
      </c>
    </row>
    <row r="226" spans="2:19" x14ac:dyDescent="0.25">
      <c r="J226" s="285">
        <f>1-J225</f>
        <v>0.9</v>
      </c>
    </row>
    <row r="227" spans="2:19" x14ac:dyDescent="0.25">
      <c r="B227" s="18" t="s">
        <v>378</v>
      </c>
      <c r="E227" s="268"/>
    </row>
    <row r="228" spans="2:19" x14ac:dyDescent="0.25">
      <c r="C228" s="18">
        <v>2012</v>
      </c>
      <c r="D228" s="18">
        <v>2013</v>
      </c>
      <c r="E228" s="18">
        <v>2014</v>
      </c>
      <c r="F228" s="18">
        <v>2015</v>
      </c>
      <c r="G228" s="18">
        <v>2016</v>
      </c>
      <c r="H228" s="18">
        <v>2017</v>
      </c>
    </row>
    <row r="229" spans="2:19" x14ac:dyDescent="0.25">
      <c r="B229" t="s">
        <v>7</v>
      </c>
      <c r="C229" s="327">
        <f>SUMIFS('INPUT Capacity &amp; Production'!M$291:M$295,'INPUT Capacity &amp; Production'!$B$291:$B$295,$B229)</f>
        <v>3.3</v>
      </c>
      <c r="D229" s="327">
        <f>SUMIFS('INPUT Capacity &amp; Production'!N$291:N$295,'INPUT Capacity &amp; Production'!$B$291:$B$295,$B229)</f>
        <v>3.3760806916426511</v>
      </c>
      <c r="E229" s="327">
        <f>SUMIFS('INPUT Capacity &amp; Production'!O$291:O$295,'INPUT Capacity &amp; Production'!$B$291:$B$295,$B229)</f>
        <v>3.0907780979827089</v>
      </c>
      <c r="F229" s="327">
        <f>SUMIFS('INPUT Capacity &amp; Production'!P$291:P$295,'INPUT Capacity &amp; Production'!$B$291:$B$295,$B229)</f>
        <v>3.1641891891891891</v>
      </c>
      <c r="G229" s="327">
        <f>SUMIFS('INPUT Capacity &amp; Production'!Q$291:Q$295,'INPUT Capacity &amp; Production'!$B$291:$B$295,$B229)</f>
        <v>3.1641891891891891</v>
      </c>
      <c r="H229" s="327">
        <f>SUMIFS('INPUT Capacity &amp; Production'!R$291:R$295,'INPUT Capacity &amp; Production'!$B$291:$B$295,$B229)</f>
        <v>3.0330810810810807</v>
      </c>
    </row>
    <row r="230" spans="2:19" x14ac:dyDescent="0.25">
      <c r="B230" t="s">
        <v>9</v>
      </c>
      <c r="C230" s="327">
        <f>SUMIFS('INPUT Capacity &amp; Production'!M$291:M$295,'INPUT Capacity &amp; Production'!$B$291:$B$295,$B230)</f>
        <v>0.95</v>
      </c>
      <c r="D230" s="327">
        <f>SUMIFS('INPUT Capacity &amp; Production'!N$291:N$295,'INPUT Capacity &amp; Production'!$B$291:$B$295,$B230)</f>
        <v>0.97190201729106618</v>
      </c>
      <c r="E230" s="327">
        <f>SUMIFS('INPUT Capacity &amp; Production'!O$291:O$295,'INPUT Capacity &amp; Production'!$B$291:$B$295,$B230)</f>
        <v>0.88976945244956762</v>
      </c>
      <c r="F230" s="327">
        <f>SUMIFS('INPUT Capacity &amp; Production'!P$291:P$295,'INPUT Capacity &amp; Production'!$B$291:$B$295,$B230)</f>
        <v>0.77481081081081082</v>
      </c>
      <c r="G230" s="327">
        <f>SUMIFS('INPUT Capacity &amp; Production'!Q$291:Q$295,'INPUT Capacity &amp; Production'!$B$291:$B$295,$B230)</f>
        <v>0.77481081081081082</v>
      </c>
      <c r="H230" s="327">
        <f>SUMIFS('INPUT Capacity &amp; Production'!R$291:R$295,'INPUT Capacity &amp; Production'!$B$291:$B$295,$B230)</f>
        <v>0.75891891891891894</v>
      </c>
    </row>
    <row r="231" spans="2:19" x14ac:dyDescent="0.25">
      <c r="B231" t="s">
        <v>45</v>
      </c>
      <c r="C231" s="327">
        <f>SUMIFS('INPUT Capacity &amp; Production'!M$291:M$295,'INPUT Capacity &amp; Production'!$B$291:$B$295,$B231)</f>
        <v>0</v>
      </c>
      <c r="D231" s="327">
        <f>SUMIFS('INPUT Capacity &amp; Production'!N$291:N$295,'INPUT Capacity &amp; Production'!$B$291:$B$295,$B231)</f>
        <v>0</v>
      </c>
      <c r="E231" s="327">
        <f>SUMIFS('INPUT Capacity &amp; Production'!O$291:O$295,'INPUT Capacity &amp; Production'!$B$291:$B$295,$B231)</f>
        <v>0</v>
      </c>
      <c r="F231" s="327">
        <f>SUMIFS('INPUT Capacity &amp; Production'!P$291:P$295,'INPUT Capacity &amp; Production'!$B$291:$B$295,$B231)</f>
        <v>0</v>
      </c>
      <c r="G231" s="327">
        <f>SUMIFS('INPUT Capacity &amp; Production'!Q$291:Q$295,'INPUT Capacity &amp; Production'!$B$291:$B$295,$B231)</f>
        <v>0</v>
      </c>
      <c r="H231" s="327">
        <f>SUMIFS('INPUT Capacity &amp; Production'!R$291:R$295,'INPUT Capacity &amp; Production'!$B$291:$B$295,$B231)</f>
        <v>0</v>
      </c>
    </row>
    <row r="232" spans="2:19" x14ac:dyDescent="0.25">
      <c r="B232" t="s">
        <v>8</v>
      </c>
      <c r="C232" s="327">
        <f>SUMIFS('INPUT Capacity &amp; Production'!M$291:M$295,'INPUT Capacity &amp; Production'!$B$291:$B$295,$B232)</f>
        <v>0.86</v>
      </c>
      <c r="D232" s="327">
        <f>SUMIFS('INPUT Capacity &amp; Production'!N$291:N$295,'INPUT Capacity &amp; Production'!$B$291:$B$295,$B232)</f>
        <v>0.87982708933717579</v>
      </c>
      <c r="E232" s="327">
        <f>SUMIFS('INPUT Capacity &amp; Production'!O$291:O$295,'INPUT Capacity &amp; Production'!$B$291:$B$295,$B232)</f>
        <v>0.8054755043227666</v>
      </c>
      <c r="F232" s="327">
        <f>SUMIFS('INPUT Capacity &amp; Production'!P$291:P$295,'INPUT Capacity &amp; Production'!$B$291:$B$295,$B232)</f>
        <v>1.3620000000000003</v>
      </c>
      <c r="G232" s="327">
        <f>SUMIFS('INPUT Capacity &amp; Production'!Q$291:Q$295,'INPUT Capacity &amp; Production'!$B$291:$B$295,$B232)</f>
        <v>1.3200000000000003</v>
      </c>
      <c r="H232" s="327">
        <f>SUMIFS('INPUT Capacity &amp; Production'!R$291:R$295,'INPUT Capacity &amp; Production'!$B$291:$B$295,$B232)</f>
        <v>1.3200000000000003</v>
      </c>
      <c r="K232" t="s">
        <v>385</v>
      </c>
    </row>
    <row r="233" spans="2:19" x14ac:dyDescent="0.25">
      <c r="B233" t="s">
        <v>170</v>
      </c>
      <c r="C233" s="327">
        <f>SUMIFS('INPUT Capacity &amp; Production'!M$291:M$295,'INPUT Capacity &amp; Production'!$B$291:$B$295,$B233)</f>
        <v>1.21</v>
      </c>
      <c r="D233" s="327">
        <f>SUMIFS('INPUT Capacity &amp; Production'!N$291:N$295,'INPUT Capacity &amp; Production'!$B$291:$B$295,$B233)</f>
        <v>1.2378962536023055</v>
      </c>
      <c r="E233" s="327">
        <f>SUMIFS('INPUT Capacity &amp; Production'!O$291:O$295,'INPUT Capacity &amp; Production'!$B$291:$B$295,$B233)</f>
        <v>1.13328530259366</v>
      </c>
      <c r="F233" s="327">
        <f>SUMIFS('INPUT Capacity &amp; Production'!P$291:P$295,'INPUT Capacity &amp; Production'!$B$291:$B$295,$B233)</f>
        <v>0.96299999999999997</v>
      </c>
      <c r="G233" s="327">
        <f>SUMIFS('INPUT Capacity &amp; Production'!Q$291:Q$295,'INPUT Capacity &amp; Production'!$B$291:$B$295,$B233)</f>
        <v>0.83199999999999996</v>
      </c>
      <c r="H233" s="327">
        <f>SUMIFS('INPUT Capacity &amp; Production'!R$291:R$295,'INPUT Capacity &amp; Production'!$B$291:$B$295,$B233)</f>
        <v>1.1180000000000001</v>
      </c>
      <c r="K233" s="14" t="s">
        <v>386</v>
      </c>
      <c r="L233" s="15"/>
      <c r="M233" s="15"/>
      <c r="N233" s="15"/>
      <c r="O233" s="15"/>
      <c r="P233" s="15"/>
      <c r="Q233" s="15"/>
      <c r="R233" s="3"/>
    </row>
    <row r="234" spans="2:19" x14ac:dyDescent="0.25">
      <c r="B234" s="8" t="s">
        <v>10</v>
      </c>
      <c r="C234" s="279">
        <f>SUMIFS('INPUT Capacity &amp; Production'!M$291:M$295,'INPUT Capacity &amp; Production'!$B$291:$B$295,$B234)</f>
        <v>0.62</v>
      </c>
      <c r="D234" s="279">
        <f>SUMIFS('INPUT Capacity &amp; Production'!N$291:N$295,'INPUT Capacity &amp; Production'!$B$291:$B$295,$B234)</f>
        <v>0.63429394812680118</v>
      </c>
      <c r="E234" s="279">
        <f>SUMIFS('INPUT Capacity &amp; Production'!O$291:O$295,'INPUT Capacity &amp; Production'!$B$291:$B$295,$B234)</f>
        <v>0.5806916426512968</v>
      </c>
      <c r="F234" s="279">
        <f>SUMIFS('INPUT Capacity &amp; Production'!P$291:P$295,'INPUT Capacity &amp; Production'!$B$291:$B$295,$B234)</f>
        <v>0.1360000000000007</v>
      </c>
      <c r="G234" s="279">
        <f>SUMIFS('INPUT Capacity &amp; Production'!Q$291:Q$295,'INPUT Capacity &amp; Production'!$B$291:$B$295,$B234)</f>
        <v>0</v>
      </c>
      <c r="H234" s="279">
        <f>SUMIFS('INPUT Capacity &amp; Production'!R$291:R$295,'INPUT Capacity &amp; Production'!$B$291:$B$295,$B234)</f>
        <v>0</v>
      </c>
      <c r="K234" s="4">
        <v>2012</v>
      </c>
      <c r="L234">
        <v>2015</v>
      </c>
      <c r="M234">
        <v>2016</v>
      </c>
      <c r="N234">
        <v>2017</v>
      </c>
      <c r="R234" s="5"/>
    </row>
    <row r="235" spans="2:19" x14ac:dyDescent="0.25">
      <c r="B235" s="18" t="s">
        <v>388</v>
      </c>
      <c r="C235" s="329">
        <f>SUM(C229:C234)</f>
        <v>6.94</v>
      </c>
      <c r="D235" s="18"/>
      <c r="E235" s="18"/>
      <c r="F235" s="329">
        <f>SUM(F229:F234)</f>
        <v>6.4000000000000012</v>
      </c>
      <c r="G235" s="329">
        <f>SUM(G229:G234)</f>
        <v>6.0910000000000002</v>
      </c>
      <c r="H235" s="329">
        <f>SUM(H229:H234)</f>
        <v>6.23</v>
      </c>
      <c r="K235" s="331">
        <v>3904276</v>
      </c>
      <c r="L235" s="324">
        <v>3907513</v>
      </c>
      <c r="M235" s="332">
        <v>3498862.4886730551</v>
      </c>
      <c r="N235" s="332">
        <v>3426152.5033293515</v>
      </c>
      <c r="O235" t="s">
        <v>24</v>
      </c>
      <c r="Q235" s="17"/>
      <c r="R235" s="263"/>
      <c r="S235" s="122"/>
    </row>
    <row r="236" spans="2:19" x14ac:dyDescent="0.25">
      <c r="B236" t="s">
        <v>381</v>
      </c>
      <c r="C236" s="329">
        <f>(K236+K235)/1000000</f>
        <v>7.8085519999999997</v>
      </c>
      <c r="E236" s="18"/>
      <c r="F236" s="318">
        <f>(L236+L235)/1000000</f>
        <v>6.3981000000000003</v>
      </c>
      <c r="G236" s="318">
        <f>(M236+M235)/1000000</f>
        <v>6.5385644428665914</v>
      </c>
      <c r="H236" s="318">
        <f>(N236+N235)/1000000</f>
        <v>6.3466660390891816</v>
      </c>
      <c r="K236" s="331">
        <v>3904276</v>
      </c>
      <c r="L236" s="324">
        <v>2490587</v>
      </c>
      <c r="M236" s="324">
        <v>3039701.9541935371</v>
      </c>
      <c r="N236" s="324">
        <v>2920513.5357598299</v>
      </c>
      <c r="O236" t="s">
        <v>1</v>
      </c>
      <c r="P236">
        <f>N236/SUM(N235:N236)</f>
        <v>0.46016499336381606</v>
      </c>
      <c r="Q236" s="17"/>
      <c r="R236" s="263"/>
      <c r="S236" s="122"/>
    </row>
    <row r="237" spans="2:19" x14ac:dyDescent="0.25">
      <c r="K237" s="4"/>
      <c r="R237" s="5"/>
    </row>
    <row r="238" spans="2:19" x14ac:dyDescent="0.25">
      <c r="B238" s="18" t="s">
        <v>379</v>
      </c>
      <c r="C238" s="18" t="s">
        <v>377</v>
      </c>
      <c r="K238" s="4" t="s">
        <v>382</v>
      </c>
      <c r="R238" s="5"/>
    </row>
    <row r="239" spans="2:19" x14ac:dyDescent="0.25">
      <c r="B239" t="s">
        <v>7</v>
      </c>
      <c r="C239" s="321">
        <f t="shared" ref="C239:C244" si="23">C229*$C219</f>
        <v>9.2729999999999997</v>
      </c>
      <c r="D239" s="321"/>
      <c r="E239" s="321"/>
      <c r="F239" s="321">
        <f t="shared" ref="F239:H244" si="24">F229*$C219</f>
        <v>8.8913716216216212</v>
      </c>
      <c r="G239" s="321">
        <f t="shared" si="24"/>
        <v>8.8913716216216212</v>
      </c>
      <c r="H239" s="321">
        <f t="shared" si="24"/>
        <v>8.5229578378378363</v>
      </c>
      <c r="K239" s="333">
        <v>15020.696860000002</v>
      </c>
      <c r="L239" s="334">
        <v>14093.548470927624</v>
      </c>
      <c r="M239" s="334">
        <v>14829.058053603329</v>
      </c>
      <c r="N239" s="334">
        <v>15074.336748610733</v>
      </c>
      <c r="R239" s="5"/>
    </row>
    <row r="240" spans="2:19" x14ac:dyDescent="0.25">
      <c r="B240" t="s">
        <v>9</v>
      </c>
      <c r="C240" s="321">
        <f t="shared" si="23"/>
        <v>1.5247499999999998</v>
      </c>
      <c r="D240" s="321"/>
      <c r="E240" s="321"/>
      <c r="F240" s="321">
        <f t="shared" si="24"/>
        <v>1.2435713513513513</v>
      </c>
      <c r="G240" s="321">
        <f t="shared" si="24"/>
        <v>1.2435713513513513</v>
      </c>
      <c r="H240" s="321">
        <f t="shared" si="24"/>
        <v>1.2180648648648649</v>
      </c>
      <c r="K240" s="4"/>
      <c r="R240" s="5"/>
    </row>
    <row r="241" spans="2:21" x14ac:dyDescent="0.25">
      <c r="B241" t="s">
        <v>45</v>
      </c>
      <c r="C241" s="321">
        <f t="shared" si="23"/>
        <v>0</v>
      </c>
      <c r="D241" s="321"/>
      <c r="E241" s="321"/>
      <c r="F241" s="321">
        <f t="shared" si="24"/>
        <v>0</v>
      </c>
      <c r="G241" s="321">
        <f t="shared" si="24"/>
        <v>0</v>
      </c>
      <c r="H241" s="321">
        <f t="shared" si="24"/>
        <v>0</v>
      </c>
      <c r="K241" s="335">
        <f>K239*1000/SUM(K235:K236)</f>
        <v>1.9236212885564443</v>
      </c>
      <c r="L241" s="321">
        <f>L239*1000/SUM(L235:L236)</f>
        <v>2.2027708961922485</v>
      </c>
      <c r="M241" s="321">
        <f>M239*1000/SUM(M235:M236)</f>
        <v>2.267937891134721</v>
      </c>
      <c r="N241" s="321">
        <f>N239*1000/SUM(N235:N236)</f>
        <v>2.3751583360094477</v>
      </c>
      <c r="R241" s="5"/>
    </row>
    <row r="242" spans="2:21" x14ac:dyDescent="0.25">
      <c r="B242" t="s">
        <v>8</v>
      </c>
      <c r="C242" s="321">
        <f t="shared" si="23"/>
        <v>6.88E-2</v>
      </c>
      <c r="D242" s="321"/>
      <c r="E242" s="321"/>
      <c r="F242" s="321">
        <f t="shared" si="24"/>
        <v>0.10896000000000003</v>
      </c>
      <c r="G242" s="321">
        <f t="shared" si="24"/>
        <v>0.10560000000000003</v>
      </c>
      <c r="H242" s="321">
        <f t="shared" si="24"/>
        <v>0.10560000000000003</v>
      </c>
      <c r="K242" s="4"/>
      <c r="R242" s="5"/>
    </row>
    <row r="243" spans="2:21" x14ac:dyDescent="0.25">
      <c r="B243" t="s">
        <v>170</v>
      </c>
      <c r="C243" s="321">
        <f t="shared" si="23"/>
        <v>2.5733242857142855</v>
      </c>
      <c r="D243" s="321"/>
      <c r="E243" s="321"/>
      <c r="F243" s="321">
        <f t="shared" si="24"/>
        <v>2.0480258571428571</v>
      </c>
      <c r="G243" s="321">
        <f t="shared" si="24"/>
        <v>1.7694262857142857</v>
      </c>
      <c r="H243" s="321">
        <f t="shared" si="24"/>
        <v>2.3776665714285716</v>
      </c>
      <c r="K243" s="4"/>
      <c r="R243" s="5"/>
    </row>
    <row r="244" spans="2:21" x14ac:dyDescent="0.25">
      <c r="B244" s="8" t="s">
        <v>10</v>
      </c>
      <c r="C244" s="330">
        <f t="shared" si="23"/>
        <v>0.95479999999999998</v>
      </c>
      <c r="D244" s="330"/>
      <c r="E244" s="330"/>
      <c r="F244" s="330">
        <f t="shared" si="24"/>
        <v>0.2094400000000011</v>
      </c>
      <c r="G244" s="330">
        <f t="shared" si="24"/>
        <v>0</v>
      </c>
      <c r="H244" s="330">
        <f t="shared" si="24"/>
        <v>0</v>
      </c>
      <c r="K244" s="4"/>
      <c r="L244">
        <v>2012</v>
      </c>
      <c r="M244">
        <v>2013</v>
      </c>
      <c r="N244">
        <v>2014</v>
      </c>
      <c r="O244">
        <v>2015</v>
      </c>
      <c r="P244">
        <v>2016</v>
      </c>
      <c r="Q244">
        <v>2017</v>
      </c>
      <c r="R244" s="5"/>
    </row>
    <row r="245" spans="2:21" x14ac:dyDescent="0.25">
      <c r="B245" s="18" t="s">
        <v>388</v>
      </c>
      <c r="C245" s="328">
        <f>SUM(C239:C244)</f>
        <v>14.394674285714284</v>
      </c>
      <c r="D245" s="328"/>
      <c r="E245" s="328"/>
      <c r="F245" s="328">
        <f>SUM(F239:F244)</f>
        <v>12.50136883011583</v>
      </c>
      <c r="G245" s="328">
        <f>SUM(G239:G244)</f>
        <v>12.009969258687258</v>
      </c>
      <c r="H245" s="328">
        <f>SUM(H239:H244)</f>
        <v>12.224289274131273</v>
      </c>
      <c r="K245" s="4" t="s">
        <v>24</v>
      </c>
      <c r="L245">
        <v>5700.2429599999996</v>
      </c>
      <c r="M245">
        <v>6237.0440799999997</v>
      </c>
      <c r="N245">
        <v>5289.4471399999993</v>
      </c>
      <c r="O245">
        <v>5704.9689799999996</v>
      </c>
      <c r="P245">
        <v>5108.3392334626606</v>
      </c>
      <c r="Q245">
        <v>5002.1826548608533</v>
      </c>
      <c r="R245" s="5"/>
      <c r="T245" t="s">
        <v>7</v>
      </c>
      <c r="U245">
        <f>Q245+Q248</f>
        <v>11650.511454860854</v>
      </c>
    </row>
    <row r="246" spans="2:21" x14ac:dyDescent="0.25">
      <c r="B246" t="s">
        <v>380</v>
      </c>
      <c r="C246" s="328">
        <f>L253/1000</f>
        <v>15.020696860000001</v>
      </c>
      <c r="F246" s="328">
        <f>O253/1000</f>
        <v>14.093548470927624</v>
      </c>
      <c r="G246" s="328">
        <f>P253/1000</f>
        <v>14.829058053603328</v>
      </c>
      <c r="H246" s="328">
        <f>Q253/1000</f>
        <v>15.074336748610733</v>
      </c>
      <c r="K246" s="4" t="s">
        <v>1</v>
      </c>
      <c r="L246">
        <v>312.34208000000001</v>
      </c>
      <c r="M246">
        <v>263.42958532513273</v>
      </c>
      <c r="N246">
        <v>223.14328</v>
      </c>
      <c r="O246">
        <v>199.24696</v>
      </c>
      <c r="P246">
        <v>243.17615633548297</v>
      </c>
      <c r="Q246">
        <v>233.64108286078641</v>
      </c>
      <c r="R246" s="5"/>
      <c r="T246" t="s">
        <v>9</v>
      </c>
      <c r="U246">
        <f>Q246+Q249</f>
        <v>2982.2315072950119</v>
      </c>
    </row>
    <row r="247" spans="2:21" x14ac:dyDescent="0.25">
      <c r="H247" s="321">
        <f>H246-H245</f>
        <v>2.8500474744794602</v>
      </c>
      <c r="K247" s="4" t="s">
        <v>398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5"/>
    </row>
    <row r="248" spans="2:21" x14ac:dyDescent="0.25">
      <c r="K248" s="4" t="s">
        <v>34</v>
      </c>
      <c r="L248">
        <v>6208.6702500000001</v>
      </c>
      <c r="M248">
        <v>6652.1925000000001</v>
      </c>
      <c r="N248">
        <v>5942.3409000000001</v>
      </c>
      <c r="O248">
        <v>6026.0746500000005</v>
      </c>
      <c r="P248">
        <v>6278.7447000000002</v>
      </c>
      <c r="Q248">
        <v>6648.3288000000011</v>
      </c>
      <c r="R248" s="5"/>
    </row>
    <row r="249" spans="2:21" x14ac:dyDescent="0.25">
      <c r="B249" t="s">
        <v>383</v>
      </c>
      <c r="K249" s="4" t="s">
        <v>20</v>
      </c>
      <c r="L249">
        <v>2277.4654999999998</v>
      </c>
      <c r="M249">
        <v>1974.875</v>
      </c>
      <c r="N249">
        <v>2457.5832500000001</v>
      </c>
      <c r="O249">
        <v>1715.5807749999999</v>
      </c>
      <c r="P249">
        <v>2754.2520298699405</v>
      </c>
      <c r="Q249">
        <v>2748.5904244342255</v>
      </c>
      <c r="R249" s="5"/>
    </row>
    <row r="250" spans="2:21" x14ac:dyDescent="0.25">
      <c r="B250" t="s">
        <v>384</v>
      </c>
      <c r="C250" s="268">
        <f>C245/C235</f>
        <v>2.0741605599011934</v>
      </c>
      <c r="D250" s="268"/>
      <c r="E250" s="268"/>
      <c r="F250" s="268">
        <f>F245/F235</f>
        <v>1.9533388797055979</v>
      </c>
      <c r="G250" s="268">
        <f>G245/G235</f>
        <v>1.9717565684924081</v>
      </c>
      <c r="H250" s="268">
        <f>H245/H235</f>
        <v>1.9621652125411351</v>
      </c>
      <c r="K250" s="4" t="s">
        <v>362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5"/>
    </row>
    <row r="251" spans="2:21" x14ac:dyDescent="0.25">
      <c r="B251" t="s">
        <v>385</v>
      </c>
      <c r="C251" s="321">
        <f>K241</f>
        <v>1.9236212885564443</v>
      </c>
      <c r="F251" s="321">
        <f>L241</f>
        <v>2.2027708961922485</v>
      </c>
      <c r="G251" s="321">
        <f>M241</f>
        <v>2.267937891134721</v>
      </c>
      <c r="H251" s="321">
        <f>N241</f>
        <v>2.3751583360094477</v>
      </c>
      <c r="K251" s="4" t="s">
        <v>363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s="5"/>
    </row>
    <row r="252" spans="2:21" x14ac:dyDescent="0.25">
      <c r="K252" s="4" t="s">
        <v>18</v>
      </c>
      <c r="L252">
        <v>521.97607000000005</v>
      </c>
      <c r="M252">
        <v>454.57380473021976</v>
      </c>
      <c r="N252">
        <v>451.01042502736851</v>
      </c>
      <c r="O252">
        <v>447.67710592762421</v>
      </c>
      <c r="P252">
        <v>444.54593393524567</v>
      </c>
      <c r="Q252">
        <v>441.59378645486481</v>
      </c>
      <c r="R252" s="5"/>
    </row>
    <row r="253" spans="2:21" x14ac:dyDescent="0.25">
      <c r="K253" s="4" t="s">
        <v>397</v>
      </c>
      <c r="L253">
        <f t="shared" ref="L253:Q253" si="25">SUM(L245:L252)</f>
        <v>15020.696860000002</v>
      </c>
      <c r="M253">
        <f t="shared" si="25"/>
        <v>15582.114970055352</v>
      </c>
      <c r="N253">
        <f t="shared" si="25"/>
        <v>14363.524995027368</v>
      </c>
      <c r="O253">
        <f t="shared" si="25"/>
        <v>14093.548470927624</v>
      </c>
      <c r="P253">
        <f t="shared" si="25"/>
        <v>14829.058053603329</v>
      </c>
      <c r="Q253">
        <f t="shared" si="25"/>
        <v>15074.336748610733</v>
      </c>
      <c r="R253" s="5"/>
    </row>
    <row r="254" spans="2:21" x14ac:dyDescent="0.25">
      <c r="K254" s="4"/>
      <c r="R254" s="5"/>
    </row>
    <row r="255" spans="2:21" x14ac:dyDescent="0.25">
      <c r="K255" s="4"/>
      <c r="R255" s="5"/>
    </row>
    <row r="256" spans="2:21" x14ac:dyDescent="0.25">
      <c r="K256" s="7"/>
      <c r="L256" s="8"/>
      <c r="M256" s="8"/>
      <c r="N256" s="8"/>
      <c r="O256" s="8"/>
      <c r="P256" s="8"/>
      <c r="Q256" s="8"/>
      <c r="R256" s="9"/>
    </row>
    <row r="260" spans="2:7" x14ac:dyDescent="0.25">
      <c r="B260" s="18" t="s">
        <v>514</v>
      </c>
    </row>
    <row r="261" spans="2:7" x14ac:dyDescent="0.25">
      <c r="D261" t="s">
        <v>512</v>
      </c>
      <c r="F261" t="s">
        <v>732</v>
      </c>
    </row>
    <row r="262" spans="2:7" x14ac:dyDescent="0.25">
      <c r="B262" t="s">
        <v>7</v>
      </c>
      <c r="C262" t="s">
        <v>167</v>
      </c>
      <c r="D262">
        <f>SUMIFS('INPUT Energy and Emissions'!$C$219:$C$224,'INPUT Energy and Emissions'!$B$219:$B$224,B262)</f>
        <v>2.81</v>
      </c>
    </row>
    <row r="263" spans="2:7" x14ac:dyDescent="0.25">
      <c r="B263" t="s">
        <v>170</v>
      </c>
      <c r="C263" t="s">
        <v>169</v>
      </c>
      <c r="D263" s="268">
        <f>SUMIFS('INPUT Energy and Emissions'!$C$219:$C$224,'INPUT Energy and Emissions'!$B$219:$B$224,B263)</f>
        <v>2.1267142857142858</v>
      </c>
    </row>
    <row r="264" spans="2:7" x14ac:dyDescent="0.25">
      <c r="B264" t="s">
        <v>9</v>
      </c>
      <c r="C264" t="s">
        <v>172</v>
      </c>
      <c r="D264" s="268">
        <f>SUMIFS('INPUT Energy and Emissions'!$C$219:$C$224,'INPUT Energy and Emissions'!$B$219:$B$224,B264)</f>
        <v>1.605</v>
      </c>
    </row>
    <row r="265" spans="2:7" x14ac:dyDescent="0.25">
      <c r="B265" t="s">
        <v>10</v>
      </c>
      <c r="C265" t="s">
        <v>176</v>
      </c>
      <c r="D265">
        <f>SUMIFS('INPUT Energy and Emissions'!$C$219:$C$224,'INPUT Energy and Emissions'!$B$219:$B$224,B265)</f>
        <v>1.54</v>
      </c>
    </row>
    <row r="266" spans="2:7" x14ac:dyDescent="0.25">
      <c r="B266" t="s">
        <v>8</v>
      </c>
      <c r="C266" t="s">
        <v>178</v>
      </c>
      <c r="D266">
        <f>SUMIFS('INPUT Energy and Emissions'!$C$219:$C$224,'INPUT Energy and Emissions'!$B$219:$B$224,B266)</f>
        <v>0.08</v>
      </c>
    </row>
    <row r="268" spans="2:7" x14ac:dyDescent="0.25">
      <c r="B268" s="16" t="s">
        <v>1249</v>
      </c>
    </row>
    <row r="270" spans="2:7" x14ac:dyDescent="0.25">
      <c r="B270" s="564" t="s">
        <v>1162</v>
      </c>
      <c r="C270" s="574"/>
    </row>
    <row r="271" spans="2:7" x14ac:dyDescent="0.25">
      <c r="B271" s="574" t="s">
        <v>1142</v>
      </c>
      <c r="C271" s="574" t="str">
        <f>"ENV_ACT~"&amp;G272</f>
        <v>ENV_ACT~CO2SP</v>
      </c>
    </row>
    <row r="272" spans="2:7" x14ac:dyDescent="0.25">
      <c r="B272" t="s">
        <v>167</v>
      </c>
      <c r="C272">
        <f>D262*1000</f>
        <v>2810</v>
      </c>
      <c r="G272" t="s">
        <v>1103</v>
      </c>
    </row>
    <row r="273" spans="2:3" x14ac:dyDescent="0.25">
      <c r="B273" t="s">
        <v>515</v>
      </c>
      <c r="C273">
        <f>C272</f>
        <v>2810</v>
      </c>
    </row>
    <row r="274" spans="2:3" x14ac:dyDescent="0.25">
      <c r="B274" t="s">
        <v>169</v>
      </c>
      <c r="C274" s="428">
        <f>D263*1000</f>
        <v>2126.7142857142858</v>
      </c>
    </row>
    <row r="275" spans="2:3" x14ac:dyDescent="0.25">
      <c r="B275" t="s">
        <v>172</v>
      </c>
      <c r="C275" s="428">
        <f>D264*1000</f>
        <v>1605</v>
      </c>
    </row>
    <row r="276" spans="2:3" x14ac:dyDescent="0.25">
      <c r="B276" t="s">
        <v>516</v>
      </c>
      <c r="C276" s="428">
        <f>C275</f>
        <v>1605</v>
      </c>
    </row>
    <row r="277" spans="2:3" x14ac:dyDescent="0.25">
      <c r="B277" t="s">
        <v>517</v>
      </c>
      <c r="C277" s="428">
        <f>C276</f>
        <v>1605</v>
      </c>
    </row>
    <row r="278" spans="2:3" x14ac:dyDescent="0.25">
      <c r="B278" t="s">
        <v>176</v>
      </c>
      <c r="C278">
        <f>D265*1000</f>
        <v>1540</v>
      </c>
    </row>
    <row r="279" spans="2:3" x14ac:dyDescent="0.25">
      <c r="B279" t="s">
        <v>178</v>
      </c>
      <c r="C279">
        <f>D266*1000</f>
        <v>80</v>
      </c>
    </row>
    <row r="280" spans="2:3" x14ac:dyDescent="0.25">
      <c r="B280" t="s">
        <v>518</v>
      </c>
      <c r="C280">
        <f>C279</f>
        <v>80</v>
      </c>
    </row>
  </sheetData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"/>
  <sheetViews>
    <sheetView zoomScale="70" zoomScaleNormal="70" workbookViewId="0">
      <selection activeCell="A3" sqref="A3:X89"/>
    </sheetView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K334"/>
  <sheetViews>
    <sheetView topLeftCell="A21" zoomScaleNormal="100" workbookViewId="0">
      <selection activeCell="H55" sqref="H55"/>
    </sheetView>
  </sheetViews>
  <sheetFormatPr defaultRowHeight="15" x14ac:dyDescent="0.25"/>
  <cols>
    <col min="2" max="2" width="15.85546875" customWidth="1"/>
    <col min="3" max="3" width="20.7109375" customWidth="1"/>
    <col min="4" max="4" width="35.57031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157</v>
      </c>
      <c r="D5" s="94" t="s">
        <v>347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349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348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182</v>
      </c>
      <c r="I7" s="13"/>
      <c r="J7" s="13"/>
      <c r="K7" s="13"/>
      <c r="L7" s="13"/>
      <c r="M7" s="255" t="s">
        <v>183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159</v>
      </c>
      <c r="C8" s="105" t="s">
        <v>160</v>
      </c>
      <c r="D8" s="105" t="s">
        <v>161</v>
      </c>
      <c r="E8" s="105" t="s">
        <v>162</v>
      </c>
      <c r="F8" s="105" t="s">
        <v>189</v>
      </c>
      <c r="I8" s="13"/>
      <c r="M8" s="256" t="s">
        <v>163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164</v>
      </c>
      <c r="C9" s="106"/>
      <c r="D9" s="106"/>
      <c r="E9" s="106"/>
      <c r="G9" s="600" t="s">
        <v>582</v>
      </c>
      <c r="H9" s="600"/>
      <c r="I9" s="600"/>
      <c r="J9" s="600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165</v>
      </c>
      <c r="C10" s="100" t="s">
        <v>166</v>
      </c>
      <c r="D10" s="100" t="s">
        <v>16</v>
      </c>
      <c r="E10" s="100" t="s">
        <v>24</v>
      </c>
      <c r="F10" t="s">
        <v>7</v>
      </c>
      <c r="G10" s="352" t="s">
        <v>481</v>
      </c>
      <c r="H10" s="403">
        <f>(110+150)*12/1000</f>
        <v>3.12</v>
      </c>
      <c r="I10" s="406" t="s">
        <v>482</v>
      </c>
      <c r="J10" s="405">
        <f>250*12/1000</f>
        <v>3</v>
      </c>
      <c r="K10" s="13" t="s">
        <v>501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165</v>
      </c>
      <c r="C11" s="100" t="s">
        <v>166</v>
      </c>
      <c r="D11" s="100" t="s">
        <v>168</v>
      </c>
      <c r="E11" s="100" t="s">
        <v>1</v>
      </c>
      <c r="F11" t="s">
        <v>9</v>
      </c>
      <c r="G11" s="353" t="s">
        <v>505</v>
      </c>
      <c r="H11" s="404">
        <f>(87.5+29.2)*12/1000</f>
        <v>1.4004000000000001</v>
      </c>
      <c r="I11" s="406" t="s">
        <v>483</v>
      </c>
      <c r="J11" s="403">
        <f>120*12/1000</f>
        <v>1.44</v>
      </c>
      <c r="K11" s="13" t="s">
        <v>501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165</v>
      </c>
      <c r="C12" s="100" t="s">
        <v>171</v>
      </c>
      <c r="D12" s="100" t="s">
        <v>16</v>
      </c>
      <c r="E12" s="100" t="s">
        <v>24</v>
      </c>
      <c r="F12" t="s">
        <v>7</v>
      </c>
      <c r="G12" s="352" t="s">
        <v>484</v>
      </c>
      <c r="I12" s="352" t="s">
        <v>482</v>
      </c>
      <c r="K12" s="13" t="s">
        <v>500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165</v>
      </c>
      <c r="C13" s="100" t="s">
        <v>174</v>
      </c>
      <c r="D13" s="100" t="s">
        <v>175</v>
      </c>
      <c r="E13" s="100" t="s">
        <v>1</v>
      </c>
      <c r="F13" t="s">
        <v>8</v>
      </c>
      <c r="K13" s="13" t="s">
        <v>500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738</v>
      </c>
      <c r="X13" s="13"/>
      <c r="Y13" s="13"/>
      <c r="Z13" s="13"/>
      <c r="AD13" s="13"/>
    </row>
    <row r="14" spans="1:30" x14ac:dyDescent="0.25">
      <c r="B14" s="109" t="s">
        <v>165</v>
      </c>
      <c r="C14" s="100" t="s">
        <v>177</v>
      </c>
      <c r="D14" s="100" t="s">
        <v>93</v>
      </c>
      <c r="E14" s="100" t="s">
        <v>95</v>
      </c>
      <c r="F14" s="116" t="s">
        <v>170</v>
      </c>
      <c r="K14" s="13" t="s">
        <v>501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165</v>
      </c>
      <c r="C15" s="100" t="s">
        <v>177</v>
      </c>
      <c r="D15" s="100" t="s">
        <v>168</v>
      </c>
      <c r="E15" s="101" t="s">
        <v>95</v>
      </c>
      <c r="F15" s="116" t="s">
        <v>170</v>
      </c>
      <c r="K15" s="13" t="s">
        <v>501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179</v>
      </c>
      <c r="C16" s="100" t="s">
        <v>180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53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579</v>
      </c>
      <c r="X16" s="13"/>
      <c r="Y16" s="13"/>
      <c r="Z16" s="13"/>
      <c r="AA16" s="13"/>
      <c r="AB16" s="13"/>
      <c r="AC16" s="13"/>
      <c r="AD16" s="13"/>
    </row>
    <row r="17" spans="1:30" x14ac:dyDescent="0.25">
      <c r="B17" s="109" t="s">
        <v>181</v>
      </c>
      <c r="C17" s="100"/>
      <c r="D17" s="100" t="s">
        <v>175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53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1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1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1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1:30" ht="26.25" x14ac:dyDescent="0.4">
      <c r="A22" s="2" t="s">
        <v>1242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1:30" ht="26.25" x14ac:dyDescent="0.4">
      <c r="A23" s="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1:30" ht="18.75" x14ac:dyDescent="0.3">
      <c r="B24" s="112" t="s">
        <v>1155</v>
      </c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1:30" x14ac:dyDescent="0.25"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1:30" x14ac:dyDescent="0.25">
      <c r="C26" s="567" t="s">
        <v>1141</v>
      </c>
      <c r="D26" s="568"/>
      <c r="E26" s="568"/>
      <c r="F26" s="568"/>
      <c r="G26" s="568"/>
      <c r="H26" s="568"/>
      <c r="I26" s="568"/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1:30" x14ac:dyDescent="0.25">
      <c r="C27" s="569" t="s">
        <v>1142</v>
      </c>
      <c r="D27" s="569" t="s">
        <v>1143</v>
      </c>
      <c r="E27" s="569" t="s">
        <v>1144</v>
      </c>
      <c r="F27" s="569" t="s">
        <v>1145</v>
      </c>
      <c r="G27" s="569" t="s">
        <v>1146</v>
      </c>
      <c r="H27" s="569" t="s">
        <v>1147</v>
      </c>
      <c r="I27" s="569" t="s">
        <v>1148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1:30" x14ac:dyDescent="0.25">
      <c r="C28" t="s">
        <v>167</v>
      </c>
      <c r="D28" t="str">
        <f>"Industry - I&amp;S - "&amp;J28&amp;"-Existing"</f>
        <v>Industry - I&amp;S - BFBOF-Existing</v>
      </c>
      <c r="E28" t="s">
        <v>140</v>
      </c>
      <c r="F28" t="s">
        <v>1153</v>
      </c>
      <c r="G28" t="s">
        <v>980</v>
      </c>
      <c r="H28" t="s">
        <v>1154</v>
      </c>
      <c r="J28" t="s">
        <v>0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1:30" x14ac:dyDescent="0.25">
      <c r="C29" t="s">
        <v>172</v>
      </c>
      <c r="D29" t="str">
        <f t="shared" ref="D29:D32" si="4">"Industry - I&amp;S - "&amp;J29&amp;"-Existing"</f>
        <v>Industry - I&amp;S - DRIEAF-Existing</v>
      </c>
      <c r="E29" t="s">
        <v>140</v>
      </c>
      <c r="F29" t="s">
        <v>1153</v>
      </c>
      <c r="G29" t="s">
        <v>980</v>
      </c>
      <c r="H29" t="s">
        <v>1154</v>
      </c>
      <c r="J29" t="s">
        <v>1152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1:30" x14ac:dyDescent="0.25">
      <c r="C30" t="s">
        <v>169</v>
      </c>
      <c r="D30" t="str">
        <f t="shared" si="4"/>
        <v>Industry - I&amp;S - Corex EAF-Existing</v>
      </c>
      <c r="E30" t="s">
        <v>140</v>
      </c>
      <c r="F30" t="s">
        <v>1153</v>
      </c>
      <c r="G30" t="s">
        <v>980</v>
      </c>
      <c r="H30" t="s">
        <v>1154</v>
      </c>
      <c r="J30" t="s">
        <v>1151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1:30" x14ac:dyDescent="0.25">
      <c r="C31" t="s">
        <v>176</v>
      </c>
      <c r="D31" t="str">
        <f t="shared" si="4"/>
        <v>Industry - I&amp;S - Other EAF-Existing</v>
      </c>
      <c r="E31" t="s">
        <v>140</v>
      </c>
      <c r="F31" t="s">
        <v>1153</v>
      </c>
      <c r="G31" t="s">
        <v>980</v>
      </c>
      <c r="H31" t="s">
        <v>1154</v>
      </c>
      <c r="J31" t="s">
        <v>1150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x14ac:dyDescent="0.25">
      <c r="C32" t="s">
        <v>178</v>
      </c>
      <c r="D32" t="str">
        <f t="shared" si="4"/>
        <v>Industry - I&amp;S - Scrap EAF-Existing</v>
      </c>
      <c r="E32" t="s">
        <v>140</v>
      </c>
      <c r="F32" t="s">
        <v>1153</v>
      </c>
      <c r="G32" t="s">
        <v>980</v>
      </c>
      <c r="H32" t="s">
        <v>1154</v>
      </c>
      <c r="J32" t="s">
        <v>1149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C33" s="99" t="s">
        <v>1101</v>
      </c>
      <c r="D33" s="99" t="s">
        <v>1160</v>
      </c>
      <c r="E33" t="s">
        <v>140</v>
      </c>
      <c r="F33" t="s">
        <v>1153</v>
      </c>
      <c r="G33" t="s">
        <v>980</v>
      </c>
      <c r="H33" t="s">
        <v>1154</v>
      </c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x14ac:dyDescent="0.25"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ht="18.75" x14ac:dyDescent="0.3">
      <c r="B36" s="112" t="s">
        <v>1156</v>
      </c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67" t="s">
        <v>1141</v>
      </c>
      <c r="D39" s="568"/>
      <c r="E39" s="568"/>
      <c r="F39" s="568"/>
      <c r="G39" s="568"/>
      <c r="H39" s="568"/>
      <c r="I39" s="568"/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569" t="s">
        <v>1142</v>
      </c>
      <c r="D40" s="569" t="s">
        <v>1143</v>
      </c>
      <c r="E40" s="569" t="s">
        <v>1144</v>
      </c>
      <c r="F40" s="569" t="s">
        <v>1145</v>
      </c>
      <c r="G40" s="569" t="s">
        <v>1146</v>
      </c>
      <c r="H40" s="569" t="s">
        <v>1147</v>
      </c>
      <c r="I40" s="569" t="s">
        <v>1148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515</v>
      </c>
      <c r="D41" s="99" t="s">
        <v>1241</v>
      </c>
      <c r="E41" t="s">
        <v>140</v>
      </c>
      <c r="F41" t="s">
        <v>1153</v>
      </c>
      <c r="G41" t="s">
        <v>980</v>
      </c>
      <c r="H41" t="s">
        <v>1154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1188</v>
      </c>
      <c r="D42" s="99" t="s">
        <v>1157</v>
      </c>
      <c r="E42" t="s">
        <v>140</v>
      </c>
      <c r="F42" t="s">
        <v>1153</v>
      </c>
      <c r="G42" t="s">
        <v>980</v>
      </c>
      <c r="H42" t="s">
        <v>1154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517</v>
      </c>
      <c r="D43" s="99" t="s">
        <v>1158</v>
      </c>
      <c r="E43" t="s">
        <v>140</v>
      </c>
      <c r="F43" t="s">
        <v>1153</v>
      </c>
      <c r="G43" t="s">
        <v>980</v>
      </c>
      <c r="H43" t="s">
        <v>1154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99" t="s">
        <v>518</v>
      </c>
      <c r="D44" s="99" t="s">
        <v>1159</v>
      </c>
      <c r="E44" t="s">
        <v>140</v>
      </c>
      <c r="F44" t="s">
        <v>1153</v>
      </c>
      <c r="G44" t="s">
        <v>980</v>
      </c>
      <c r="H44" t="s">
        <v>1154</v>
      </c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x14ac:dyDescent="0.25">
      <c r="C47" s="567" t="s">
        <v>1162</v>
      </c>
      <c r="D47" s="569"/>
      <c r="E47" s="569"/>
      <c r="F47" s="13"/>
      <c r="G47" s="13"/>
      <c r="H47" s="13"/>
      <c r="I47" s="13"/>
      <c r="J47" s="13"/>
      <c r="K47" s="13"/>
      <c r="L47" s="13"/>
      <c r="M47" s="241"/>
      <c r="N47" s="13"/>
      <c r="O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C48" s="569" t="s">
        <v>1142</v>
      </c>
      <c r="D48" s="569" t="s">
        <v>1278</v>
      </c>
      <c r="E48" s="569" t="s">
        <v>982</v>
      </c>
      <c r="F48" s="13"/>
      <c r="G48" s="13"/>
      <c r="H48" s="13"/>
      <c r="I48" s="13"/>
      <c r="J48" s="13"/>
      <c r="K48" s="13"/>
      <c r="L48" s="13"/>
      <c r="M48" s="241"/>
      <c r="N48" s="13"/>
      <c r="O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spans="2:33" x14ac:dyDescent="0.25">
      <c r="C49" t="str">
        <f>C41</f>
        <v>IISBFBOF-N</v>
      </c>
      <c r="D49" s="13">
        <v>0.85</v>
      </c>
      <c r="E49" s="13">
        <v>2028</v>
      </c>
      <c r="F49" s="13"/>
      <c r="G49" s="13"/>
      <c r="H49" s="13"/>
      <c r="I49" s="13"/>
      <c r="J49" s="13"/>
      <c r="K49" s="13"/>
      <c r="L49" s="13"/>
      <c r="M49" s="241"/>
      <c r="N49" s="13"/>
      <c r="O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spans="2:33" x14ac:dyDescent="0.25">
      <c r="C50" t="str">
        <f>C42</f>
        <v>*IISDRIEAF-NC</v>
      </c>
      <c r="D50" s="13">
        <v>0.85</v>
      </c>
      <c r="E50" s="13"/>
      <c r="F50" s="13"/>
      <c r="G50" s="13"/>
      <c r="H50" s="13"/>
      <c r="I50" s="13"/>
      <c r="J50" s="13"/>
      <c r="K50" s="13"/>
      <c r="L50" s="13"/>
      <c r="M50" s="241"/>
      <c r="N50" s="13"/>
      <c r="O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2:33" x14ac:dyDescent="0.25">
      <c r="C51" t="str">
        <f>C43</f>
        <v>IISDRIEAF-NG</v>
      </c>
      <c r="D51" s="13">
        <v>0.85</v>
      </c>
      <c r="E51" s="13">
        <v>2028</v>
      </c>
      <c r="F51" s="13"/>
      <c r="G51" s="13"/>
      <c r="H51" s="13"/>
      <c r="I51" s="13"/>
      <c r="J51" s="13"/>
      <c r="K51" s="13"/>
      <c r="L51" s="13"/>
      <c r="M51" s="241"/>
      <c r="N51" s="13"/>
      <c r="O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spans="2:33" x14ac:dyDescent="0.25">
      <c r="C52" t="str">
        <f>C44</f>
        <v>IISSCREAF-N</v>
      </c>
      <c r="D52" s="13">
        <v>0.85</v>
      </c>
      <c r="E52" s="13">
        <v>2028</v>
      </c>
      <c r="F52" s="13"/>
      <c r="G52" s="13"/>
      <c r="H52" s="13"/>
      <c r="I52" s="13"/>
      <c r="J52" s="13"/>
      <c r="K52" s="13"/>
      <c r="L52" s="13"/>
      <c r="M52" s="241"/>
      <c r="N52" s="13"/>
      <c r="O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spans="2:33" x14ac:dyDescent="0.25">
      <c r="D53" s="13"/>
      <c r="E53" s="13"/>
      <c r="F53" s="13"/>
      <c r="G53" s="13"/>
      <c r="H53" s="13"/>
      <c r="I53" s="13"/>
      <c r="J53" s="13"/>
      <c r="K53" s="13"/>
      <c r="L53" s="13"/>
      <c r="M53" s="241"/>
      <c r="N53" s="13"/>
      <c r="O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spans="2:33" x14ac:dyDescent="0.25">
      <c r="F54" s="13"/>
      <c r="G54" s="13"/>
      <c r="H54" s="13"/>
      <c r="I54" s="13"/>
      <c r="J54" s="13"/>
      <c r="K54" s="13"/>
      <c r="L54" s="13"/>
      <c r="M54" s="241"/>
      <c r="N54" s="13"/>
      <c r="O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spans="2:33" x14ac:dyDescent="0.25">
      <c r="F55" s="13"/>
      <c r="G55" s="13"/>
      <c r="H55" s="13"/>
      <c r="I55" s="13"/>
      <c r="J55" s="13"/>
      <c r="K55" s="13"/>
      <c r="L55" s="13"/>
      <c r="M55" s="241"/>
      <c r="N55" s="13"/>
      <c r="O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2:33" x14ac:dyDescent="0.25">
      <c r="F56" s="13"/>
      <c r="G56" s="13"/>
      <c r="H56" s="13"/>
      <c r="I56" s="13"/>
      <c r="J56" s="13"/>
      <c r="K56" s="13"/>
      <c r="L56" s="13"/>
      <c r="M56" s="241"/>
      <c r="N56" s="13"/>
      <c r="O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spans="2:33" x14ac:dyDescent="0.25">
      <c r="F57" s="13"/>
      <c r="G57" s="13"/>
      <c r="H57" s="13"/>
      <c r="I57" s="13"/>
      <c r="J57" s="13"/>
      <c r="K57" s="13"/>
      <c r="L57" s="13"/>
      <c r="M57" s="241"/>
      <c r="N57" s="13"/>
      <c r="O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2:33" x14ac:dyDescent="0.25"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2:33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241"/>
      <c r="N59" s="13"/>
      <c r="O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spans="2:33" x14ac:dyDescent="0.25"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241"/>
      <c r="N60" s="13"/>
      <c r="O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2:33" ht="18.75" x14ac:dyDescent="0.3">
      <c r="B61" s="112" t="s">
        <v>1161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241"/>
      <c r="N61" s="13"/>
      <c r="O61" s="13"/>
      <c r="P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spans="2:33" x14ac:dyDescent="0.25">
      <c r="B62" s="1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240"/>
      <c r="N62" s="94"/>
      <c r="O62" s="94"/>
      <c r="P62" s="94"/>
      <c r="Q62" s="94"/>
      <c r="R62" s="240"/>
      <c r="S62" s="94"/>
      <c r="T62" s="94"/>
      <c r="U62" s="95"/>
      <c r="V62" s="13"/>
      <c r="W62" s="13"/>
      <c r="X62" s="13"/>
      <c r="Y62" s="13"/>
      <c r="Z62" s="13"/>
      <c r="AA62" s="13"/>
      <c r="AB62" s="13"/>
      <c r="AC62" s="13"/>
      <c r="AD62" s="13"/>
    </row>
    <row r="63" spans="2:33" x14ac:dyDescent="0.25">
      <c r="B63" s="114" t="s">
        <v>184</v>
      </c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246" t="s">
        <v>186</v>
      </c>
      <c r="N63" s="103"/>
      <c r="O63" s="103"/>
      <c r="P63" s="103"/>
      <c r="Q63" s="103"/>
      <c r="R63" s="245"/>
      <c r="S63" s="103"/>
      <c r="T63" s="103"/>
      <c r="U63" s="104"/>
      <c r="V63" s="13"/>
      <c r="W63" s="13"/>
      <c r="X63" s="432"/>
      <c r="Y63" s="432">
        <v>2012</v>
      </c>
      <c r="Z63" s="432">
        <v>2013</v>
      </c>
      <c r="AA63" s="432">
        <v>2014</v>
      </c>
      <c r="AB63" s="432">
        <v>2015</v>
      </c>
      <c r="AC63" s="432">
        <v>2016</v>
      </c>
      <c r="AD63" s="432">
        <v>2017</v>
      </c>
      <c r="AE63" s="117">
        <v>2018</v>
      </c>
      <c r="AF63" s="117">
        <v>2019</v>
      </c>
      <c r="AG63" s="117">
        <v>2020</v>
      </c>
    </row>
    <row r="64" spans="2:33" x14ac:dyDescent="0.25">
      <c r="B64" s="127" t="s">
        <v>7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245">
        <f>SUMIFS(M$10:M$17,$F$10:$F$17,$B64)</f>
        <v>4.9000000000000004</v>
      </c>
      <c r="N64" s="128">
        <f>SUMIFS(N$10:N$17,$F$10:$F$17,$B64)</f>
        <v>4.9000000000000004</v>
      </c>
      <c r="O64" s="128">
        <f t="shared" ref="O64:U64" si="5">SUMIFS(O$10:O$17,$F$10:$F$17,$B64)</f>
        <v>4.9000000000000004</v>
      </c>
      <c r="P64" s="128">
        <f t="shared" si="5"/>
        <v>4.9000000000000004</v>
      </c>
      <c r="Q64" s="128">
        <f t="shared" si="5"/>
        <v>4.9000000000000004</v>
      </c>
      <c r="R64" s="245">
        <f t="shared" si="5"/>
        <v>4.9000000000000004</v>
      </c>
      <c r="S64" s="128">
        <f t="shared" si="5"/>
        <v>4.9000000000000004</v>
      </c>
      <c r="T64" s="128">
        <f t="shared" si="5"/>
        <v>4.9000000000000004</v>
      </c>
      <c r="U64" s="299">
        <f t="shared" si="5"/>
        <v>4.9000000000000004</v>
      </c>
      <c r="V64" s="13"/>
      <c r="W64" s="13"/>
      <c r="X64" s="432" t="s">
        <v>7</v>
      </c>
      <c r="Y64" s="432">
        <v>4.9000000000000004</v>
      </c>
      <c r="Z64" s="432">
        <v>4.9000000000000004</v>
      </c>
      <c r="AA64" s="432">
        <v>4.9000000000000004</v>
      </c>
      <c r="AB64" s="432">
        <v>4.9000000000000004</v>
      </c>
      <c r="AC64" s="432">
        <v>4.9000000000000004</v>
      </c>
      <c r="AD64" s="432">
        <v>4.9000000000000004</v>
      </c>
      <c r="AE64" s="117">
        <v>4.9000000000000004</v>
      </c>
      <c r="AF64" s="117">
        <v>4.9000000000000004</v>
      </c>
      <c r="AG64" s="117">
        <v>4.9000000000000004</v>
      </c>
    </row>
    <row r="65" spans="1:37" x14ac:dyDescent="0.25">
      <c r="B65" s="127" t="s">
        <v>170</v>
      </c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245">
        <f t="shared" ref="M65:U68" si="6">SUMIFS(M$10:M$17,$F$10:$F$17,$B65)</f>
        <v>1.2400000000000002</v>
      </c>
      <c r="N65" s="128">
        <f t="shared" si="6"/>
        <v>1.2400000000000002</v>
      </c>
      <c r="O65" s="128">
        <f t="shared" si="6"/>
        <v>1.2400000000000002</v>
      </c>
      <c r="P65" s="128">
        <f t="shared" si="6"/>
        <v>1.2400000000000002</v>
      </c>
      <c r="Q65" s="128">
        <f t="shared" si="6"/>
        <v>1.2400000000000002</v>
      </c>
      <c r="R65" s="245">
        <f t="shared" si="6"/>
        <v>1.2400000000000002</v>
      </c>
      <c r="S65" s="128">
        <f t="shared" si="6"/>
        <v>1.2400000000000002</v>
      </c>
      <c r="T65" s="128">
        <f t="shared" si="6"/>
        <v>1.2400000000000002</v>
      </c>
      <c r="U65" s="299">
        <f t="shared" si="6"/>
        <v>1.2400000000000002</v>
      </c>
      <c r="V65" s="13"/>
      <c r="W65" s="13"/>
      <c r="X65" s="432" t="s">
        <v>170</v>
      </c>
      <c r="Y65" s="432">
        <v>1.2400000000000002</v>
      </c>
      <c r="Z65" s="432">
        <v>1.2400000000000002</v>
      </c>
      <c r="AA65" s="432">
        <v>1.2400000000000002</v>
      </c>
      <c r="AB65" s="432">
        <v>1.2400000000000002</v>
      </c>
      <c r="AC65" s="432">
        <v>1.2400000000000002</v>
      </c>
      <c r="AD65" s="432">
        <v>1.2400000000000002</v>
      </c>
      <c r="AE65" s="117">
        <v>1.2400000000000002</v>
      </c>
      <c r="AF65" s="117">
        <v>1.2400000000000002</v>
      </c>
      <c r="AG65" s="117">
        <v>1.2400000000000002</v>
      </c>
    </row>
    <row r="66" spans="1:37" x14ac:dyDescent="0.25">
      <c r="B66" s="127" t="s">
        <v>9</v>
      </c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245">
        <f>SUMIFS(M$10:M$17,$F$10:$F$17,$B66)</f>
        <v>1.44</v>
      </c>
      <c r="N66" s="128">
        <f>SUMIFS(N$10:N$17,$F$10:$F$17,$B66)</f>
        <v>1.44</v>
      </c>
      <c r="O66" s="128">
        <f t="shared" si="6"/>
        <v>1.44</v>
      </c>
      <c r="P66" s="128">
        <f t="shared" si="6"/>
        <v>1.44</v>
      </c>
      <c r="Q66" s="128">
        <f t="shared" si="6"/>
        <v>1.44</v>
      </c>
      <c r="R66" s="245">
        <f t="shared" si="6"/>
        <v>1.44</v>
      </c>
      <c r="S66" s="128">
        <f t="shared" si="6"/>
        <v>1.44</v>
      </c>
      <c r="T66" s="128">
        <f t="shared" si="6"/>
        <v>1.44</v>
      </c>
      <c r="U66" s="299">
        <f t="shared" si="6"/>
        <v>1.44</v>
      </c>
      <c r="V66" s="13"/>
      <c r="W66" s="13"/>
      <c r="X66" s="432" t="s">
        <v>9</v>
      </c>
      <c r="Y66" s="432">
        <v>1.44</v>
      </c>
      <c r="Z66" s="432">
        <v>1.44</v>
      </c>
      <c r="AA66" s="432">
        <v>1.44</v>
      </c>
      <c r="AB66" s="432">
        <v>1.44</v>
      </c>
      <c r="AC66" s="432">
        <v>1.44</v>
      </c>
      <c r="AD66" s="432">
        <v>1.44</v>
      </c>
      <c r="AE66" s="117">
        <v>1.44</v>
      </c>
      <c r="AF66" s="117">
        <v>1.44</v>
      </c>
      <c r="AG66" s="117">
        <v>1.44</v>
      </c>
    </row>
    <row r="67" spans="1:37" x14ac:dyDescent="0.25">
      <c r="B67" s="127" t="s">
        <v>10</v>
      </c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245">
        <f t="shared" si="6"/>
        <v>1</v>
      </c>
      <c r="N67" s="128">
        <f t="shared" si="6"/>
        <v>1</v>
      </c>
      <c r="O67" s="128">
        <f t="shared" si="6"/>
        <v>1</v>
      </c>
      <c r="P67" s="128">
        <f t="shared" si="6"/>
        <v>1</v>
      </c>
      <c r="Q67" s="128">
        <f t="shared" si="6"/>
        <v>1</v>
      </c>
      <c r="R67" s="245">
        <f t="shared" si="6"/>
        <v>1</v>
      </c>
      <c r="S67" s="128">
        <f t="shared" si="6"/>
        <v>1</v>
      </c>
      <c r="T67" s="128">
        <f t="shared" si="6"/>
        <v>1</v>
      </c>
      <c r="U67" s="299">
        <f t="shared" si="6"/>
        <v>1</v>
      </c>
      <c r="V67" s="13"/>
      <c r="W67" s="13"/>
      <c r="X67" s="432" t="s">
        <v>10</v>
      </c>
      <c r="Y67" s="432">
        <v>1</v>
      </c>
      <c r="Z67" s="432">
        <v>1</v>
      </c>
      <c r="AA67" s="432">
        <v>1</v>
      </c>
      <c r="AB67" s="432">
        <v>1</v>
      </c>
      <c r="AC67" s="432">
        <v>1</v>
      </c>
      <c r="AD67" s="432">
        <v>1</v>
      </c>
      <c r="AE67" s="117">
        <v>1</v>
      </c>
      <c r="AF67" s="117">
        <v>1</v>
      </c>
      <c r="AG67" s="117">
        <v>1</v>
      </c>
    </row>
    <row r="68" spans="1:37" x14ac:dyDescent="0.25">
      <c r="B68" s="127" t="s">
        <v>8</v>
      </c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245">
        <f>SUMIFS(M$10:M$17,$F$10:$F$17,$B68)</f>
        <v>1.7200000000000002</v>
      </c>
      <c r="N68" s="128">
        <f t="shared" si="6"/>
        <v>1.7200000000000002</v>
      </c>
      <c r="O68" s="128">
        <f t="shared" si="6"/>
        <v>1.7200000000000002</v>
      </c>
      <c r="P68" s="128">
        <f t="shared" si="6"/>
        <v>1.7200000000000002</v>
      </c>
      <c r="Q68" s="128">
        <f t="shared" si="6"/>
        <v>1.7200000000000002</v>
      </c>
      <c r="R68" s="245">
        <f t="shared" si="6"/>
        <v>1.7200000000000002</v>
      </c>
      <c r="S68" s="128">
        <f t="shared" si="6"/>
        <v>1.7200000000000002</v>
      </c>
      <c r="T68" s="128">
        <f t="shared" si="6"/>
        <v>1.7200000000000002</v>
      </c>
      <c r="U68" s="299">
        <f t="shared" si="6"/>
        <v>1.7200000000000002</v>
      </c>
      <c r="V68" s="13"/>
      <c r="W68" s="13"/>
      <c r="X68" s="432" t="s">
        <v>8</v>
      </c>
      <c r="Y68" s="432">
        <v>1.7200000000000002</v>
      </c>
      <c r="Z68" s="432">
        <v>1.7200000000000002</v>
      </c>
      <c r="AA68" s="432">
        <v>1.7200000000000002</v>
      </c>
      <c r="AB68" s="432">
        <v>1.7200000000000002</v>
      </c>
      <c r="AC68" s="432">
        <v>1.3200000000000003</v>
      </c>
      <c r="AD68" s="432">
        <v>1.3200000000000003</v>
      </c>
      <c r="AE68" s="117">
        <v>1.3200000000000003</v>
      </c>
      <c r="AF68" s="117">
        <v>1.3200000000000003</v>
      </c>
      <c r="AG68" s="117">
        <v>1.3200000000000003</v>
      </c>
    </row>
    <row r="69" spans="1:37" x14ac:dyDescent="0.25">
      <c r="B69" s="115" t="s">
        <v>3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98">
        <f>SUM(M64:M68)</f>
        <v>10.3</v>
      </c>
      <c r="N69" s="113">
        <f t="shared" ref="N69:U69" si="7">SUM(N64:N68)</f>
        <v>10.3</v>
      </c>
      <c r="O69" s="113">
        <f t="shared" si="7"/>
        <v>10.3</v>
      </c>
      <c r="P69" s="113">
        <f t="shared" si="7"/>
        <v>10.3</v>
      </c>
      <c r="Q69" s="113">
        <f t="shared" si="7"/>
        <v>10.3</v>
      </c>
      <c r="R69" s="98">
        <f t="shared" si="7"/>
        <v>10.3</v>
      </c>
      <c r="S69" s="113">
        <f t="shared" si="7"/>
        <v>10.3</v>
      </c>
      <c r="T69" s="113">
        <f t="shared" si="7"/>
        <v>10.3</v>
      </c>
      <c r="U69" s="300">
        <f t="shared" si="7"/>
        <v>10.3</v>
      </c>
      <c r="V69" s="13"/>
      <c r="W69" s="13"/>
      <c r="X69" s="432" t="s">
        <v>3</v>
      </c>
      <c r="Y69" s="432">
        <v>10.3</v>
      </c>
      <c r="Z69" s="432">
        <v>10.3</v>
      </c>
      <c r="AA69" s="432">
        <v>10.3</v>
      </c>
      <c r="AB69" s="432">
        <v>10.3</v>
      </c>
      <c r="AC69" s="432">
        <v>9.9</v>
      </c>
      <c r="AD69" s="432">
        <v>9.9</v>
      </c>
      <c r="AE69" s="117">
        <v>9.9</v>
      </c>
      <c r="AF69" s="117">
        <v>9.9</v>
      </c>
      <c r="AG69" s="117">
        <v>9.9</v>
      </c>
    </row>
    <row r="70" spans="1:37" x14ac:dyDescent="0.25">
      <c r="B70" s="7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245"/>
      <c r="N70" s="103"/>
      <c r="O70" s="103"/>
      <c r="P70" s="103"/>
      <c r="Q70" s="103"/>
      <c r="R70" s="245"/>
      <c r="S70" s="103"/>
      <c r="T70" s="103"/>
      <c r="U70" s="104"/>
      <c r="V70" s="13"/>
      <c r="W70" s="13"/>
      <c r="X70" s="13"/>
      <c r="Y70" s="13"/>
      <c r="Z70" s="13"/>
      <c r="AA70" s="13"/>
      <c r="AB70" s="13"/>
      <c r="AC70" s="13"/>
      <c r="AD70" s="13"/>
    </row>
    <row r="71" spans="1:37" x14ac:dyDescent="0.25"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241"/>
      <c r="N71" s="13"/>
      <c r="O71" s="13"/>
      <c r="P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7" x14ac:dyDescent="0.25"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3"/>
    </row>
    <row r="73" spans="1:37" ht="26.25" x14ac:dyDescent="0.4">
      <c r="A73" s="2" t="s">
        <v>506</v>
      </c>
      <c r="J73" s="560" t="s">
        <v>1162</v>
      </c>
      <c r="M73" s="18"/>
      <c r="N73" s="18"/>
      <c r="O73" s="18"/>
      <c r="P73" s="18"/>
      <c r="Q73" s="18"/>
      <c r="R73" s="18"/>
      <c r="S73" s="18"/>
      <c r="T73" s="18"/>
      <c r="U73" s="18"/>
      <c r="AK73" s="13"/>
    </row>
    <row r="74" spans="1:37" x14ac:dyDescent="0.25">
      <c r="J74" s="559" t="s">
        <v>1142</v>
      </c>
      <c r="K74" s="559" t="s">
        <v>1244</v>
      </c>
      <c r="L74" s="558" t="s">
        <v>1238</v>
      </c>
      <c r="M74" s="558" t="s">
        <v>1238</v>
      </c>
      <c r="N74" s="558" t="s">
        <v>1238</v>
      </c>
      <c r="O74" s="558" t="s">
        <v>1238</v>
      </c>
      <c r="P74" s="558" t="s">
        <v>1238</v>
      </c>
      <c r="Q74" s="558" t="s">
        <v>1238</v>
      </c>
      <c r="R74" s="559">
        <f>R1</f>
        <v>2017</v>
      </c>
      <c r="S74" s="559">
        <f t="shared" ref="S74:U74" si="8">S1</f>
        <v>2018</v>
      </c>
      <c r="T74" s="559">
        <f t="shared" si="8"/>
        <v>2019</v>
      </c>
      <c r="U74" s="559">
        <f t="shared" si="8"/>
        <v>2020</v>
      </c>
      <c r="V74" s="559">
        <f>U74+1</f>
        <v>2021</v>
      </c>
      <c r="W74" s="559">
        <f t="shared" ref="W74:AI74" si="9">V74+1</f>
        <v>2022</v>
      </c>
      <c r="X74" s="559">
        <f t="shared" si="9"/>
        <v>2023</v>
      </c>
      <c r="Y74" s="559">
        <f t="shared" si="9"/>
        <v>2024</v>
      </c>
      <c r="Z74" s="559">
        <f t="shared" si="9"/>
        <v>2025</v>
      </c>
      <c r="AA74" s="559">
        <f t="shared" si="9"/>
        <v>2026</v>
      </c>
      <c r="AB74" s="559">
        <f t="shared" si="9"/>
        <v>2027</v>
      </c>
      <c r="AC74" s="559">
        <f t="shared" si="9"/>
        <v>2028</v>
      </c>
      <c r="AD74" s="559">
        <f t="shared" si="9"/>
        <v>2029</v>
      </c>
      <c r="AE74" s="559">
        <f t="shared" si="9"/>
        <v>2030</v>
      </c>
      <c r="AF74" s="559">
        <f t="shared" si="9"/>
        <v>2031</v>
      </c>
      <c r="AG74" s="559">
        <f t="shared" si="9"/>
        <v>2032</v>
      </c>
      <c r="AH74" s="559">
        <f t="shared" si="9"/>
        <v>2033</v>
      </c>
      <c r="AI74" s="559">
        <f t="shared" si="9"/>
        <v>2034</v>
      </c>
      <c r="AK74" s="13"/>
    </row>
    <row r="75" spans="1:37" x14ac:dyDescent="0.25">
      <c r="J75" t="s">
        <v>965</v>
      </c>
      <c r="L75" s="18" t="s">
        <v>1240</v>
      </c>
      <c r="M75"/>
      <c r="R75"/>
      <c r="V75" s="18" t="s">
        <v>507</v>
      </c>
      <c r="AC75" s="18" t="s">
        <v>1237</v>
      </c>
      <c r="AK75" s="13"/>
    </row>
    <row r="76" spans="1:37" x14ac:dyDescent="0.25">
      <c r="I76" s="18" t="s">
        <v>7</v>
      </c>
      <c r="J76" t="str">
        <f>C28</f>
        <v>IISBFBOF-E</v>
      </c>
      <c r="K76" t="s">
        <v>1245</v>
      </c>
      <c r="L76" s="322">
        <f>'INPUT Capacity &amp; Production'!Z95</f>
        <v>2034</v>
      </c>
      <c r="M76">
        <f>M64</f>
        <v>4.9000000000000004</v>
      </c>
      <c r="N76">
        <f t="shared" ref="N76:U76" si="10">N64</f>
        <v>4.9000000000000004</v>
      </c>
      <c r="O76">
        <f t="shared" si="10"/>
        <v>4.9000000000000004</v>
      </c>
      <c r="P76">
        <f t="shared" si="10"/>
        <v>4.9000000000000004</v>
      </c>
      <c r="Q76">
        <f t="shared" si="10"/>
        <v>4.9000000000000004</v>
      </c>
      <c r="R76">
        <f t="shared" si="10"/>
        <v>4.9000000000000004</v>
      </c>
      <c r="S76">
        <f t="shared" si="10"/>
        <v>4.9000000000000004</v>
      </c>
      <c r="T76">
        <f t="shared" si="10"/>
        <v>4.9000000000000004</v>
      </c>
      <c r="U76">
        <f t="shared" si="10"/>
        <v>4.9000000000000004</v>
      </c>
      <c r="V76">
        <f>IF(V$74&lt;$L76,U76,0)</f>
        <v>4.9000000000000004</v>
      </c>
      <c r="W76">
        <f t="shared" ref="W76:AI76" si="11">IF(W$74&lt;$L76,V76,0)</f>
        <v>4.9000000000000004</v>
      </c>
      <c r="X76">
        <f t="shared" si="11"/>
        <v>4.9000000000000004</v>
      </c>
      <c r="Y76">
        <f t="shared" si="11"/>
        <v>4.9000000000000004</v>
      </c>
      <c r="Z76">
        <f t="shared" si="11"/>
        <v>4.9000000000000004</v>
      </c>
      <c r="AA76">
        <f t="shared" si="11"/>
        <v>4.9000000000000004</v>
      </c>
      <c r="AB76">
        <f t="shared" si="11"/>
        <v>4.9000000000000004</v>
      </c>
      <c r="AC76">
        <v>3</v>
      </c>
      <c r="AD76">
        <f t="shared" si="11"/>
        <v>3</v>
      </c>
      <c r="AE76">
        <f t="shared" si="11"/>
        <v>3</v>
      </c>
      <c r="AF76">
        <f t="shared" si="11"/>
        <v>3</v>
      </c>
      <c r="AG76">
        <f t="shared" si="11"/>
        <v>3</v>
      </c>
      <c r="AH76">
        <f t="shared" si="11"/>
        <v>3</v>
      </c>
      <c r="AI76">
        <f t="shared" si="11"/>
        <v>0</v>
      </c>
      <c r="AK76" s="13"/>
    </row>
    <row r="77" spans="1:37" x14ac:dyDescent="0.25">
      <c r="I77" s="18" t="s">
        <v>170</v>
      </c>
      <c r="J77" t="str">
        <f>C30</f>
        <v>IISCOREAF-E</v>
      </c>
      <c r="K77" t="s">
        <v>1245</v>
      </c>
      <c r="L77" s="322">
        <f>L76</f>
        <v>2034</v>
      </c>
      <c r="M77">
        <f t="shared" ref="M77:U80" si="12">M65</f>
        <v>1.2400000000000002</v>
      </c>
      <c r="N77">
        <f t="shared" si="12"/>
        <v>1.2400000000000002</v>
      </c>
      <c r="O77">
        <f t="shared" si="12"/>
        <v>1.2400000000000002</v>
      </c>
      <c r="P77">
        <f t="shared" si="12"/>
        <v>1.2400000000000002</v>
      </c>
      <c r="Q77">
        <f t="shared" si="12"/>
        <v>1.2400000000000002</v>
      </c>
      <c r="R77">
        <f t="shared" si="12"/>
        <v>1.2400000000000002</v>
      </c>
      <c r="S77">
        <f t="shared" si="12"/>
        <v>1.2400000000000002</v>
      </c>
      <c r="T77">
        <f t="shared" si="12"/>
        <v>1.2400000000000002</v>
      </c>
      <c r="U77">
        <f t="shared" si="12"/>
        <v>1.2400000000000002</v>
      </c>
      <c r="V77">
        <f t="shared" ref="V77:AI80" si="13">IF(V$74&lt;$L77,U77,0)</f>
        <v>1.2400000000000002</v>
      </c>
      <c r="W77">
        <f t="shared" si="13"/>
        <v>1.2400000000000002</v>
      </c>
      <c r="X77">
        <f t="shared" si="13"/>
        <v>1.2400000000000002</v>
      </c>
      <c r="Y77">
        <f t="shared" si="13"/>
        <v>1.2400000000000002</v>
      </c>
      <c r="Z77">
        <f t="shared" si="13"/>
        <v>1.2400000000000002</v>
      </c>
      <c r="AA77">
        <f t="shared" si="13"/>
        <v>1.2400000000000002</v>
      </c>
      <c r="AB77">
        <f t="shared" si="13"/>
        <v>1.2400000000000002</v>
      </c>
      <c r="AC77">
        <f t="shared" si="13"/>
        <v>1.2400000000000002</v>
      </c>
      <c r="AD77">
        <f t="shared" si="13"/>
        <v>1.2400000000000002</v>
      </c>
      <c r="AE77">
        <f t="shared" si="13"/>
        <v>1.2400000000000002</v>
      </c>
      <c r="AF77">
        <f t="shared" si="13"/>
        <v>1.2400000000000002</v>
      </c>
      <c r="AG77">
        <f t="shared" si="13"/>
        <v>1.2400000000000002</v>
      </c>
      <c r="AH77">
        <f t="shared" si="13"/>
        <v>1.2400000000000002</v>
      </c>
      <c r="AI77">
        <f t="shared" si="13"/>
        <v>0</v>
      </c>
      <c r="AK77" s="13"/>
    </row>
    <row r="78" spans="1:37" x14ac:dyDescent="0.25">
      <c r="I78" s="18" t="s">
        <v>9</v>
      </c>
      <c r="J78" t="str">
        <f>C29</f>
        <v>IISDRIEAF-E</v>
      </c>
      <c r="K78" t="s">
        <v>1245</v>
      </c>
      <c r="L78" s="322">
        <f>L76</f>
        <v>2034</v>
      </c>
      <c r="M78">
        <f t="shared" si="12"/>
        <v>1.44</v>
      </c>
      <c r="N78">
        <f t="shared" si="12"/>
        <v>1.44</v>
      </c>
      <c r="O78">
        <f t="shared" si="12"/>
        <v>1.44</v>
      </c>
      <c r="P78">
        <f t="shared" si="12"/>
        <v>1.44</v>
      </c>
      <c r="Q78">
        <f t="shared" si="12"/>
        <v>1.44</v>
      </c>
      <c r="R78">
        <f t="shared" si="12"/>
        <v>1.44</v>
      </c>
      <c r="S78">
        <f t="shared" si="12"/>
        <v>1.44</v>
      </c>
      <c r="T78">
        <f t="shared" si="12"/>
        <v>1.44</v>
      </c>
      <c r="U78">
        <f t="shared" si="12"/>
        <v>1.44</v>
      </c>
      <c r="V78">
        <f t="shared" si="13"/>
        <v>1.44</v>
      </c>
      <c r="W78">
        <f t="shared" si="13"/>
        <v>1.44</v>
      </c>
      <c r="X78">
        <f t="shared" si="13"/>
        <v>1.44</v>
      </c>
      <c r="Y78">
        <f t="shared" si="13"/>
        <v>1.44</v>
      </c>
      <c r="Z78">
        <f t="shared" si="13"/>
        <v>1.44</v>
      </c>
      <c r="AA78">
        <f t="shared" si="13"/>
        <v>1.44</v>
      </c>
      <c r="AB78">
        <f t="shared" si="13"/>
        <v>1.44</v>
      </c>
      <c r="AC78">
        <f t="shared" si="13"/>
        <v>1.44</v>
      </c>
      <c r="AD78">
        <f t="shared" si="13"/>
        <v>1.44</v>
      </c>
      <c r="AE78">
        <f t="shared" si="13"/>
        <v>1.44</v>
      </c>
      <c r="AF78">
        <f t="shared" si="13"/>
        <v>1.44</v>
      </c>
      <c r="AG78">
        <f t="shared" si="13"/>
        <v>1.44</v>
      </c>
      <c r="AH78">
        <f t="shared" si="13"/>
        <v>1.44</v>
      </c>
      <c r="AI78">
        <f t="shared" si="13"/>
        <v>0</v>
      </c>
      <c r="AK78" s="13"/>
    </row>
    <row r="79" spans="1:37" x14ac:dyDescent="0.25">
      <c r="I79" s="18" t="s">
        <v>10</v>
      </c>
      <c r="J79" t="str">
        <f>C31</f>
        <v>IISOTHEAF-E</v>
      </c>
      <c r="K79" t="s">
        <v>1245</v>
      </c>
      <c r="L79" s="430">
        <v>2030</v>
      </c>
      <c r="M79">
        <f t="shared" si="12"/>
        <v>1</v>
      </c>
      <c r="N79">
        <f t="shared" si="12"/>
        <v>1</v>
      </c>
      <c r="O79">
        <f t="shared" si="12"/>
        <v>1</v>
      </c>
      <c r="P79">
        <f t="shared" si="12"/>
        <v>1</v>
      </c>
      <c r="Q79">
        <f t="shared" si="12"/>
        <v>1</v>
      </c>
      <c r="R79">
        <f t="shared" si="12"/>
        <v>1</v>
      </c>
      <c r="S79">
        <f t="shared" si="12"/>
        <v>1</v>
      </c>
      <c r="T79">
        <f t="shared" si="12"/>
        <v>1</v>
      </c>
      <c r="U79">
        <f t="shared" si="12"/>
        <v>1</v>
      </c>
      <c r="V79">
        <f t="shared" si="13"/>
        <v>1</v>
      </c>
      <c r="W79">
        <f t="shared" si="13"/>
        <v>1</v>
      </c>
      <c r="X79">
        <f t="shared" si="13"/>
        <v>1</v>
      </c>
      <c r="Y79">
        <f t="shared" si="13"/>
        <v>1</v>
      </c>
      <c r="Z79">
        <f t="shared" si="13"/>
        <v>1</v>
      </c>
      <c r="AA79">
        <f t="shared" si="13"/>
        <v>1</v>
      </c>
      <c r="AB79">
        <f t="shared" si="13"/>
        <v>1</v>
      </c>
      <c r="AC79">
        <f t="shared" si="13"/>
        <v>1</v>
      </c>
      <c r="AD79">
        <f t="shared" si="13"/>
        <v>1</v>
      </c>
      <c r="AE79">
        <f t="shared" si="13"/>
        <v>0</v>
      </c>
      <c r="AF79">
        <f t="shared" si="13"/>
        <v>0</v>
      </c>
      <c r="AG79">
        <f t="shared" si="13"/>
        <v>0</v>
      </c>
      <c r="AH79">
        <f t="shared" si="13"/>
        <v>0</v>
      </c>
      <c r="AI79">
        <f t="shared" si="13"/>
        <v>0</v>
      </c>
      <c r="AK79" s="13"/>
    </row>
    <row r="80" spans="1:37" x14ac:dyDescent="0.25">
      <c r="I80" s="18" t="s">
        <v>8</v>
      </c>
      <c r="J80" t="str">
        <f>C32</f>
        <v>IISSCREAF-E</v>
      </c>
      <c r="K80" t="s">
        <v>1245</v>
      </c>
      <c r="L80" s="322">
        <f>'INPUT Capacity &amp; Production'!Z98</f>
        <v>2030</v>
      </c>
      <c r="M80">
        <f t="shared" si="12"/>
        <v>1.7200000000000002</v>
      </c>
      <c r="N80">
        <f t="shared" si="12"/>
        <v>1.7200000000000002</v>
      </c>
      <c r="O80">
        <f t="shared" si="12"/>
        <v>1.7200000000000002</v>
      </c>
      <c r="P80">
        <f t="shared" si="12"/>
        <v>1.7200000000000002</v>
      </c>
      <c r="Q80">
        <f t="shared" si="12"/>
        <v>1.7200000000000002</v>
      </c>
      <c r="R80">
        <f t="shared" si="12"/>
        <v>1.7200000000000002</v>
      </c>
      <c r="S80">
        <f t="shared" si="12"/>
        <v>1.7200000000000002</v>
      </c>
      <c r="T80">
        <f t="shared" si="12"/>
        <v>1.7200000000000002</v>
      </c>
      <c r="U80">
        <f t="shared" si="12"/>
        <v>1.7200000000000002</v>
      </c>
      <c r="V80">
        <f t="shared" si="13"/>
        <v>1.7200000000000002</v>
      </c>
      <c r="W80">
        <f t="shared" si="13"/>
        <v>1.7200000000000002</v>
      </c>
      <c r="X80">
        <f t="shared" si="13"/>
        <v>1.7200000000000002</v>
      </c>
      <c r="Y80">
        <f t="shared" si="13"/>
        <v>1.7200000000000002</v>
      </c>
      <c r="Z80">
        <f t="shared" si="13"/>
        <v>1.7200000000000002</v>
      </c>
      <c r="AA80">
        <f t="shared" si="13"/>
        <v>1.7200000000000002</v>
      </c>
      <c r="AB80">
        <f t="shared" si="13"/>
        <v>1.7200000000000002</v>
      </c>
      <c r="AC80">
        <f t="shared" si="13"/>
        <v>1.7200000000000002</v>
      </c>
      <c r="AD80">
        <f t="shared" si="13"/>
        <v>1.7200000000000002</v>
      </c>
      <c r="AE80">
        <f t="shared" si="13"/>
        <v>0</v>
      </c>
      <c r="AF80">
        <f t="shared" si="13"/>
        <v>0</v>
      </c>
      <c r="AG80">
        <f t="shared" si="13"/>
        <v>0</v>
      </c>
      <c r="AH80">
        <f t="shared" si="13"/>
        <v>0</v>
      </c>
      <c r="AI80">
        <f t="shared" si="13"/>
        <v>0</v>
      </c>
      <c r="AK80" s="13"/>
    </row>
    <row r="81" spans="1:37" x14ac:dyDescent="0.25">
      <c r="J81" s="18"/>
      <c r="L81" s="322"/>
      <c r="M81"/>
      <c r="R81"/>
      <c r="AK81" s="13"/>
    </row>
    <row r="82" spans="1:37" x14ac:dyDescent="0.25">
      <c r="I82" s="18" t="s">
        <v>1243</v>
      </c>
      <c r="M82" s="268">
        <f>SUM(M76:M80)</f>
        <v>10.3</v>
      </c>
      <c r="N82" s="268">
        <f t="shared" ref="N82:AI82" si="14">SUM(N76:N80)</f>
        <v>10.3</v>
      </c>
      <c r="O82" s="268">
        <f t="shared" si="14"/>
        <v>10.3</v>
      </c>
      <c r="P82" s="268">
        <f t="shared" si="14"/>
        <v>10.3</v>
      </c>
      <c r="Q82" s="268">
        <f t="shared" si="14"/>
        <v>10.3</v>
      </c>
      <c r="R82" s="268">
        <f t="shared" si="14"/>
        <v>10.3</v>
      </c>
      <c r="S82" s="268">
        <f t="shared" si="14"/>
        <v>10.3</v>
      </c>
      <c r="T82" s="268">
        <f t="shared" si="14"/>
        <v>10.3</v>
      </c>
      <c r="U82" s="268">
        <f t="shared" si="14"/>
        <v>10.3</v>
      </c>
      <c r="V82" s="268">
        <f t="shared" si="14"/>
        <v>10.3</v>
      </c>
      <c r="W82" s="268">
        <f t="shared" si="14"/>
        <v>10.3</v>
      </c>
      <c r="X82" s="268">
        <f t="shared" si="14"/>
        <v>10.3</v>
      </c>
      <c r="Y82" s="268">
        <f t="shared" si="14"/>
        <v>10.3</v>
      </c>
      <c r="Z82" s="268">
        <f t="shared" si="14"/>
        <v>10.3</v>
      </c>
      <c r="AA82" s="268">
        <f t="shared" si="14"/>
        <v>10.3</v>
      </c>
      <c r="AB82" s="268">
        <f t="shared" si="14"/>
        <v>10.3</v>
      </c>
      <c r="AC82" s="268">
        <f t="shared" si="14"/>
        <v>8.4</v>
      </c>
      <c r="AD82" s="268">
        <f t="shared" si="14"/>
        <v>8.4</v>
      </c>
      <c r="AE82" s="268">
        <f t="shared" si="14"/>
        <v>5.68</v>
      </c>
      <c r="AF82" s="268">
        <f t="shared" si="14"/>
        <v>5.68</v>
      </c>
      <c r="AG82" s="268">
        <f t="shared" si="14"/>
        <v>5.68</v>
      </c>
      <c r="AH82" s="268">
        <f t="shared" si="14"/>
        <v>5.68</v>
      </c>
      <c r="AI82" s="268">
        <f t="shared" si="14"/>
        <v>0</v>
      </c>
      <c r="AK82" s="13"/>
    </row>
    <row r="83" spans="1:37" x14ac:dyDescent="0.25">
      <c r="J83" s="18"/>
      <c r="L83" s="322"/>
      <c r="M83"/>
      <c r="R83"/>
      <c r="AK83" s="13"/>
    </row>
    <row r="86" spans="1:37" ht="26.25" x14ac:dyDescent="0.4">
      <c r="A86" s="2" t="s">
        <v>5</v>
      </c>
      <c r="X86" s="18" t="s">
        <v>708</v>
      </c>
    </row>
    <row r="87" spans="1:37" x14ac:dyDescent="0.25">
      <c r="Y87" t="s">
        <v>0</v>
      </c>
      <c r="Z87">
        <v>20</v>
      </c>
      <c r="AA87" t="s">
        <v>710</v>
      </c>
      <c r="AB87" t="s">
        <v>709</v>
      </c>
    </row>
    <row r="88" spans="1:37" x14ac:dyDescent="0.25">
      <c r="B88" s="13" t="s">
        <v>1137</v>
      </c>
      <c r="Z88">
        <v>15</v>
      </c>
      <c r="AA88" t="s">
        <v>712</v>
      </c>
      <c r="AB88" t="s">
        <v>711</v>
      </c>
    </row>
    <row r="89" spans="1:37" x14ac:dyDescent="0.25">
      <c r="B89" s="1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247"/>
      <c r="N89" s="15"/>
      <c r="O89" s="15"/>
      <c r="P89" s="3"/>
      <c r="Z89" s="429" t="s">
        <v>721</v>
      </c>
      <c r="AA89" t="s">
        <v>722</v>
      </c>
      <c r="AB89" t="s">
        <v>723</v>
      </c>
    </row>
    <row r="90" spans="1:37" ht="18" customHeight="1" x14ac:dyDescent="0.25">
      <c r="B90" s="4"/>
      <c r="P90" s="5"/>
    </row>
    <row r="91" spans="1:37" ht="21" customHeight="1" x14ac:dyDescent="0.25">
      <c r="B91" s="601" t="s">
        <v>2</v>
      </c>
      <c r="C91" s="594" t="s">
        <v>15</v>
      </c>
      <c r="D91" t="s">
        <v>16</v>
      </c>
      <c r="G91" s="1">
        <v>4435551</v>
      </c>
      <c r="H91" s="1">
        <v>3642520</v>
      </c>
      <c r="I91" s="1">
        <v>3746786</v>
      </c>
      <c r="J91" s="1">
        <v>3184566</v>
      </c>
      <c r="K91" s="1">
        <v>3695327</v>
      </c>
      <c r="L91" s="1">
        <v>3373827</v>
      </c>
      <c r="M91" s="248">
        <v>3301089</v>
      </c>
      <c r="N91" s="1">
        <v>3597996</v>
      </c>
      <c r="O91" s="1">
        <v>3048324</v>
      </c>
      <c r="P91" s="261">
        <v>3550581</v>
      </c>
      <c r="Z91">
        <f>Z87</f>
        <v>20</v>
      </c>
      <c r="AA91" t="s">
        <v>724</v>
      </c>
      <c r="AB91" t="s">
        <v>725</v>
      </c>
    </row>
    <row r="92" spans="1:37" x14ac:dyDescent="0.25">
      <c r="B92" s="601"/>
      <c r="C92" s="594"/>
      <c r="D92" t="s">
        <v>17</v>
      </c>
      <c r="G92" s="1">
        <v>983556</v>
      </c>
      <c r="H92" s="1">
        <v>1009564</v>
      </c>
      <c r="I92" s="1">
        <v>930840</v>
      </c>
      <c r="J92" s="1">
        <v>429916</v>
      </c>
      <c r="K92" s="1">
        <v>985958</v>
      </c>
      <c r="L92" s="1">
        <v>659602</v>
      </c>
      <c r="M92" s="248">
        <v>620035</v>
      </c>
      <c r="N92" s="1">
        <v>638912</v>
      </c>
      <c r="O92" s="1">
        <v>665688</v>
      </c>
      <c r="P92" s="261">
        <v>283235</v>
      </c>
    </row>
    <row r="93" spans="1:37" x14ac:dyDescent="0.25">
      <c r="B93" s="601"/>
      <c r="C93" s="594"/>
      <c r="D93" t="s">
        <v>188</v>
      </c>
      <c r="G93" s="1">
        <v>739818</v>
      </c>
      <c r="H93" s="1">
        <v>705428</v>
      </c>
      <c r="I93" s="1">
        <v>460746</v>
      </c>
      <c r="J93" s="1">
        <v>429916</v>
      </c>
      <c r="K93" s="1">
        <v>584452</v>
      </c>
      <c r="L93" s="1">
        <v>570129</v>
      </c>
      <c r="M93" s="248">
        <v>677891</v>
      </c>
      <c r="N93" s="1">
        <v>690642</v>
      </c>
      <c r="O93" s="1">
        <v>687722</v>
      </c>
      <c r="P93" s="261">
        <v>629943</v>
      </c>
      <c r="Z93">
        <v>2007</v>
      </c>
      <c r="AA93" t="s">
        <v>726</v>
      </c>
    </row>
    <row r="94" spans="1:37" x14ac:dyDescent="0.25">
      <c r="B94" s="601"/>
      <c r="C94" t="s">
        <v>19</v>
      </c>
      <c r="G94" s="1">
        <f>SUM(G91:G93)</f>
        <v>6158925</v>
      </c>
      <c r="H94" s="1">
        <f t="shared" ref="H94:P94" si="15">SUM(H91:H93)</f>
        <v>5357512</v>
      </c>
      <c r="I94" s="1">
        <f t="shared" si="15"/>
        <v>5138372</v>
      </c>
      <c r="J94" s="1">
        <f t="shared" si="15"/>
        <v>4044398</v>
      </c>
      <c r="K94" s="1">
        <f t="shared" si="15"/>
        <v>5265737</v>
      </c>
      <c r="L94" s="1">
        <f t="shared" si="15"/>
        <v>4603558</v>
      </c>
      <c r="M94" s="248">
        <f t="shared" si="15"/>
        <v>4599015</v>
      </c>
      <c r="N94" s="1">
        <f t="shared" si="15"/>
        <v>4927550</v>
      </c>
      <c r="O94" s="1">
        <f t="shared" si="15"/>
        <v>4401734</v>
      </c>
      <c r="P94" s="261">
        <f t="shared" si="15"/>
        <v>4463759</v>
      </c>
      <c r="Z94">
        <v>2014</v>
      </c>
      <c r="AA94" t="s">
        <v>728</v>
      </c>
    </row>
    <row r="95" spans="1:37" x14ac:dyDescent="0.25">
      <c r="B95" s="601"/>
      <c r="G95" s="1"/>
      <c r="H95" s="1"/>
      <c r="I95" s="1"/>
      <c r="J95" s="1"/>
      <c r="K95" s="1"/>
      <c r="L95" s="1"/>
      <c r="M95" s="248"/>
      <c r="N95" s="1"/>
      <c r="O95" s="1"/>
      <c r="P95" s="261"/>
      <c r="Z95" s="18">
        <f>Z91+Z94</f>
        <v>2034</v>
      </c>
      <c r="AA95" s="18" t="s">
        <v>727</v>
      </c>
      <c r="AB95" s="18"/>
    </row>
    <row r="96" spans="1:37" x14ac:dyDescent="0.25">
      <c r="B96" s="601"/>
      <c r="C96" t="s">
        <v>20</v>
      </c>
      <c r="D96" t="s">
        <v>21</v>
      </c>
      <c r="G96" s="1">
        <v>1753585</v>
      </c>
      <c r="H96" s="1">
        <v>1735914</v>
      </c>
      <c r="I96" s="1">
        <v>1177925</v>
      </c>
      <c r="J96" s="1">
        <v>1339720</v>
      </c>
      <c r="K96" s="1">
        <v>1120452</v>
      </c>
      <c r="L96" s="1">
        <v>1414164</v>
      </c>
      <c r="M96" s="248">
        <v>1493420</v>
      </c>
      <c r="N96" s="1">
        <v>1295000</v>
      </c>
      <c r="O96" s="1">
        <v>1611530</v>
      </c>
      <c r="P96" s="261">
        <v>1124971</v>
      </c>
    </row>
    <row r="97" spans="2:29" x14ac:dyDescent="0.25">
      <c r="B97" s="602"/>
      <c r="C97" s="11" t="s">
        <v>22</v>
      </c>
      <c r="D97" s="11"/>
      <c r="E97" s="11"/>
      <c r="F97" s="11"/>
      <c r="G97" s="12">
        <f>G96+G94</f>
        <v>7912510</v>
      </c>
      <c r="H97" s="12">
        <f t="shared" ref="H97:P97" si="16">H96+H94</f>
        <v>7093426</v>
      </c>
      <c r="I97" s="12">
        <f t="shared" si="16"/>
        <v>6316297</v>
      </c>
      <c r="J97" s="12">
        <f t="shared" si="16"/>
        <v>5384118</v>
      </c>
      <c r="K97" s="12">
        <f t="shared" si="16"/>
        <v>6386189</v>
      </c>
      <c r="L97" s="12">
        <f t="shared" si="16"/>
        <v>6017722</v>
      </c>
      <c r="M97" s="249">
        <f t="shared" si="16"/>
        <v>6092435</v>
      </c>
      <c r="N97" s="12">
        <f t="shared" si="16"/>
        <v>6222550</v>
      </c>
      <c r="O97" s="12">
        <f t="shared" si="16"/>
        <v>6013264</v>
      </c>
      <c r="P97" s="262">
        <f t="shared" si="16"/>
        <v>5588730</v>
      </c>
      <c r="Y97" t="s">
        <v>1</v>
      </c>
      <c r="Z97">
        <v>20</v>
      </c>
      <c r="AA97" t="s">
        <v>730</v>
      </c>
      <c r="AB97" t="s">
        <v>729</v>
      </c>
    </row>
    <row r="98" spans="2:29" x14ac:dyDescent="0.25">
      <c r="B98" s="4"/>
      <c r="G98" s="1"/>
      <c r="H98" s="1"/>
      <c r="I98" s="1"/>
      <c r="J98" s="1"/>
      <c r="K98" s="1"/>
      <c r="L98" s="1"/>
      <c r="M98" s="248"/>
      <c r="N98" s="1"/>
      <c r="O98" s="1"/>
      <c r="P98" s="261"/>
      <c r="Z98" s="18">
        <v>2030</v>
      </c>
      <c r="AA98" s="18" t="s">
        <v>731</v>
      </c>
      <c r="AB98" s="18"/>
      <c r="AC98" s="18"/>
    </row>
    <row r="99" spans="2:29" x14ac:dyDescent="0.25">
      <c r="B99" s="603" t="s">
        <v>23</v>
      </c>
      <c r="D99" t="s">
        <v>24</v>
      </c>
      <c r="G99" s="1">
        <v>5173676</v>
      </c>
      <c r="H99" s="1">
        <v>4521461</v>
      </c>
      <c r="I99" s="1">
        <v>4504275</v>
      </c>
      <c r="J99" s="1">
        <v>3953709</v>
      </c>
      <c r="K99" s="1">
        <v>4366727</v>
      </c>
      <c r="L99" s="1">
        <v>3991686</v>
      </c>
      <c r="M99" s="248">
        <v>3904276</v>
      </c>
      <c r="N99" s="1">
        <v>4271948</v>
      </c>
      <c r="O99" s="1">
        <v>3622909</v>
      </c>
      <c r="P99" s="261">
        <v>3907513</v>
      </c>
    </row>
    <row r="100" spans="2:29" x14ac:dyDescent="0.25">
      <c r="B100" s="603"/>
      <c r="D100" t="s">
        <v>25</v>
      </c>
      <c r="G100" s="1">
        <v>4429648</v>
      </c>
      <c r="H100" s="1">
        <v>4464344</v>
      </c>
      <c r="I100" s="1">
        <v>3650683</v>
      </c>
      <c r="J100" s="1">
        <v>3530223</v>
      </c>
      <c r="K100" s="1">
        <v>3250035</v>
      </c>
      <c r="L100" s="1">
        <v>3554803</v>
      </c>
      <c r="M100" s="248">
        <v>3034124</v>
      </c>
      <c r="N100" s="1">
        <v>2889952</v>
      </c>
      <c r="O100" s="1">
        <v>2789291</v>
      </c>
      <c r="P100" s="261">
        <v>2490587</v>
      </c>
    </row>
    <row r="101" spans="2:29" ht="31.5" customHeight="1" x14ac:dyDescent="0.25">
      <c r="B101" s="604"/>
      <c r="C101" s="11" t="s">
        <v>26</v>
      </c>
      <c r="D101" s="11"/>
      <c r="E101" s="11"/>
      <c r="F101" s="11"/>
      <c r="G101" s="12">
        <f>SUM(G99:G100)</f>
        <v>9603324</v>
      </c>
      <c r="H101" s="12">
        <f t="shared" ref="H101:P101" si="17">SUM(H99:H100)</f>
        <v>8985805</v>
      </c>
      <c r="I101" s="12">
        <f t="shared" si="17"/>
        <v>8154958</v>
      </c>
      <c r="J101" s="12">
        <f t="shared" si="17"/>
        <v>7483932</v>
      </c>
      <c r="K101" s="12">
        <f t="shared" si="17"/>
        <v>7616762</v>
      </c>
      <c r="L101" s="12">
        <f t="shared" si="17"/>
        <v>7546489</v>
      </c>
      <c r="M101" s="249">
        <f t="shared" si="17"/>
        <v>6938400</v>
      </c>
      <c r="N101" s="12">
        <f t="shared" si="17"/>
        <v>7161900</v>
      </c>
      <c r="O101" s="12">
        <f t="shared" si="17"/>
        <v>6412200</v>
      </c>
      <c r="P101" s="262">
        <f t="shared" si="17"/>
        <v>6398100</v>
      </c>
    </row>
    <row r="102" spans="2:29" x14ac:dyDescent="0.25">
      <c r="B102" s="4"/>
      <c r="G102" s="1"/>
      <c r="H102" s="1"/>
      <c r="I102" s="1"/>
      <c r="J102" s="1"/>
      <c r="K102" s="1"/>
      <c r="L102" s="1"/>
      <c r="M102" s="248"/>
      <c r="N102" s="1"/>
      <c r="O102" s="1"/>
      <c r="P102" s="261"/>
    </row>
    <row r="103" spans="2:29" x14ac:dyDescent="0.25">
      <c r="B103" s="603" t="s">
        <v>27</v>
      </c>
      <c r="D103" t="s">
        <v>28</v>
      </c>
      <c r="G103" s="1">
        <v>9559990</v>
      </c>
      <c r="H103" s="1">
        <v>8937442</v>
      </c>
      <c r="I103" s="1">
        <v>8112703</v>
      </c>
      <c r="J103" s="1">
        <v>7456012</v>
      </c>
      <c r="K103" s="1">
        <v>7578562</v>
      </c>
      <c r="L103" s="1">
        <v>7500581</v>
      </c>
      <c r="M103" s="248">
        <v>6900492</v>
      </c>
      <c r="N103" s="1">
        <v>7138554</v>
      </c>
      <c r="O103" s="1">
        <v>6380623</v>
      </c>
      <c r="P103" s="261">
        <v>6361220</v>
      </c>
    </row>
    <row r="104" spans="2:29" x14ac:dyDescent="0.25">
      <c r="B104" s="603"/>
      <c r="D104" t="s">
        <v>4</v>
      </c>
      <c r="G104" s="1">
        <v>43334</v>
      </c>
      <c r="H104" s="1">
        <v>48363</v>
      </c>
      <c r="I104" s="1">
        <v>42255</v>
      </c>
      <c r="J104" s="1">
        <v>27920</v>
      </c>
      <c r="K104" s="1">
        <v>38200</v>
      </c>
      <c r="L104" s="1">
        <v>45908</v>
      </c>
      <c r="M104" s="248">
        <v>37908</v>
      </c>
      <c r="N104" s="1">
        <v>23346</v>
      </c>
      <c r="O104" s="1">
        <v>31577</v>
      </c>
      <c r="P104" s="261">
        <v>36880</v>
      </c>
    </row>
    <row r="105" spans="2:29" x14ac:dyDescent="0.25">
      <c r="B105" s="604"/>
      <c r="C105" s="11" t="s">
        <v>29</v>
      </c>
      <c r="D105" s="11"/>
      <c r="E105" s="11"/>
      <c r="F105" s="11"/>
      <c r="G105" s="12">
        <f>SUM(G103:G104)</f>
        <v>9603324</v>
      </c>
      <c r="H105" s="12">
        <f t="shared" ref="H105:P105" si="18">SUM(H103:H104)</f>
        <v>8985805</v>
      </c>
      <c r="I105" s="12">
        <f t="shared" si="18"/>
        <v>8154958</v>
      </c>
      <c r="J105" s="12">
        <f t="shared" si="18"/>
        <v>7483932</v>
      </c>
      <c r="K105" s="12">
        <f t="shared" si="18"/>
        <v>7616762</v>
      </c>
      <c r="L105" s="12">
        <f t="shared" si="18"/>
        <v>7546489</v>
      </c>
      <c r="M105" s="249">
        <f t="shared" si="18"/>
        <v>6938400</v>
      </c>
      <c r="N105" s="12">
        <f t="shared" si="18"/>
        <v>7161900</v>
      </c>
      <c r="O105" s="12">
        <f t="shared" si="18"/>
        <v>6412200</v>
      </c>
      <c r="P105" s="262">
        <f t="shared" si="18"/>
        <v>6398100</v>
      </c>
    </row>
    <row r="106" spans="2:29" x14ac:dyDescent="0.25">
      <c r="B106" s="4"/>
      <c r="G106" s="1"/>
      <c r="H106" s="1"/>
      <c r="I106" s="1"/>
      <c r="J106" s="1"/>
      <c r="K106" s="1"/>
      <c r="L106" s="1"/>
      <c r="M106" s="248"/>
      <c r="N106" s="1"/>
      <c r="O106" s="1"/>
      <c r="P106" s="261"/>
    </row>
    <row r="107" spans="2:29" x14ac:dyDescent="0.25">
      <c r="B107" s="4"/>
      <c r="C107" s="16" t="s">
        <v>30</v>
      </c>
      <c r="G107" s="1">
        <f>G105-G97</f>
        <v>1690814</v>
      </c>
      <c r="H107" s="1">
        <f t="shared" ref="H107:P107" si="19">H105-H97</f>
        <v>1892379</v>
      </c>
      <c r="I107" s="1">
        <f t="shared" si="19"/>
        <v>1838661</v>
      </c>
      <c r="J107" s="1">
        <f t="shared" si="19"/>
        <v>2099814</v>
      </c>
      <c r="K107" s="1">
        <f t="shared" si="19"/>
        <v>1230573</v>
      </c>
      <c r="L107" s="1">
        <f t="shared" si="19"/>
        <v>1528767</v>
      </c>
      <c r="M107" s="248">
        <f>M105-M97</f>
        <v>845965</v>
      </c>
      <c r="N107" s="1">
        <f t="shared" si="19"/>
        <v>939350</v>
      </c>
      <c r="O107" s="1">
        <f t="shared" si="19"/>
        <v>398936</v>
      </c>
      <c r="P107" s="261">
        <f t="shared" si="19"/>
        <v>809370</v>
      </c>
    </row>
    <row r="108" spans="2:29" x14ac:dyDescent="0.25">
      <c r="B108" s="4"/>
      <c r="G108" s="17">
        <f t="shared" ref="G108:P108" si="20">G107/G105</f>
        <v>0.17606549565546262</v>
      </c>
      <c r="H108" s="17">
        <f t="shared" si="20"/>
        <v>0.21059649079854281</v>
      </c>
      <c r="I108" s="17">
        <f t="shared" si="20"/>
        <v>0.22546541625352332</v>
      </c>
      <c r="J108" s="17">
        <f t="shared" si="20"/>
        <v>0.28057630667943001</v>
      </c>
      <c r="K108" s="17">
        <f t="shared" si="20"/>
        <v>0.16156117258226002</v>
      </c>
      <c r="L108" s="17">
        <f t="shared" si="20"/>
        <v>0.20257990172648499</v>
      </c>
      <c r="M108" s="250">
        <f t="shared" si="20"/>
        <v>0.12192508359275914</v>
      </c>
      <c r="N108" s="17">
        <f t="shared" si="20"/>
        <v>0.13115932922827742</v>
      </c>
      <c r="O108" s="17">
        <f t="shared" si="20"/>
        <v>6.2215152365802689E-2</v>
      </c>
      <c r="P108" s="263">
        <f t="shared" si="20"/>
        <v>0.12650161766774512</v>
      </c>
    </row>
    <row r="109" spans="2:29" x14ac:dyDescent="0.25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251"/>
      <c r="N109" s="8"/>
      <c r="O109" s="8"/>
      <c r="P109" s="9"/>
    </row>
    <row r="111" spans="2:29" x14ac:dyDescent="0.25">
      <c r="C111" t="s">
        <v>206</v>
      </c>
    </row>
    <row r="112" spans="2:29" x14ac:dyDescent="0.25">
      <c r="B112" s="14"/>
      <c r="C112" s="15"/>
      <c r="D112" s="15"/>
      <c r="E112" s="15"/>
      <c r="F112" s="305" t="s">
        <v>2</v>
      </c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20" x14ac:dyDescent="0.25">
      <c r="B113" s="4" t="s">
        <v>220</v>
      </c>
      <c r="C113" t="s">
        <v>166</v>
      </c>
      <c r="D113" t="s">
        <v>16</v>
      </c>
      <c r="E113" t="s">
        <v>24</v>
      </c>
      <c r="G113" s="19">
        <f>G91-G115</f>
        <v>2715643.4693877553</v>
      </c>
      <c r="H113" s="19">
        <f t="shared" ref="H113:P113" si="21">H91-H115</f>
        <v>2230114.2857142859</v>
      </c>
      <c r="I113" s="19">
        <f t="shared" si="21"/>
        <v>2293950.6122448985</v>
      </c>
      <c r="J113" s="19">
        <f t="shared" si="21"/>
        <v>1949734.2857142859</v>
      </c>
      <c r="K113" s="19">
        <f t="shared" si="21"/>
        <v>2262445.1020408166</v>
      </c>
      <c r="L113" s="19">
        <f t="shared" si="21"/>
        <v>2065608.3673469389</v>
      </c>
      <c r="M113" s="253">
        <f t="shared" si="21"/>
        <v>2021074.8979591839</v>
      </c>
      <c r="N113" s="19">
        <f t="shared" si="21"/>
        <v>2202854.6938775512</v>
      </c>
      <c r="O113" s="19">
        <f t="shared" si="21"/>
        <v>1866320.8163265309</v>
      </c>
      <c r="P113" s="284">
        <f t="shared" si="21"/>
        <v>2173825.1020408166</v>
      </c>
    </row>
    <row r="114" spans="2:20" x14ac:dyDescent="0.25">
      <c r="B114" s="4" t="s">
        <v>220</v>
      </c>
      <c r="C114" t="s">
        <v>166</v>
      </c>
      <c r="D114" t="s">
        <v>168</v>
      </c>
      <c r="E114" t="s">
        <v>1</v>
      </c>
      <c r="G114" s="19">
        <f>G96-G118</f>
        <v>1262581.2</v>
      </c>
      <c r="H114" s="19">
        <f t="shared" ref="H114:P114" si="22">H96-H118</f>
        <v>1249858.08</v>
      </c>
      <c r="I114" s="19">
        <f t="shared" si="22"/>
        <v>848106</v>
      </c>
      <c r="J114" s="19">
        <f t="shared" si="22"/>
        <v>964598.39999999991</v>
      </c>
      <c r="K114" s="19">
        <f t="shared" si="22"/>
        <v>806725.44</v>
      </c>
      <c r="L114" s="19">
        <f t="shared" si="22"/>
        <v>1018198.08</v>
      </c>
      <c r="M114" s="253">
        <f t="shared" si="22"/>
        <v>1075262.3999999999</v>
      </c>
      <c r="N114" s="19">
        <f t="shared" si="22"/>
        <v>932400</v>
      </c>
      <c r="O114" s="19">
        <f t="shared" si="22"/>
        <v>1160301.6000000001</v>
      </c>
      <c r="P114" s="284">
        <f t="shared" si="22"/>
        <v>809979.12</v>
      </c>
    </row>
    <row r="115" spans="2:20" x14ac:dyDescent="0.25">
      <c r="B115" s="4" t="s">
        <v>220</v>
      </c>
      <c r="C115" t="s">
        <v>171</v>
      </c>
      <c r="D115" t="s">
        <v>16</v>
      </c>
      <c r="E115" t="s">
        <v>24</v>
      </c>
      <c r="G115" s="1">
        <f>G91*$M$12/($M$12+$M$10)</f>
        <v>1719907.5306122447</v>
      </c>
      <c r="H115" s="1">
        <f t="shared" ref="H115:P115" si="23">H91*$M$12/($M$12+$M$10)</f>
        <v>1412405.7142857141</v>
      </c>
      <c r="I115" s="1">
        <f t="shared" si="23"/>
        <v>1452835.3877551018</v>
      </c>
      <c r="J115" s="1">
        <f t="shared" si="23"/>
        <v>1234831.7142857141</v>
      </c>
      <c r="K115" s="1">
        <f t="shared" si="23"/>
        <v>1432881.8979591834</v>
      </c>
      <c r="L115" s="1">
        <f t="shared" si="23"/>
        <v>1308218.6326530611</v>
      </c>
      <c r="M115" s="248">
        <f t="shared" si="23"/>
        <v>1280014.1020408161</v>
      </c>
      <c r="N115" s="1">
        <f t="shared" si="23"/>
        <v>1395141.3061224488</v>
      </c>
      <c r="O115" s="1">
        <f t="shared" si="23"/>
        <v>1182003.1836734691</v>
      </c>
      <c r="P115" s="261">
        <f t="shared" si="23"/>
        <v>1376755.8979591834</v>
      </c>
    </row>
    <row r="116" spans="2:20" x14ac:dyDescent="0.25">
      <c r="B116" s="4" t="s">
        <v>220</v>
      </c>
      <c r="C116" t="s">
        <v>174</v>
      </c>
      <c r="D116" t="s">
        <v>175</v>
      </c>
      <c r="E116" t="s">
        <v>1</v>
      </c>
      <c r="P116" s="5"/>
    </row>
    <row r="117" spans="2:20" x14ac:dyDescent="0.25">
      <c r="B117" s="4" t="s">
        <v>220</v>
      </c>
      <c r="C117" t="s">
        <v>177</v>
      </c>
      <c r="D117" t="s">
        <v>93</v>
      </c>
      <c r="E117" t="s">
        <v>95</v>
      </c>
      <c r="G117" s="19">
        <f>G93</f>
        <v>739818</v>
      </c>
      <c r="H117" s="19">
        <f t="shared" ref="H117:P117" si="24">H93</f>
        <v>705428</v>
      </c>
      <c r="I117" s="19">
        <f t="shared" si="24"/>
        <v>460746</v>
      </c>
      <c r="J117" s="19">
        <f t="shared" si="24"/>
        <v>429916</v>
      </c>
      <c r="K117" s="19">
        <f t="shared" si="24"/>
        <v>584452</v>
      </c>
      <c r="L117" s="19">
        <f t="shared" si="24"/>
        <v>570129</v>
      </c>
      <c r="M117" s="253">
        <f t="shared" si="24"/>
        <v>677891</v>
      </c>
      <c r="N117" s="19">
        <f t="shared" si="24"/>
        <v>690642</v>
      </c>
      <c r="O117" s="19">
        <f t="shared" si="24"/>
        <v>687722</v>
      </c>
      <c r="P117" s="284">
        <f t="shared" si="24"/>
        <v>629943</v>
      </c>
    </row>
    <row r="118" spans="2:20" x14ac:dyDescent="0.25">
      <c r="B118" s="4" t="s">
        <v>220</v>
      </c>
      <c r="C118" t="s">
        <v>177</v>
      </c>
      <c r="D118" t="s">
        <v>168</v>
      </c>
      <c r="E118" t="s">
        <v>95</v>
      </c>
      <c r="G118" s="1">
        <f>G96*$M$15/($M$15+$M$11)</f>
        <v>491003.80000000005</v>
      </c>
      <c r="H118" s="1">
        <f t="shared" ref="H118:P118" si="25">H96*$M$15/($M$15+$M$11)</f>
        <v>486055.92000000004</v>
      </c>
      <c r="I118" s="1">
        <f t="shared" si="25"/>
        <v>329819.00000000006</v>
      </c>
      <c r="J118" s="1">
        <f t="shared" si="25"/>
        <v>375121.60000000003</v>
      </c>
      <c r="K118" s="1">
        <f t="shared" si="25"/>
        <v>313726.56000000006</v>
      </c>
      <c r="L118" s="1">
        <f t="shared" si="25"/>
        <v>395965.92000000004</v>
      </c>
      <c r="M118" s="248">
        <f t="shared" si="25"/>
        <v>418157.60000000003</v>
      </c>
      <c r="N118" s="1">
        <f t="shared" si="25"/>
        <v>362600.00000000006</v>
      </c>
      <c r="O118" s="1">
        <f t="shared" si="25"/>
        <v>451228.4</v>
      </c>
      <c r="P118" s="261">
        <f t="shared" si="25"/>
        <v>314991.88</v>
      </c>
    </row>
    <row r="119" spans="2:20" x14ac:dyDescent="0.25">
      <c r="B119" s="4" t="s">
        <v>179</v>
      </c>
      <c r="C119" t="s">
        <v>180</v>
      </c>
      <c r="D119" t="s">
        <v>17</v>
      </c>
      <c r="E119" t="s">
        <v>24</v>
      </c>
      <c r="G119" s="19">
        <f>G92</f>
        <v>983556</v>
      </c>
      <c r="H119" s="19">
        <f t="shared" ref="H119:P119" si="26">H92</f>
        <v>1009564</v>
      </c>
      <c r="I119" s="19">
        <f t="shared" si="26"/>
        <v>930840</v>
      </c>
      <c r="J119" s="19">
        <f t="shared" si="26"/>
        <v>429916</v>
      </c>
      <c r="K119" s="19">
        <f t="shared" si="26"/>
        <v>985958</v>
      </c>
      <c r="L119" s="19">
        <f t="shared" si="26"/>
        <v>659602</v>
      </c>
      <c r="M119" s="253">
        <f t="shared" si="26"/>
        <v>620035</v>
      </c>
      <c r="N119" s="19">
        <f t="shared" si="26"/>
        <v>638912</v>
      </c>
      <c r="O119" s="19">
        <f t="shared" si="26"/>
        <v>665688</v>
      </c>
      <c r="P119" s="284">
        <f t="shared" si="26"/>
        <v>283235</v>
      </c>
    </row>
    <row r="120" spans="2:20" x14ac:dyDescent="0.25">
      <c r="B120" s="4" t="s">
        <v>181</v>
      </c>
      <c r="D120" t="s">
        <v>175</v>
      </c>
      <c r="E120" t="s">
        <v>1</v>
      </c>
      <c r="P120" s="5"/>
    </row>
    <row r="121" spans="2:20" x14ac:dyDescent="0.25">
      <c r="B121" s="4"/>
      <c r="P121" s="5"/>
    </row>
    <row r="122" spans="2:20" x14ac:dyDescent="0.25">
      <c r="B122" s="4"/>
      <c r="E122" t="s">
        <v>3</v>
      </c>
      <c r="G122" s="19">
        <f t="shared" ref="G122:P122" si="27">SUM(G113:G120)</f>
        <v>7912509.9999999991</v>
      </c>
      <c r="H122" s="19">
        <f t="shared" si="27"/>
        <v>7093426</v>
      </c>
      <c r="I122" s="19">
        <f t="shared" si="27"/>
        <v>6316297</v>
      </c>
      <c r="J122" s="19">
        <f t="shared" si="27"/>
        <v>5384118</v>
      </c>
      <c r="K122" s="19">
        <f t="shared" si="27"/>
        <v>6386189</v>
      </c>
      <c r="L122" s="19">
        <f t="shared" si="27"/>
        <v>6017722</v>
      </c>
      <c r="M122" s="253">
        <f t="shared" si="27"/>
        <v>6092435</v>
      </c>
      <c r="N122" s="19">
        <f t="shared" si="27"/>
        <v>6222550</v>
      </c>
      <c r="O122" s="19">
        <f t="shared" si="27"/>
        <v>6013264.0000000009</v>
      </c>
      <c r="P122" s="284">
        <f t="shared" si="27"/>
        <v>5588730</v>
      </c>
    </row>
    <row r="123" spans="2:20" x14ac:dyDescent="0.25">
      <c r="B123" s="4"/>
      <c r="P123" s="5"/>
    </row>
    <row r="124" spans="2:20" x14ac:dyDescent="0.25">
      <c r="B124" s="4"/>
      <c r="F124" s="18" t="s">
        <v>23</v>
      </c>
      <c r="P124" s="5"/>
    </row>
    <row r="125" spans="2:20" x14ac:dyDescent="0.25">
      <c r="B125" s="4" t="s">
        <v>220</v>
      </c>
      <c r="C125" t="s">
        <v>166</v>
      </c>
      <c r="D125" t="s">
        <v>16</v>
      </c>
      <c r="E125" t="s">
        <v>24</v>
      </c>
      <c r="G125" s="1">
        <f>G99*(G113/(G113+G115))</f>
        <v>3167556.7346938774</v>
      </c>
      <c r="H125" s="1">
        <f t="shared" ref="H125:P125" si="28">H99*(H113/(H113+H115))</f>
        <v>2768241.4285714286</v>
      </c>
      <c r="I125" s="1">
        <f t="shared" si="28"/>
        <v>2757719.3877551025</v>
      </c>
      <c r="J125" s="1">
        <f t="shared" si="28"/>
        <v>2420638.163265306</v>
      </c>
      <c r="K125" s="1">
        <f t="shared" si="28"/>
        <v>2673506.3265306121</v>
      </c>
      <c r="L125" s="1">
        <f t="shared" si="28"/>
        <v>2443889.387755102</v>
      </c>
      <c r="M125" s="248">
        <f>M99*(M113/(M113+M115))</f>
        <v>2390373.0612244899</v>
      </c>
      <c r="N125" s="1">
        <f t="shared" si="28"/>
        <v>2615478.3673469387</v>
      </c>
      <c r="O125" s="1">
        <f t="shared" si="28"/>
        <v>2218107.5510204085</v>
      </c>
      <c r="P125" s="261">
        <f t="shared" si="28"/>
        <v>2392354.8979591839</v>
      </c>
    </row>
    <row r="126" spans="2:20" x14ac:dyDescent="0.25">
      <c r="B126" s="4" t="s">
        <v>220</v>
      </c>
      <c r="C126" t="s">
        <v>166</v>
      </c>
      <c r="D126" t="s">
        <v>168</v>
      </c>
      <c r="E126" t="s">
        <v>1</v>
      </c>
      <c r="G126" s="19"/>
      <c r="H126" s="19"/>
      <c r="I126" s="19"/>
      <c r="J126" s="19"/>
      <c r="K126" s="19"/>
      <c r="L126" s="19"/>
      <c r="M126" s="253"/>
      <c r="N126" s="19"/>
      <c r="O126" s="19"/>
      <c r="P126" s="284"/>
    </row>
    <row r="127" spans="2:20" x14ac:dyDescent="0.25">
      <c r="B127" s="4" t="s">
        <v>220</v>
      </c>
      <c r="C127" t="s">
        <v>171</v>
      </c>
      <c r="D127" t="s">
        <v>16</v>
      </c>
      <c r="E127" t="s">
        <v>24</v>
      </c>
      <c r="G127" s="19">
        <f>G99-G131-G125</f>
        <v>1022563.2653061226</v>
      </c>
      <c r="H127" s="19">
        <f t="shared" ref="H127:M127" si="29">H99-H131-H125</f>
        <v>743655.57142857136</v>
      </c>
      <c r="I127" s="19">
        <f t="shared" si="29"/>
        <v>815715.61224489752</v>
      </c>
      <c r="J127" s="19">
        <f t="shared" si="29"/>
        <v>1103154.836734694</v>
      </c>
      <c r="K127" s="19">
        <f t="shared" si="29"/>
        <v>707262.67346938793</v>
      </c>
      <c r="L127" s="19">
        <f t="shared" si="29"/>
        <v>888194.61224489799</v>
      </c>
      <c r="M127" s="253">
        <f t="shared" si="29"/>
        <v>893867.93877551006</v>
      </c>
      <c r="N127" s="306">
        <f>'AcelorMittal sus report data'!S43</f>
        <v>1568</v>
      </c>
      <c r="O127" s="306">
        <f>'AcelorMittal sus report data'!T43</f>
        <v>609</v>
      </c>
      <c r="P127" s="307">
        <f>'AcelorMittal sus report data'!U43</f>
        <v>1530</v>
      </c>
      <c r="R127" s="253" t="s">
        <v>350</v>
      </c>
      <c r="S127" s="306"/>
      <c r="T127" s="306"/>
    </row>
    <row r="128" spans="2:20" x14ac:dyDescent="0.25">
      <c r="B128" s="4" t="s">
        <v>220</v>
      </c>
      <c r="C128" t="s">
        <v>174</v>
      </c>
      <c r="D128" t="s">
        <v>175</v>
      </c>
      <c r="E128" t="s">
        <v>1</v>
      </c>
      <c r="G128" s="19"/>
      <c r="H128" s="19"/>
      <c r="I128" s="19"/>
      <c r="J128" s="19"/>
      <c r="K128" s="19"/>
      <c r="L128" s="19"/>
      <c r="M128" s="253"/>
      <c r="N128" s="306">
        <f>'AcelorMittal sus report data'!S44</f>
        <v>299</v>
      </c>
      <c r="O128" s="306">
        <f>'AcelorMittal sus report data'!T44</f>
        <v>323</v>
      </c>
      <c r="P128" s="307">
        <f>'AcelorMittal sus report data'!U44</f>
        <v>164</v>
      </c>
    </row>
    <row r="129" spans="2:16" x14ac:dyDescent="0.25">
      <c r="B129" s="4" t="s">
        <v>220</v>
      </c>
      <c r="C129" t="s">
        <v>177</v>
      </c>
      <c r="D129" t="s">
        <v>93</v>
      </c>
      <c r="E129" t="s">
        <v>95</v>
      </c>
      <c r="G129" s="308"/>
      <c r="H129" s="308"/>
      <c r="I129" s="308"/>
      <c r="J129" s="308"/>
      <c r="K129" s="308"/>
      <c r="L129" s="308"/>
      <c r="M129" s="309"/>
      <c r="N129" s="308"/>
      <c r="O129" s="308"/>
      <c r="P129" s="307">
        <f>'AcelorMittal sus report data'!U41/2</f>
        <v>481.5</v>
      </c>
    </row>
    <row r="130" spans="2:16" x14ac:dyDescent="0.25">
      <c r="B130" s="4" t="s">
        <v>220</v>
      </c>
      <c r="C130" t="s">
        <v>177</v>
      </c>
      <c r="D130" t="s">
        <v>168</v>
      </c>
      <c r="E130" t="s">
        <v>95</v>
      </c>
      <c r="G130" s="311"/>
      <c r="H130" s="311"/>
      <c r="I130" s="311"/>
      <c r="J130" s="311"/>
      <c r="K130" s="311"/>
      <c r="L130" s="311"/>
      <c r="M130" s="312"/>
      <c r="N130" s="311"/>
      <c r="O130" s="311"/>
      <c r="P130" s="310">
        <f>P129</f>
        <v>481.5</v>
      </c>
    </row>
    <row r="131" spans="2:16" x14ac:dyDescent="0.25">
      <c r="B131" s="4" t="s">
        <v>179</v>
      </c>
      <c r="C131" t="s">
        <v>180</v>
      </c>
      <c r="D131" t="s">
        <v>17</v>
      </c>
      <c r="E131" t="s">
        <v>24</v>
      </c>
      <c r="G131" s="19">
        <f>G92</f>
        <v>983556</v>
      </c>
      <c r="H131" s="19">
        <f t="shared" ref="H131:P131" si="30">H92</f>
        <v>1009564</v>
      </c>
      <c r="I131" s="19">
        <f t="shared" si="30"/>
        <v>930840</v>
      </c>
      <c r="J131" s="19">
        <f t="shared" si="30"/>
        <v>429916</v>
      </c>
      <c r="K131" s="19">
        <f t="shared" si="30"/>
        <v>985958</v>
      </c>
      <c r="L131" s="19">
        <f t="shared" si="30"/>
        <v>659602</v>
      </c>
      <c r="M131" s="253">
        <f t="shared" si="30"/>
        <v>620035</v>
      </c>
      <c r="N131" s="19">
        <f t="shared" si="30"/>
        <v>638912</v>
      </c>
      <c r="O131" s="19">
        <f t="shared" si="30"/>
        <v>665688</v>
      </c>
      <c r="P131" s="284">
        <f t="shared" si="30"/>
        <v>283235</v>
      </c>
    </row>
    <row r="132" spans="2:16" x14ac:dyDescent="0.25">
      <c r="B132" s="4" t="s">
        <v>181</v>
      </c>
      <c r="D132" t="s">
        <v>175</v>
      </c>
      <c r="E132" t="s">
        <v>1</v>
      </c>
      <c r="P132" s="5"/>
    </row>
    <row r="133" spans="2:16" x14ac:dyDescent="0.25">
      <c r="B133" s="4"/>
      <c r="G133" s="19"/>
      <c r="H133" s="19"/>
      <c r="I133" s="19"/>
      <c r="J133" s="19"/>
      <c r="K133" s="19"/>
      <c r="L133" s="19"/>
      <c r="M133" s="253"/>
      <c r="N133" s="19"/>
      <c r="O133" s="19"/>
      <c r="P133" s="284"/>
    </row>
    <row r="134" spans="2:16" x14ac:dyDescent="0.25">
      <c r="B134" s="7"/>
      <c r="C134" s="8"/>
      <c r="D134" s="8"/>
      <c r="E134" s="8" t="s">
        <v>3</v>
      </c>
      <c r="F134" s="8"/>
      <c r="G134" s="121">
        <f>SUM(G125:G132)</f>
        <v>5173676</v>
      </c>
      <c r="H134" s="121">
        <f t="shared" ref="H134:O134" si="31">SUM(H125:H132)</f>
        <v>4521461</v>
      </c>
      <c r="I134" s="121">
        <f t="shared" si="31"/>
        <v>4504275</v>
      </c>
      <c r="J134" s="121">
        <f t="shared" si="31"/>
        <v>3953709</v>
      </c>
      <c r="K134" s="121">
        <f t="shared" si="31"/>
        <v>4366727</v>
      </c>
      <c r="L134" s="121">
        <f t="shared" si="31"/>
        <v>3991686</v>
      </c>
      <c r="M134" s="121">
        <f t="shared" si="31"/>
        <v>3904276</v>
      </c>
      <c r="N134" s="121">
        <f t="shared" si="31"/>
        <v>3256257.3673469387</v>
      </c>
      <c r="O134" s="121">
        <f t="shared" si="31"/>
        <v>2884727.5510204085</v>
      </c>
      <c r="P134" s="124">
        <f>SUM(P125:P132)</f>
        <v>2678246.8979591839</v>
      </c>
    </row>
    <row r="136" spans="2:16" x14ac:dyDescent="0.25">
      <c r="B136" t="s">
        <v>36</v>
      </c>
    </row>
    <row r="137" spans="2:16" x14ac:dyDescent="0.25">
      <c r="B137" s="1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247"/>
      <c r="N137" s="15"/>
      <c r="O137" s="15"/>
      <c r="P137" s="3"/>
    </row>
    <row r="138" spans="2:16" x14ac:dyDescent="0.25">
      <c r="B138" s="4"/>
      <c r="M138" s="239" t="s">
        <v>33</v>
      </c>
      <c r="P138" s="5"/>
    </row>
    <row r="139" spans="2:16" x14ac:dyDescent="0.25">
      <c r="B139" s="4"/>
      <c r="M139" s="252">
        <v>2012</v>
      </c>
      <c r="N139" s="18">
        <v>2013</v>
      </c>
      <c r="O139" s="18">
        <v>2014</v>
      </c>
      <c r="P139" s="131">
        <v>2015</v>
      </c>
    </row>
    <row r="140" spans="2:16" x14ac:dyDescent="0.25">
      <c r="B140" s="4"/>
      <c r="D140" t="s">
        <v>24</v>
      </c>
      <c r="M140" s="248">
        <v>3904276</v>
      </c>
      <c r="N140" s="1">
        <v>4271948</v>
      </c>
      <c r="O140" s="1">
        <v>3622909</v>
      </c>
      <c r="P140" s="261">
        <v>3907513</v>
      </c>
    </row>
    <row r="141" spans="2:16" x14ac:dyDescent="0.25">
      <c r="B141" s="4"/>
      <c r="D141" t="s">
        <v>1</v>
      </c>
      <c r="M141" s="248">
        <v>3904276</v>
      </c>
      <c r="N141" s="1">
        <v>3292870</v>
      </c>
      <c r="O141" s="1">
        <v>2789291</v>
      </c>
      <c r="P141" s="261">
        <v>2490587</v>
      </c>
    </row>
    <row r="142" spans="2:16" x14ac:dyDescent="0.25">
      <c r="B142" s="4"/>
      <c r="D142" t="s">
        <v>34</v>
      </c>
      <c r="M142" s="248">
        <v>4599015</v>
      </c>
      <c r="N142" s="1">
        <v>4927550</v>
      </c>
      <c r="O142" s="1">
        <v>4401734</v>
      </c>
      <c r="P142" s="261">
        <v>4463759</v>
      </c>
    </row>
    <row r="143" spans="2:16" x14ac:dyDescent="0.25">
      <c r="B143" s="4"/>
      <c r="D143" t="s">
        <v>20</v>
      </c>
      <c r="M143" s="248">
        <v>1493420</v>
      </c>
      <c r="N143" s="1">
        <v>1295000</v>
      </c>
      <c r="O143" s="1">
        <v>1611530</v>
      </c>
      <c r="P143" s="261">
        <v>1124971</v>
      </c>
    </row>
    <row r="144" spans="2:16" x14ac:dyDescent="0.25">
      <c r="B144" s="4"/>
      <c r="D144" t="s">
        <v>35</v>
      </c>
      <c r="M144" s="248">
        <v>677891</v>
      </c>
      <c r="N144" s="1">
        <v>590356</v>
      </c>
      <c r="O144" s="1">
        <v>585728</v>
      </c>
      <c r="P144" s="261">
        <v>581399</v>
      </c>
    </row>
    <row r="145" spans="2:16" x14ac:dyDescent="0.25">
      <c r="B145" s="4"/>
      <c r="M145" s="248"/>
      <c r="N145" s="1"/>
      <c r="O145" s="1"/>
      <c r="P145" s="261"/>
    </row>
    <row r="146" spans="2:16" x14ac:dyDescent="0.25">
      <c r="B146" s="4"/>
      <c r="D146" t="s">
        <v>31</v>
      </c>
      <c r="M146" s="248">
        <f>M143+M142</f>
        <v>6092435</v>
      </c>
      <c r="N146" s="1">
        <f>N143+N142</f>
        <v>6222550</v>
      </c>
      <c r="O146" s="1">
        <f>O143+O142</f>
        <v>6013264</v>
      </c>
      <c r="P146" s="261">
        <f>P143+P142</f>
        <v>5588730</v>
      </c>
    </row>
    <row r="147" spans="2:16" x14ac:dyDescent="0.25">
      <c r="B147" s="4"/>
      <c r="D147" t="s">
        <v>32</v>
      </c>
      <c r="M147" s="253">
        <f>M141+M140+M144</f>
        <v>8486443</v>
      </c>
      <c r="N147" s="19">
        <f>N141+N140+N144</f>
        <v>8155174</v>
      </c>
      <c r="O147" s="19">
        <f>O141+O140+O144</f>
        <v>6997928</v>
      </c>
      <c r="P147" s="284">
        <f>P141+P140+P144</f>
        <v>6979499</v>
      </c>
    </row>
    <row r="148" spans="2:16" x14ac:dyDescent="0.25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251"/>
      <c r="N148" s="8"/>
      <c r="O148" s="8"/>
      <c r="P148" s="9"/>
    </row>
    <row r="152" spans="2:16" x14ac:dyDescent="0.25">
      <c r="B152" s="93" t="s">
        <v>158</v>
      </c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247"/>
      <c r="N152" s="15"/>
      <c r="O152" s="15"/>
      <c r="P152" s="3"/>
    </row>
    <row r="153" spans="2:16" x14ac:dyDescent="0.25">
      <c r="B153" s="96" t="s">
        <v>340</v>
      </c>
      <c r="P153" s="5"/>
    </row>
    <row r="154" spans="2:16" x14ac:dyDescent="0.25">
      <c r="B154" s="4"/>
      <c r="M154" s="239" t="s">
        <v>187</v>
      </c>
      <c r="P154" s="5"/>
    </row>
    <row r="155" spans="2:16" x14ac:dyDescent="0.25">
      <c r="B155" s="107" t="s">
        <v>159</v>
      </c>
      <c r="C155" s="105" t="s">
        <v>160</v>
      </c>
      <c r="D155" s="105" t="s">
        <v>161</v>
      </c>
      <c r="E155" s="105" t="s">
        <v>162</v>
      </c>
      <c r="M155" s="242">
        <v>2012</v>
      </c>
      <c r="P155" s="5"/>
    </row>
    <row r="156" spans="2:16" x14ac:dyDescent="0.25">
      <c r="B156" s="108" t="s">
        <v>164</v>
      </c>
      <c r="C156" s="106"/>
      <c r="D156" s="106"/>
      <c r="E156" s="106"/>
      <c r="M156" s="244"/>
      <c r="P156" s="5"/>
    </row>
    <row r="157" spans="2:16" x14ac:dyDescent="0.25">
      <c r="B157" s="109" t="s">
        <v>165</v>
      </c>
      <c r="C157" s="100" t="s">
        <v>166</v>
      </c>
      <c r="D157" s="100" t="s">
        <v>16</v>
      </c>
      <c r="E157" s="100" t="s">
        <v>24</v>
      </c>
      <c r="F157" t="s">
        <v>7</v>
      </c>
      <c r="M157" s="243">
        <v>2.1</v>
      </c>
      <c r="P157" s="5"/>
    </row>
    <row r="158" spans="2:16" x14ac:dyDescent="0.25">
      <c r="B158" s="109" t="s">
        <v>165</v>
      </c>
      <c r="C158" s="100" t="s">
        <v>166</v>
      </c>
      <c r="D158" s="100" t="s">
        <v>168</v>
      </c>
      <c r="E158" s="100" t="s">
        <v>1</v>
      </c>
      <c r="F158" t="s">
        <v>9</v>
      </c>
      <c r="M158" s="243">
        <v>0.95</v>
      </c>
      <c r="P158" s="5"/>
    </row>
    <row r="159" spans="2:16" x14ac:dyDescent="0.25">
      <c r="B159" s="109" t="s">
        <v>165</v>
      </c>
      <c r="C159" s="100" t="s">
        <v>171</v>
      </c>
      <c r="D159" s="100" t="s">
        <v>16</v>
      </c>
      <c r="E159" s="100" t="s">
        <v>24</v>
      </c>
      <c r="F159" t="s">
        <v>7</v>
      </c>
      <c r="M159" s="243">
        <v>1.2</v>
      </c>
      <c r="P159" s="5"/>
    </row>
    <row r="160" spans="2:16" x14ac:dyDescent="0.25">
      <c r="B160" s="109" t="s">
        <v>165</v>
      </c>
      <c r="C160" s="100" t="s">
        <v>174</v>
      </c>
      <c r="D160" s="100" t="s">
        <v>175</v>
      </c>
      <c r="E160" s="100" t="s">
        <v>1</v>
      </c>
      <c r="F160" t="s">
        <v>8</v>
      </c>
      <c r="M160" s="243">
        <v>0.26</v>
      </c>
      <c r="P160" s="5"/>
    </row>
    <row r="161" spans="2:19" x14ac:dyDescent="0.25">
      <c r="B161" s="109" t="s">
        <v>165</v>
      </c>
      <c r="C161" s="100" t="s">
        <v>177</v>
      </c>
      <c r="D161" s="100" t="s">
        <v>93</v>
      </c>
      <c r="E161" s="100" t="s">
        <v>95</v>
      </c>
      <c r="F161" s="116" t="s">
        <v>170</v>
      </c>
      <c r="M161" s="243">
        <v>0.67</v>
      </c>
      <c r="P161" s="5"/>
    </row>
    <row r="162" spans="2:19" x14ac:dyDescent="0.25">
      <c r="B162" s="109" t="s">
        <v>165</v>
      </c>
      <c r="C162" s="100" t="s">
        <v>177</v>
      </c>
      <c r="D162" s="100" t="s">
        <v>168</v>
      </c>
      <c r="E162" s="101" t="s">
        <v>95</v>
      </c>
      <c r="F162" s="116" t="s">
        <v>170</v>
      </c>
      <c r="M162" s="243">
        <v>0.54</v>
      </c>
      <c r="P162" s="5"/>
    </row>
    <row r="163" spans="2:19" x14ac:dyDescent="0.25">
      <c r="B163" s="109" t="s">
        <v>179</v>
      </c>
      <c r="C163" s="100" t="s">
        <v>180</v>
      </c>
      <c r="D163" s="100" t="s">
        <v>17</v>
      </c>
      <c r="E163" s="100" t="s">
        <v>24</v>
      </c>
      <c r="F163" t="s">
        <v>10</v>
      </c>
      <c r="M163" s="243">
        <v>0.62</v>
      </c>
      <c r="P163" s="5"/>
    </row>
    <row r="164" spans="2:19" x14ac:dyDescent="0.25">
      <c r="B164" s="109" t="s">
        <v>181</v>
      </c>
      <c r="C164" s="100"/>
      <c r="D164" s="100" t="s">
        <v>175</v>
      </c>
      <c r="E164" s="100" t="s">
        <v>1</v>
      </c>
      <c r="F164" t="s">
        <v>8</v>
      </c>
      <c r="M164" s="243">
        <v>0.6</v>
      </c>
      <c r="P164" s="5"/>
    </row>
    <row r="165" spans="2:19" x14ac:dyDescent="0.25">
      <c r="B165" s="4"/>
      <c r="M165" s="244">
        <f>SUM(M157:M164)</f>
        <v>6.9399999999999995</v>
      </c>
      <c r="P165" s="5"/>
    </row>
    <row r="166" spans="2:19" x14ac:dyDescent="0.25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251"/>
      <c r="N166" s="8"/>
      <c r="O166" s="8"/>
      <c r="P166" s="9"/>
    </row>
    <row r="168" spans="2:19" x14ac:dyDescent="0.25">
      <c r="B168" t="s">
        <v>292</v>
      </c>
    </row>
    <row r="169" spans="2:19" x14ac:dyDescent="0.25">
      <c r="B169" s="1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247"/>
      <c r="N169" s="15"/>
      <c r="O169" s="15"/>
      <c r="P169" s="15"/>
      <c r="Q169" s="15"/>
      <c r="R169" s="247"/>
      <c r="S169" s="3"/>
    </row>
    <row r="170" spans="2:19" x14ac:dyDescent="0.25">
      <c r="B170" s="4"/>
      <c r="S170" s="5"/>
    </row>
    <row r="171" spans="2:19" x14ac:dyDescent="0.25">
      <c r="B171" s="4" t="s">
        <v>293</v>
      </c>
      <c r="C171" s="8" t="s">
        <v>294</v>
      </c>
      <c r="D171" s="8"/>
      <c r="E171" s="8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64">
        <v>0.82</v>
      </c>
      <c r="R171" s="538">
        <v>0.81</v>
      </c>
      <c r="S171" s="265">
        <v>0.85</v>
      </c>
    </row>
    <row r="172" spans="2:19" x14ac:dyDescent="0.25">
      <c r="B172" s="4"/>
      <c r="C172" s="8" t="s">
        <v>5</v>
      </c>
      <c r="D172" s="8" t="s">
        <v>295</v>
      </c>
      <c r="E172" s="8"/>
      <c r="F172" s="8"/>
      <c r="G172" s="8"/>
      <c r="H172" s="8"/>
      <c r="I172" s="8"/>
      <c r="J172" s="8"/>
      <c r="K172" s="8"/>
      <c r="L172" s="8"/>
      <c r="M172" s="251"/>
      <c r="N172" s="8"/>
      <c r="O172" s="8"/>
      <c r="P172" s="8"/>
      <c r="Q172" s="8">
        <v>2.3889999999999998</v>
      </c>
      <c r="R172" s="251">
        <v>2.34</v>
      </c>
      <c r="S172" s="9">
        <v>2.4750000000000001</v>
      </c>
    </row>
    <row r="173" spans="2:19" x14ac:dyDescent="0.25">
      <c r="B173" s="4"/>
      <c r="C173" s="16" t="s">
        <v>296</v>
      </c>
      <c r="Q173" s="266">
        <f>Q172/Q171</f>
        <v>2.9134146341463412</v>
      </c>
      <c r="R173" s="539">
        <f>R172/R171</f>
        <v>2.8888888888888884</v>
      </c>
      <c r="S173" s="267">
        <f>S172/S171</f>
        <v>2.9117647058823533</v>
      </c>
    </row>
    <row r="174" spans="2:19" x14ac:dyDescent="0.25">
      <c r="B174" s="4" t="s">
        <v>136</v>
      </c>
      <c r="C174" s="8" t="s">
        <v>294</v>
      </c>
      <c r="D174" s="8"/>
      <c r="E174" s="8"/>
      <c r="F174" s="8"/>
      <c r="G174" s="8"/>
      <c r="H174" s="8"/>
      <c r="I174" s="8"/>
      <c r="J174" s="8"/>
      <c r="K174" s="8"/>
      <c r="L174" s="8"/>
      <c r="M174" s="251"/>
      <c r="N174" s="8"/>
      <c r="O174" s="8"/>
      <c r="P174" s="8"/>
      <c r="Q174" s="264">
        <v>0.65</v>
      </c>
      <c r="R174" s="538">
        <v>0.86</v>
      </c>
      <c r="S174" s="265">
        <v>0.84</v>
      </c>
    </row>
    <row r="175" spans="2:19" x14ac:dyDescent="0.25">
      <c r="B175" s="4"/>
      <c r="C175" s="8" t="s">
        <v>5</v>
      </c>
      <c r="D175" s="8" t="s">
        <v>295</v>
      </c>
      <c r="E175" s="8"/>
      <c r="F175" s="8"/>
      <c r="G175" s="8"/>
      <c r="H175" s="8"/>
      <c r="I175" s="8"/>
      <c r="J175" s="8"/>
      <c r="K175" s="8"/>
      <c r="L175" s="8"/>
      <c r="M175" s="251"/>
      <c r="N175" s="8"/>
      <c r="O175" s="8"/>
      <c r="P175" s="8"/>
      <c r="Q175" s="8">
        <v>0.83199999999999996</v>
      </c>
      <c r="R175" s="251">
        <v>1.1180000000000001</v>
      </c>
      <c r="S175" s="9">
        <v>1.0860000000000001</v>
      </c>
    </row>
    <row r="176" spans="2:19" x14ac:dyDescent="0.25">
      <c r="B176" s="4"/>
      <c r="C176" s="16" t="s">
        <v>296</v>
      </c>
      <c r="Q176" s="16">
        <f>Q175/Q174</f>
        <v>1.2799999999999998</v>
      </c>
      <c r="R176" s="539">
        <f>R175/R174</f>
        <v>1.3</v>
      </c>
      <c r="S176" s="267">
        <f>S175/S174</f>
        <v>1.2928571428571429</v>
      </c>
    </row>
    <row r="177" spans="2:22" x14ac:dyDescent="0.25">
      <c r="B177" s="4" t="s">
        <v>242</v>
      </c>
      <c r="C177" s="8" t="s">
        <v>294</v>
      </c>
      <c r="D177" s="8"/>
      <c r="E177" s="8"/>
      <c r="F177" s="8"/>
      <c r="G177" s="8"/>
      <c r="H177" s="8"/>
      <c r="I177" s="8"/>
      <c r="J177" s="8"/>
      <c r="K177" s="8"/>
      <c r="L177" s="8"/>
      <c r="M177" s="251"/>
      <c r="N177" s="8"/>
      <c r="O177" s="8"/>
      <c r="P177" s="8"/>
      <c r="Q177" s="264">
        <v>0.81</v>
      </c>
      <c r="R177" s="538">
        <v>0.76</v>
      </c>
      <c r="S177" s="265">
        <v>0.81</v>
      </c>
    </row>
    <row r="178" spans="2:22" x14ac:dyDescent="0.25">
      <c r="B178" s="4"/>
      <c r="C178" s="8" t="s">
        <v>5</v>
      </c>
      <c r="D178" s="8" t="s">
        <v>295</v>
      </c>
      <c r="E178" s="8"/>
      <c r="F178" s="8"/>
      <c r="G178" s="8"/>
      <c r="H178" s="8"/>
      <c r="I178" s="8"/>
      <c r="J178" s="8"/>
      <c r="K178" s="8"/>
      <c r="L178" s="8"/>
      <c r="M178" s="251"/>
      <c r="N178" s="8"/>
      <c r="O178" s="8"/>
      <c r="P178" s="8"/>
      <c r="Q178" s="8">
        <v>1.55</v>
      </c>
      <c r="R178" s="251">
        <v>1.452</v>
      </c>
      <c r="S178" s="9">
        <v>1.5309999999999999</v>
      </c>
    </row>
    <row r="179" spans="2:22" x14ac:dyDescent="0.25">
      <c r="B179" s="4"/>
      <c r="C179" s="16" t="s">
        <v>296</v>
      </c>
      <c r="Q179" s="266">
        <f>Q178/Q177</f>
        <v>1.9135802469135801</v>
      </c>
      <c r="R179" s="539">
        <f>R178/R177</f>
        <v>1.9105263157894736</v>
      </c>
      <c r="S179" s="267">
        <f>S178/S177</f>
        <v>1.8901234567901233</v>
      </c>
    </row>
    <row r="180" spans="2:22" x14ac:dyDescent="0.25">
      <c r="B180" s="4"/>
      <c r="C180" s="16"/>
      <c r="Q180" s="266"/>
      <c r="R180" s="539"/>
      <c r="S180" s="267"/>
    </row>
    <row r="181" spans="2:22" x14ac:dyDescent="0.25">
      <c r="B181" s="4"/>
      <c r="C181" t="s">
        <v>301</v>
      </c>
      <c r="Q181">
        <f>Q178+Q175+Q172</f>
        <v>4.7709999999999999</v>
      </c>
      <c r="R181" s="239">
        <f>R178+R175+R172</f>
        <v>4.91</v>
      </c>
      <c r="S181" s="5">
        <f>S178+S175+S172</f>
        <v>5.0920000000000005</v>
      </c>
    </row>
    <row r="182" spans="2:22" x14ac:dyDescent="0.25">
      <c r="B182" s="4"/>
      <c r="C182" t="s">
        <v>297</v>
      </c>
      <c r="Q182" s="268">
        <f>Q173+Q176+Q179</f>
        <v>6.1069948810599213</v>
      </c>
      <c r="R182" s="540">
        <f>R173+R176+R179</f>
        <v>6.0994152046783618</v>
      </c>
      <c r="S182" s="269">
        <f>S173+S176+S179</f>
        <v>6.094745305529619</v>
      </c>
    </row>
    <row r="183" spans="2:22" x14ac:dyDescent="0.25">
      <c r="B183" s="7"/>
      <c r="C183" s="8" t="s">
        <v>298</v>
      </c>
      <c r="D183" s="8"/>
      <c r="E183" s="8"/>
      <c r="F183" s="8"/>
      <c r="G183" s="8"/>
      <c r="H183" s="8"/>
      <c r="I183" s="8"/>
      <c r="J183" s="8"/>
      <c r="K183" s="8"/>
      <c r="L183" s="8"/>
      <c r="M183" s="251"/>
      <c r="N183" s="8"/>
      <c r="O183" s="8"/>
      <c r="P183" s="8"/>
      <c r="Q183" s="270">
        <f>Q171*(Q173/Q182)+Q174*(Q176/Q182)+Q177*(Q179/Q182)</f>
        <v>0.7812353036018842</v>
      </c>
      <c r="R183" s="541">
        <f>R171*(R173/R182)+R174*(R176/R182)+R177*(R179/R182)</f>
        <v>0.80499520613614584</v>
      </c>
      <c r="S183" s="271">
        <f>S171*(S173/S182)+S174*(S176/S182)+S177*(S179/S182)</f>
        <v>0.83547379664580057</v>
      </c>
    </row>
    <row r="184" spans="2:22" x14ac:dyDescent="0.25">
      <c r="Q184" s="17"/>
      <c r="R184" s="250"/>
      <c r="S184" s="17"/>
    </row>
    <row r="185" spans="2:22" x14ac:dyDescent="0.25">
      <c r="G185" t="s">
        <v>300</v>
      </c>
      <c r="Q185" s="17"/>
      <c r="R185" s="250"/>
      <c r="S185" s="17"/>
    </row>
    <row r="186" spans="2:22" x14ac:dyDescent="0.25">
      <c r="B186" s="280" t="s">
        <v>159</v>
      </c>
      <c r="C186" s="281" t="s">
        <v>160</v>
      </c>
      <c r="D186" s="281" t="s">
        <v>161</v>
      </c>
      <c r="E186" s="281" t="s">
        <v>162</v>
      </c>
      <c r="F186" s="15"/>
      <c r="G186" s="15"/>
      <c r="H186" s="15"/>
      <c r="I186" s="15"/>
      <c r="J186" s="15"/>
      <c r="K186" s="15"/>
      <c r="L186" s="15"/>
      <c r="M186" s="247"/>
      <c r="N186" s="15"/>
      <c r="O186" s="15"/>
      <c r="P186" s="15"/>
      <c r="Q186" s="282"/>
      <c r="R186" s="542"/>
      <c r="S186" s="282"/>
      <c r="T186" s="15"/>
      <c r="U186" s="3"/>
    </row>
    <row r="187" spans="2:22" ht="30" x14ac:dyDescent="0.25">
      <c r="B187" s="108" t="s">
        <v>164</v>
      </c>
      <c r="C187" s="106"/>
      <c r="D187" s="106"/>
      <c r="E187" s="106"/>
      <c r="P187" s="304" t="s">
        <v>319</v>
      </c>
      <c r="Q187" s="17"/>
      <c r="R187" s="250"/>
      <c r="S187" s="17"/>
      <c r="U187" s="5"/>
    </row>
    <row r="188" spans="2:22" x14ac:dyDescent="0.25">
      <c r="B188" s="109" t="s">
        <v>165</v>
      </c>
      <c r="C188" s="100" t="s">
        <v>166</v>
      </c>
      <c r="D188" s="100" t="s">
        <v>16</v>
      </c>
      <c r="E188" s="100" t="s">
        <v>24</v>
      </c>
      <c r="F188" t="s">
        <v>7</v>
      </c>
      <c r="P188" s="287">
        <f>Q188</f>
        <v>1.6141891891891889</v>
      </c>
      <c r="Q188" s="272">
        <f>Q172-Q189</f>
        <v>1.6141891891891889</v>
      </c>
      <c r="R188" s="389">
        <f>R172-R189</f>
        <v>1.5810810810810809</v>
      </c>
      <c r="S188" s="272">
        <f>S172-S189</f>
        <v>1.6722972972972974</v>
      </c>
      <c r="U188" s="5"/>
    </row>
    <row r="189" spans="2:22" x14ac:dyDescent="0.25">
      <c r="B189" s="109" t="s">
        <v>165</v>
      </c>
      <c r="C189" s="100" t="s">
        <v>166</v>
      </c>
      <c r="D189" s="100" t="s">
        <v>168</v>
      </c>
      <c r="E189" s="100" t="s">
        <v>1</v>
      </c>
      <c r="F189" t="s">
        <v>9</v>
      </c>
      <c r="P189" s="287">
        <f>Q189</f>
        <v>0.77481081081081082</v>
      </c>
      <c r="Q189" s="272">
        <f>Q172*Q11/SUM(Q10:Q11)</f>
        <v>0.77481081081081082</v>
      </c>
      <c r="R189" s="389">
        <f>R172*R11/SUM(R10:R11)</f>
        <v>0.75891891891891894</v>
      </c>
      <c r="S189" s="272">
        <f>S172*S11/SUM(S10:S11)</f>
        <v>0.80270270270270283</v>
      </c>
      <c r="U189" s="5"/>
    </row>
    <row r="190" spans="2:22" x14ac:dyDescent="0.25">
      <c r="B190" s="109" t="s">
        <v>165</v>
      </c>
      <c r="C190" s="100" t="s">
        <v>171</v>
      </c>
      <c r="D190" s="100" t="s">
        <v>16</v>
      </c>
      <c r="E190" s="100" t="s">
        <v>24</v>
      </c>
      <c r="F190" t="s">
        <v>7</v>
      </c>
      <c r="P190" s="287">
        <f>Q190</f>
        <v>1.55</v>
      </c>
      <c r="Q190" s="272">
        <f>Q178</f>
        <v>1.55</v>
      </c>
      <c r="R190" s="389">
        <f>R178</f>
        <v>1.452</v>
      </c>
      <c r="S190" s="272">
        <f>S178</f>
        <v>1.5309999999999999</v>
      </c>
      <c r="U190" s="5"/>
    </row>
    <row r="191" spans="2:22" ht="15.75" customHeight="1" x14ac:dyDescent="0.25">
      <c r="B191" s="109" t="s">
        <v>165</v>
      </c>
      <c r="C191" s="100" t="s">
        <v>174</v>
      </c>
      <c r="D191" s="100" t="s">
        <v>175</v>
      </c>
      <c r="E191" s="100" t="s">
        <v>1</v>
      </c>
      <c r="F191" t="s">
        <v>8</v>
      </c>
      <c r="P191" s="303">
        <f>P128/1000</f>
        <v>0.16400000000000001</v>
      </c>
      <c r="Q191" s="272">
        <v>0</v>
      </c>
      <c r="R191" s="389">
        <v>0</v>
      </c>
      <c r="S191" s="272">
        <v>0</v>
      </c>
      <c r="U191" s="5"/>
      <c r="V191" t="s">
        <v>303</v>
      </c>
    </row>
    <row r="192" spans="2:22" x14ac:dyDescent="0.25">
      <c r="B192" s="109" t="s">
        <v>165</v>
      </c>
      <c r="C192" s="100" t="s">
        <v>177</v>
      </c>
      <c r="D192" s="100" t="s">
        <v>93</v>
      </c>
      <c r="E192" s="100" t="s">
        <v>95</v>
      </c>
      <c r="F192" s="116" t="s">
        <v>170</v>
      </c>
      <c r="P192" s="303">
        <f>P129/1000</f>
        <v>0.48149999999999998</v>
      </c>
      <c r="Q192" s="272">
        <f>Q175/2</f>
        <v>0.41599999999999998</v>
      </c>
      <c r="R192" s="389">
        <f>R175/2</f>
        <v>0.55900000000000005</v>
      </c>
      <c r="S192" s="272">
        <f>S175/2</f>
        <v>0.54300000000000004</v>
      </c>
      <c r="U192" s="5"/>
    </row>
    <row r="193" spans="2:22" x14ac:dyDescent="0.25">
      <c r="B193" s="109" t="s">
        <v>165</v>
      </c>
      <c r="C193" s="100" t="s">
        <v>177</v>
      </c>
      <c r="D193" s="100" t="s">
        <v>168</v>
      </c>
      <c r="E193" s="101" t="s">
        <v>95</v>
      </c>
      <c r="F193" s="116" t="s">
        <v>170</v>
      </c>
      <c r="P193" s="303">
        <f>P130/1000</f>
        <v>0.48149999999999998</v>
      </c>
      <c r="Q193" s="272">
        <f>Q192</f>
        <v>0.41599999999999998</v>
      </c>
      <c r="R193" s="389">
        <f>R192</f>
        <v>0.55900000000000005</v>
      </c>
      <c r="S193" s="272">
        <f>S192</f>
        <v>0.54300000000000004</v>
      </c>
      <c r="U193" s="5"/>
    </row>
    <row r="194" spans="2:22" x14ac:dyDescent="0.25">
      <c r="B194" s="109" t="s">
        <v>179</v>
      </c>
      <c r="C194" s="100" t="s">
        <v>180</v>
      </c>
      <c r="D194" s="100" t="s">
        <v>17</v>
      </c>
      <c r="E194" s="100" t="s">
        <v>24</v>
      </c>
      <c r="F194" t="s">
        <v>10</v>
      </c>
      <c r="P194" s="287">
        <f>P202-Q201-P191</f>
        <v>0.1360000000000007</v>
      </c>
      <c r="Q194" s="272">
        <v>0</v>
      </c>
      <c r="R194" s="389">
        <v>0</v>
      </c>
      <c r="S194" s="272">
        <v>0</v>
      </c>
      <c r="U194" s="5"/>
      <c r="V194" t="s">
        <v>584</v>
      </c>
    </row>
    <row r="195" spans="2:22" x14ac:dyDescent="0.25">
      <c r="B195" s="109" t="s">
        <v>181</v>
      </c>
      <c r="C195" s="100"/>
      <c r="D195" s="100" t="s">
        <v>175</v>
      </c>
      <c r="E195" s="100" t="s">
        <v>1</v>
      </c>
      <c r="F195" t="s">
        <v>8</v>
      </c>
      <c r="P195" s="283">
        <f>MIN(P202-SUM(P188:P194),P17)</f>
        <v>1.1980000000000004</v>
      </c>
      <c r="Q195" s="283">
        <f>MIN(Q17,Q201-SUM(Q188:Q194))</f>
        <v>1.3200000000000003</v>
      </c>
      <c r="R195" s="543">
        <f>MIN(R17,R201-SUM(R188:R194))</f>
        <v>1.3200000000000003</v>
      </c>
      <c r="S195" s="283">
        <f>MIN(S17,S201-SUM(S188:S194))</f>
        <v>1.2079999999999993</v>
      </c>
      <c r="U195" s="5"/>
      <c r="V195" s="18" t="s">
        <v>310</v>
      </c>
    </row>
    <row r="196" spans="2:22" x14ac:dyDescent="0.25">
      <c r="B196" s="278"/>
      <c r="C196" s="110"/>
      <c r="D196" s="110"/>
      <c r="E196" s="110"/>
      <c r="F196" s="8"/>
      <c r="G196" s="8"/>
      <c r="H196" s="8"/>
      <c r="I196" s="8"/>
      <c r="J196" s="8"/>
      <c r="K196" s="8"/>
      <c r="L196" s="8"/>
      <c r="M196" s="251"/>
      <c r="N196" s="8"/>
      <c r="O196" s="8"/>
      <c r="P196" s="8"/>
      <c r="Q196" s="279"/>
      <c r="R196" s="544"/>
      <c r="S196" s="279"/>
      <c r="T196" s="8"/>
      <c r="U196" s="9"/>
    </row>
    <row r="197" spans="2:22" x14ac:dyDescent="0.25">
      <c r="B197" s="100"/>
      <c r="C197" s="100"/>
      <c r="D197" s="100"/>
      <c r="E197" s="100"/>
      <c r="Q197" s="272"/>
      <c r="R197" s="389"/>
      <c r="S197" s="272"/>
    </row>
    <row r="198" spans="2:22" x14ac:dyDescent="0.25">
      <c r="B198" s="100"/>
      <c r="C198" s="100"/>
      <c r="D198" s="100"/>
      <c r="E198" s="100"/>
      <c r="Q198" s="272"/>
      <c r="R198" s="389"/>
      <c r="S198" s="272"/>
    </row>
    <row r="199" spans="2:22" x14ac:dyDescent="0.25">
      <c r="B199" s="100" t="s">
        <v>346</v>
      </c>
      <c r="C199" s="100"/>
      <c r="D199" s="100"/>
      <c r="E199" s="100"/>
      <c r="Q199" s="272"/>
      <c r="R199" s="389"/>
      <c r="S199" s="272"/>
    </row>
    <row r="200" spans="2:22" x14ac:dyDescent="0.25">
      <c r="B200" s="275" t="s">
        <v>302</v>
      </c>
      <c r="C200" s="276"/>
      <c r="D200" s="276"/>
      <c r="E200" s="276"/>
      <c r="F200" s="15"/>
      <c r="G200" s="15"/>
      <c r="H200" s="15"/>
      <c r="I200" s="15"/>
      <c r="J200" s="15"/>
      <c r="K200" s="15"/>
      <c r="L200" s="15"/>
      <c r="M200" s="247"/>
      <c r="N200" s="15"/>
      <c r="O200" s="15"/>
      <c r="P200" s="15"/>
      <c r="Q200" s="277"/>
      <c r="R200" s="545"/>
      <c r="S200" s="277"/>
      <c r="T200" s="15"/>
      <c r="U200" s="3"/>
    </row>
    <row r="201" spans="2:22" x14ac:dyDescent="0.25">
      <c r="B201" s="109"/>
      <c r="C201" s="406" t="s">
        <v>5</v>
      </c>
      <c r="D201" s="406" t="s">
        <v>345</v>
      </c>
      <c r="E201" s="406"/>
      <c r="F201" s="399"/>
      <c r="G201" s="399"/>
      <c r="H201" s="399"/>
      <c r="I201" s="399"/>
      <c r="J201" s="399"/>
      <c r="K201" s="399"/>
      <c r="L201" s="399"/>
      <c r="M201" s="400"/>
      <c r="N201" s="399"/>
      <c r="O201" s="399"/>
      <c r="P201" s="399"/>
      <c r="Q201" s="408">
        <v>6.1</v>
      </c>
      <c r="R201" s="546">
        <v>6.3</v>
      </c>
      <c r="S201" s="408">
        <v>6.3</v>
      </c>
      <c r="U201" s="5"/>
    </row>
    <row r="202" spans="2:22" x14ac:dyDescent="0.25">
      <c r="B202" s="109"/>
      <c r="C202" s="398" t="s">
        <v>5</v>
      </c>
      <c r="D202" s="398" t="s">
        <v>318</v>
      </c>
      <c r="E202" s="398"/>
      <c r="F202" s="399"/>
      <c r="G202" s="399"/>
      <c r="H202" s="399"/>
      <c r="I202" s="399"/>
      <c r="J202" s="399"/>
      <c r="K202" s="399"/>
      <c r="L202" s="399"/>
      <c r="M202" s="400"/>
      <c r="N202" s="399"/>
      <c r="O202" s="399"/>
      <c r="P202" s="399">
        <v>6.4</v>
      </c>
      <c r="Q202" s="401"/>
      <c r="R202" s="547"/>
      <c r="S202" s="401"/>
      <c r="U202" s="5"/>
    </row>
    <row r="203" spans="2:22" x14ac:dyDescent="0.25">
      <c r="B203" s="109"/>
      <c r="C203" s="398"/>
      <c r="D203" s="398" t="s">
        <v>344</v>
      </c>
      <c r="E203" s="398"/>
      <c r="F203" s="399"/>
      <c r="G203" s="399"/>
      <c r="H203" s="399"/>
      <c r="I203" s="399"/>
      <c r="J203" s="399"/>
      <c r="K203" s="399"/>
      <c r="L203" s="399"/>
      <c r="M203" s="400">
        <v>6.9</v>
      </c>
      <c r="N203" s="399">
        <v>7.1</v>
      </c>
      <c r="O203" s="399">
        <v>6.5</v>
      </c>
      <c r="P203" s="399"/>
      <c r="Q203" s="401"/>
      <c r="R203" s="547"/>
      <c r="S203" s="401"/>
      <c r="U203" s="5"/>
    </row>
    <row r="204" spans="2:22" x14ac:dyDescent="0.25">
      <c r="B204" s="109"/>
      <c r="C204" s="402" t="s">
        <v>581</v>
      </c>
      <c r="D204" s="100"/>
      <c r="E204" s="100"/>
      <c r="M204" s="252">
        <f t="shared" ref="M204:S204" si="32">SUM(M201:M203)</f>
        <v>6.9</v>
      </c>
      <c r="N204" s="18">
        <f t="shared" si="32"/>
        <v>7.1</v>
      </c>
      <c r="O204" s="18">
        <f t="shared" si="32"/>
        <v>6.5</v>
      </c>
      <c r="P204" s="18">
        <f t="shared" si="32"/>
        <v>6.4</v>
      </c>
      <c r="Q204" s="382">
        <f t="shared" si="32"/>
        <v>6.1</v>
      </c>
      <c r="R204" s="548">
        <f t="shared" si="32"/>
        <v>6.3</v>
      </c>
      <c r="S204" s="382">
        <f t="shared" si="32"/>
        <v>6.3</v>
      </c>
      <c r="U204" s="5"/>
    </row>
    <row r="205" spans="2:22" x14ac:dyDescent="0.25">
      <c r="B205" s="109"/>
      <c r="U205" s="5"/>
    </row>
    <row r="206" spans="2:22" x14ac:dyDescent="0.25">
      <c r="B206" s="109"/>
      <c r="C206" s="398" t="s">
        <v>572</v>
      </c>
      <c r="D206" s="398" t="s">
        <v>573</v>
      </c>
      <c r="E206" s="398" t="s">
        <v>578</v>
      </c>
      <c r="F206" s="399"/>
      <c r="G206" s="399"/>
      <c r="H206" s="399"/>
      <c r="I206" s="399"/>
      <c r="J206" s="399"/>
      <c r="K206" s="399"/>
      <c r="L206" s="399"/>
      <c r="M206" s="400"/>
      <c r="N206" s="399"/>
      <c r="O206" s="399"/>
      <c r="P206" s="399"/>
      <c r="Q206" s="410">
        <v>0.622</v>
      </c>
      <c r="R206" s="549">
        <v>0.59</v>
      </c>
      <c r="S206" s="407">
        <v>0.61599999999999999</v>
      </c>
      <c r="U206" s="5"/>
    </row>
    <row r="207" spans="2:22" x14ac:dyDescent="0.25">
      <c r="B207" s="109"/>
      <c r="C207" s="398" t="s">
        <v>360</v>
      </c>
      <c r="D207" s="398" t="s">
        <v>574</v>
      </c>
      <c r="E207" s="398" t="s">
        <v>578</v>
      </c>
      <c r="F207" s="399"/>
      <c r="G207" s="399"/>
      <c r="H207" s="399"/>
      <c r="I207" s="399"/>
      <c r="J207" s="399"/>
      <c r="K207" s="399"/>
      <c r="L207" s="399"/>
      <c r="M207" s="400"/>
      <c r="N207" s="399"/>
      <c r="O207" s="399"/>
      <c r="P207" s="399"/>
      <c r="Q207" s="401">
        <v>4.3</v>
      </c>
      <c r="R207" s="550">
        <v>4.4000000000000004</v>
      </c>
      <c r="S207" s="408">
        <v>4.5999999999999996</v>
      </c>
      <c r="U207" s="5"/>
    </row>
    <row r="208" spans="2:22" x14ac:dyDescent="0.25">
      <c r="B208" s="109"/>
      <c r="C208" s="398" t="s">
        <v>20</v>
      </c>
      <c r="D208" s="398" t="s">
        <v>574</v>
      </c>
      <c r="E208" s="398" t="s">
        <v>578</v>
      </c>
      <c r="F208" s="399"/>
      <c r="G208" s="399"/>
      <c r="H208" s="399"/>
      <c r="I208" s="399"/>
      <c r="J208" s="399"/>
      <c r="K208" s="399"/>
      <c r="L208" s="399"/>
      <c r="M208" s="400"/>
      <c r="N208" s="399"/>
      <c r="O208" s="399"/>
      <c r="P208" s="399">
        <v>1.1000000000000001</v>
      </c>
      <c r="Q208" s="401">
        <v>0.7</v>
      </c>
      <c r="R208" s="547">
        <v>0.9</v>
      </c>
      <c r="S208" s="409">
        <v>0.8</v>
      </c>
      <c r="U208" s="5"/>
    </row>
    <row r="209" spans="2:21" x14ac:dyDescent="0.25">
      <c r="B209" s="109"/>
      <c r="C209" s="402" t="s">
        <v>575</v>
      </c>
      <c r="D209" s="402" t="s">
        <v>574</v>
      </c>
      <c r="E209" s="402" t="s">
        <v>576</v>
      </c>
      <c r="F209" s="18"/>
      <c r="G209" s="18"/>
      <c r="H209" s="18"/>
      <c r="I209" s="18"/>
      <c r="J209" s="18"/>
      <c r="K209" s="18"/>
      <c r="L209" s="18"/>
      <c r="M209" s="252"/>
      <c r="N209" s="18"/>
      <c r="O209" s="18"/>
      <c r="P209" s="18"/>
      <c r="Q209" s="18">
        <f>SUM(Q207:Q208)</f>
        <v>5</v>
      </c>
      <c r="R209" s="252">
        <f>SUM(R207:R208)</f>
        <v>5.3000000000000007</v>
      </c>
      <c r="S209" s="18">
        <f>SUM(S207:S208)</f>
        <v>5.3999999999999995</v>
      </c>
      <c r="U209" s="5"/>
    </row>
    <row r="210" spans="2:21" x14ac:dyDescent="0.25">
      <c r="B210" s="109"/>
      <c r="C210" s="402" t="s">
        <v>580</v>
      </c>
      <c r="D210" s="402"/>
      <c r="E210" s="402"/>
      <c r="F210" s="18"/>
      <c r="G210" s="18"/>
      <c r="H210" s="18"/>
      <c r="I210" s="18"/>
      <c r="J210" s="18"/>
      <c r="K210" s="18"/>
      <c r="L210" s="18"/>
      <c r="M210" s="252"/>
      <c r="N210" s="18"/>
      <c r="O210" s="18"/>
      <c r="P210" s="18"/>
      <c r="Q210" s="18"/>
      <c r="R210" s="252"/>
      <c r="S210" s="18"/>
      <c r="U210" s="5"/>
    </row>
    <row r="211" spans="2:21" x14ac:dyDescent="0.25">
      <c r="B211" s="109"/>
      <c r="C211" s="100" t="s">
        <v>24</v>
      </c>
      <c r="D211" s="100" t="s">
        <v>574</v>
      </c>
      <c r="E211" s="100" t="s">
        <v>576</v>
      </c>
      <c r="Q211" s="272">
        <f>Q206*Q204</f>
        <v>3.7941999999999996</v>
      </c>
      <c r="R211" s="389">
        <f>R206*R204</f>
        <v>3.7169999999999996</v>
      </c>
      <c r="S211" s="272">
        <f>S206*S204</f>
        <v>3.8807999999999998</v>
      </c>
      <c r="U211" s="5"/>
    </row>
    <row r="212" spans="2:21" x14ac:dyDescent="0.25">
      <c r="B212" s="278"/>
      <c r="C212" s="110" t="s">
        <v>1</v>
      </c>
      <c r="D212" s="110" t="s">
        <v>574</v>
      </c>
      <c r="E212" s="110" t="s">
        <v>576</v>
      </c>
      <c r="F212" s="8"/>
      <c r="G212" s="8"/>
      <c r="H212" s="8"/>
      <c r="I212" s="8"/>
      <c r="J212" s="8"/>
      <c r="K212" s="8"/>
      <c r="L212" s="8"/>
      <c r="M212" s="251"/>
      <c r="N212" s="8"/>
      <c r="O212" s="8"/>
      <c r="P212" s="8"/>
      <c r="Q212" s="279">
        <f>Q204-Q211</f>
        <v>2.3058000000000001</v>
      </c>
      <c r="R212" s="544">
        <f>R204-R211</f>
        <v>2.5830000000000002</v>
      </c>
      <c r="S212" s="279">
        <f>S204-S211</f>
        <v>2.4192</v>
      </c>
      <c r="T212" s="8"/>
      <c r="U212" s="9"/>
    </row>
    <row r="213" spans="2:21" x14ac:dyDescent="0.25">
      <c r="B213" s="100"/>
      <c r="C213" s="100"/>
      <c r="D213" s="100"/>
      <c r="E213" s="100"/>
      <c r="Q213" s="272"/>
      <c r="R213" s="389"/>
      <c r="S213" s="272"/>
    </row>
    <row r="214" spans="2:21" x14ac:dyDescent="0.25">
      <c r="B214" s="100"/>
      <c r="C214" s="402" t="s">
        <v>611</v>
      </c>
      <c r="D214" s="18"/>
      <c r="E214" s="18"/>
      <c r="F214" s="18"/>
      <c r="G214" s="18"/>
      <c r="H214" s="18"/>
      <c r="I214" s="18"/>
      <c r="J214" s="18"/>
      <c r="K214" s="18"/>
      <c r="L214" s="18"/>
      <c r="M214" s="252"/>
      <c r="N214" s="18"/>
      <c r="O214" s="18"/>
      <c r="P214" s="18"/>
      <c r="Q214" s="18">
        <f>Q181</f>
        <v>4.7709999999999999</v>
      </c>
      <c r="R214" s="252">
        <f>R181</f>
        <v>4.91</v>
      </c>
      <c r="S214" s="18">
        <f>S181</f>
        <v>5.0920000000000005</v>
      </c>
    </row>
    <row r="215" spans="2:21" x14ac:dyDescent="0.25">
      <c r="B215" s="100"/>
      <c r="C215" s="402" t="s">
        <v>615</v>
      </c>
      <c r="D215" s="18"/>
      <c r="E215" s="18"/>
      <c r="F215" s="18"/>
      <c r="G215" s="18"/>
      <c r="H215" s="18"/>
      <c r="I215" s="18"/>
      <c r="J215" s="18"/>
      <c r="K215" s="18"/>
      <c r="L215" s="18"/>
      <c r="M215" s="252"/>
      <c r="N215" s="18"/>
      <c r="O215" s="18"/>
      <c r="P215" s="18"/>
      <c r="Q215" s="328">
        <f>Q204-Q214</f>
        <v>1.3289999999999997</v>
      </c>
      <c r="R215" s="551">
        <f>R204-R214</f>
        <v>1.3899999999999997</v>
      </c>
      <c r="S215" s="328">
        <f>S204-S214</f>
        <v>1.2079999999999993</v>
      </c>
    </row>
    <row r="216" spans="2:21" x14ac:dyDescent="0.25">
      <c r="B216" s="100"/>
    </row>
    <row r="217" spans="2:21" x14ac:dyDescent="0.25">
      <c r="B217" s="100"/>
    </row>
    <row r="218" spans="2:21" x14ac:dyDescent="0.25">
      <c r="C218" s="402" t="s">
        <v>596</v>
      </c>
      <c r="E218" s="100"/>
      <c r="Q218" s="382">
        <f>SUM(Q219:Q223,Q226:Q227)</f>
        <v>4.7709999999999999</v>
      </c>
      <c r="R218" s="548">
        <f>SUM(R219:R223,R226:R227)</f>
        <v>4.91</v>
      </c>
      <c r="S218" s="382">
        <f>SUM(S219:S223,S226:S227)</f>
        <v>5.0920000000000005</v>
      </c>
    </row>
    <row r="219" spans="2:21" x14ac:dyDescent="0.25">
      <c r="B219" s="100" t="s">
        <v>165</v>
      </c>
      <c r="C219" s="100" t="s">
        <v>166</v>
      </c>
      <c r="D219" s="100" t="s">
        <v>16</v>
      </c>
      <c r="E219" s="100" t="s">
        <v>24</v>
      </c>
      <c r="G219" t="s">
        <v>7</v>
      </c>
      <c r="Q219" s="272">
        <f>Q172</f>
        <v>2.3889999999999998</v>
      </c>
      <c r="R219" s="389">
        <f>R172</f>
        <v>2.34</v>
      </c>
      <c r="S219" s="272">
        <f>S172</f>
        <v>2.4750000000000001</v>
      </c>
      <c r="T219" t="s">
        <v>599</v>
      </c>
    </row>
    <row r="220" spans="2:21" x14ac:dyDescent="0.25">
      <c r="B220" s="100" t="s">
        <v>165</v>
      </c>
      <c r="C220" s="100" t="s">
        <v>166</v>
      </c>
      <c r="D220" s="100" t="s">
        <v>168</v>
      </c>
      <c r="E220" s="100" t="s">
        <v>1</v>
      </c>
      <c r="G220" t="s">
        <v>9</v>
      </c>
      <c r="Q220" s="272">
        <v>0</v>
      </c>
      <c r="R220" s="389">
        <v>0</v>
      </c>
      <c r="S220" s="272">
        <v>0</v>
      </c>
      <c r="U220" t="s">
        <v>591</v>
      </c>
    </row>
    <row r="221" spans="2:21" x14ac:dyDescent="0.25">
      <c r="B221" s="100" t="s">
        <v>165</v>
      </c>
      <c r="C221" s="100" t="s">
        <v>171</v>
      </c>
      <c r="D221" s="100" t="s">
        <v>16</v>
      </c>
      <c r="E221" s="100" t="s">
        <v>24</v>
      </c>
      <c r="G221" t="s">
        <v>7</v>
      </c>
      <c r="Q221" s="272">
        <f>Q178</f>
        <v>1.55</v>
      </c>
      <c r="R221" s="389">
        <f>R178</f>
        <v>1.452</v>
      </c>
      <c r="S221" s="272">
        <f>S178</f>
        <v>1.5309999999999999</v>
      </c>
      <c r="T221" t="s">
        <v>599</v>
      </c>
    </row>
    <row r="222" spans="2:21" x14ac:dyDescent="0.25">
      <c r="B222" s="100" t="s">
        <v>165</v>
      </c>
      <c r="C222" s="100" t="s">
        <v>174</v>
      </c>
      <c r="D222" s="100" t="s">
        <v>175</v>
      </c>
      <c r="E222" s="100" t="s">
        <v>1</v>
      </c>
      <c r="G222" t="s">
        <v>8</v>
      </c>
      <c r="Q222" s="272">
        <v>0</v>
      </c>
      <c r="R222" s="389">
        <v>0</v>
      </c>
      <c r="S222" s="272">
        <v>0</v>
      </c>
      <c r="U222" t="s">
        <v>595</v>
      </c>
    </row>
    <row r="223" spans="2:21" x14ac:dyDescent="0.25">
      <c r="B223" s="100" t="s">
        <v>165</v>
      </c>
      <c r="C223" s="100" t="s">
        <v>177</v>
      </c>
      <c r="D223" s="100" t="s">
        <v>585</v>
      </c>
      <c r="E223" s="100" t="s">
        <v>585</v>
      </c>
      <c r="F223" s="116"/>
      <c r="G223" s="116" t="s">
        <v>585</v>
      </c>
      <c r="Q223" s="272">
        <f>Q175</f>
        <v>0.83199999999999996</v>
      </c>
      <c r="R223" s="389">
        <f>R175</f>
        <v>1.1180000000000001</v>
      </c>
      <c r="S223" s="272">
        <f>S175</f>
        <v>1.0860000000000001</v>
      </c>
      <c r="T223" t="s">
        <v>599</v>
      </c>
    </row>
    <row r="224" spans="2:21" x14ac:dyDescent="0.25">
      <c r="B224" s="100" t="s">
        <v>165</v>
      </c>
      <c r="C224" s="100" t="s">
        <v>177</v>
      </c>
      <c r="D224" s="100" t="s">
        <v>93</v>
      </c>
      <c r="E224" s="100" t="s">
        <v>95</v>
      </c>
      <c r="F224" s="116"/>
      <c r="G224" s="116" t="s">
        <v>170</v>
      </c>
      <c r="Q224" s="272">
        <f t="shared" ref="Q224:S225" si="33">Q$223*(Q235/Q$234)</f>
        <v>0.45165714285714281</v>
      </c>
      <c r="R224" s="389">
        <f t="shared" si="33"/>
        <v>0.60691428571428574</v>
      </c>
      <c r="S224" s="272">
        <f t="shared" si="33"/>
        <v>0.58954285714285715</v>
      </c>
      <c r="T224" t="s">
        <v>606</v>
      </c>
    </row>
    <row r="225" spans="2:21" x14ac:dyDescent="0.25">
      <c r="B225" s="100" t="s">
        <v>165</v>
      </c>
      <c r="C225" s="100" t="s">
        <v>177</v>
      </c>
      <c r="D225" s="100" t="s">
        <v>168</v>
      </c>
      <c r="E225" s="101" t="s">
        <v>95</v>
      </c>
      <c r="F225" s="116"/>
      <c r="G225" s="116" t="s">
        <v>170</v>
      </c>
      <c r="Q225" s="272">
        <f t="shared" si="33"/>
        <v>0.38034285714285715</v>
      </c>
      <c r="R225" s="389">
        <f t="shared" si="33"/>
        <v>0.51108571428571437</v>
      </c>
      <c r="S225" s="272">
        <f t="shared" si="33"/>
        <v>0.49645714285714293</v>
      </c>
      <c r="T225" t="s">
        <v>607</v>
      </c>
    </row>
    <row r="226" spans="2:21" x14ac:dyDescent="0.25">
      <c r="B226" s="100" t="s">
        <v>179</v>
      </c>
      <c r="C226" s="100" t="s">
        <v>180</v>
      </c>
      <c r="D226" s="100" t="s">
        <v>17</v>
      </c>
      <c r="E226" s="100" t="s">
        <v>24</v>
      </c>
      <c r="G226" t="s">
        <v>10</v>
      </c>
      <c r="Q226" s="272">
        <v>0</v>
      </c>
      <c r="R226" s="389">
        <v>0</v>
      </c>
      <c r="S226" s="272">
        <v>0</v>
      </c>
      <c r="U226" t="s">
        <v>583</v>
      </c>
    </row>
    <row r="227" spans="2:21" x14ac:dyDescent="0.25">
      <c r="B227" s="100" t="s">
        <v>181</v>
      </c>
      <c r="C227" s="100"/>
      <c r="D227" s="100" t="s">
        <v>175</v>
      </c>
      <c r="E227" s="100" t="s">
        <v>1</v>
      </c>
      <c r="G227" t="s">
        <v>8</v>
      </c>
      <c r="Q227" s="272"/>
      <c r="R227" s="389"/>
      <c r="S227" s="272"/>
    </row>
    <row r="228" spans="2:21" x14ac:dyDescent="0.25">
      <c r="B228" s="100"/>
      <c r="C228" s="100"/>
      <c r="D228" s="100"/>
      <c r="E228" s="100"/>
      <c r="Q228" s="272"/>
      <c r="R228" s="389"/>
      <c r="S228" s="272"/>
    </row>
    <row r="229" spans="2:21" x14ac:dyDescent="0.25">
      <c r="B229" s="100"/>
      <c r="C229" s="402" t="s">
        <v>600</v>
      </c>
      <c r="D229" s="100"/>
      <c r="E229" s="100"/>
      <c r="G229" s="18"/>
      <c r="H229" s="18"/>
      <c r="I229" s="18"/>
      <c r="J229" s="18"/>
      <c r="K229" s="18"/>
      <c r="L229" s="18"/>
      <c r="M229" s="252"/>
      <c r="N229" s="18"/>
      <c r="O229" s="18"/>
      <c r="P229" s="18"/>
      <c r="Q229" s="382">
        <f>SUM(Q230:Q234)</f>
        <v>4.7709999999999999</v>
      </c>
      <c r="R229" s="548">
        <f>SUM(R230:R234)</f>
        <v>4.91</v>
      </c>
      <c r="S229" s="382">
        <f>SUM(S230:S234)</f>
        <v>5.0920000000000005</v>
      </c>
    </row>
    <row r="230" spans="2:21" x14ac:dyDescent="0.25">
      <c r="B230" s="100" t="s">
        <v>165</v>
      </c>
      <c r="C230" s="100" t="s">
        <v>166</v>
      </c>
      <c r="D230" s="100" t="s">
        <v>16</v>
      </c>
      <c r="E230" s="100" t="s">
        <v>24</v>
      </c>
      <c r="G230" s="100" t="s">
        <v>16</v>
      </c>
      <c r="Q230" s="272">
        <f>Q172-Q231</f>
        <v>2.0693428571428569</v>
      </c>
      <c r="R230" s="389">
        <f>R172-R231</f>
        <v>1.9510857142857141</v>
      </c>
      <c r="S230" s="272">
        <f>S172-S231</f>
        <v>2.1714571428571432</v>
      </c>
      <c r="U230" t="s">
        <v>594</v>
      </c>
    </row>
    <row r="231" spans="2:21" x14ac:dyDescent="0.25">
      <c r="B231" s="100" t="s">
        <v>165</v>
      </c>
      <c r="C231" s="100" t="s">
        <v>166</v>
      </c>
      <c r="D231" s="100" t="s">
        <v>168</v>
      </c>
      <c r="E231" s="100" t="s">
        <v>1</v>
      </c>
      <c r="G231" s="100" t="s">
        <v>168</v>
      </c>
      <c r="Q231" s="272">
        <f>Q208-Q236</f>
        <v>0.31965714285714281</v>
      </c>
      <c r="R231" s="389">
        <f>R208-R236</f>
        <v>0.38891428571428566</v>
      </c>
      <c r="S231" s="272">
        <f>S208-S236</f>
        <v>0.30354285714285711</v>
      </c>
      <c r="T231" t="s">
        <v>593</v>
      </c>
      <c r="U231" t="s">
        <v>592</v>
      </c>
    </row>
    <row r="232" spans="2:21" x14ac:dyDescent="0.25">
      <c r="B232" s="100" t="s">
        <v>165</v>
      </c>
      <c r="C232" s="100" t="s">
        <v>171</v>
      </c>
      <c r="D232" s="100" t="s">
        <v>16</v>
      </c>
      <c r="E232" s="100" t="s">
        <v>24</v>
      </c>
      <c r="G232" s="100" t="s">
        <v>16</v>
      </c>
      <c r="Q232" s="272">
        <f>Q178</f>
        <v>1.55</v>
      </c>
      <c r="R232" s="389">
        <f>R178</f>
        <v>1.452</v>
      </c>
      <c r="S232" s="272">
        <f>S178</f>
        <v>1.5309999999999999</v>
      </c>
      <c r="T232" t="s">
        <v>599</v>
      </c>
      <c r="U232" t="s">
        <v>220</v>
      </c>
    </row>
    <row r="233" spans="2:21" x14ac:dyDescent="0.25">
      <c r="B233" s="100" t="s">
        <v>165</v>
      </c>
      <c r="C233" s="100" t="s">
        <v>174</v>
      </c>
      <c r="D233" s="100" t="s">
        <v>175</v>
      </c>
      <c r="E233" s="100" t="s">
        <v>1</v>
      </c>
      <c r="G233" s="100" t="s">
        <v>175</v>
      </c>
      <c r="Q233" s="272"/>
      <c r="R233" s="389"/>
      <c r="S233" s="272"/>
    </row>
    <row r="234" spans="2:21" x14ac:dyDescent="0.25">
      <c r="B234" s="100" t="s">
        <v>165</v>
      </c>
      <c r="C234" s="100" t="s">
        <v>177</v>
      </c>
      <c r="D234" s="100" t="s">
        <v>585</v>
      </c>
      <c r="E234" s="100" t="s">
        <v>585</v>
      </c>
      <c r="F234" s="116"/>
      <c r="G234" s="100" t="s">
        <v>585</v>
      </c>
      <c r="Q234" s="272">
        <f>SUM(Q235:Q236)</f>
        <v>0.83199999999999996</v>
      </c>
      <c r="R234" s="389">
        <f>SUM(R235:R236)</f>
        <v>1.1180000000000001</v>
      </c>
      <c r="S234" s="272">
        <f>SUM(S235:S236)</f>
        <v>1.0860000000000001</v>
      </c>
    </row>
    <row r="235" spans="2:21" x14ac:dyDescent="0.25">
      <c r="B235" s="100" t="s">
        <v>165</v>
      </c>
      <c r="C235" s="100" t="s">
        <v>177</v>
      </c>
      <c r="D235" s="100" t="s">
        <v>93</v>
      </c>
      <c r="E235" s="100" t="s">
        <v>95</v>
      </c>
      <c r="F235" s="116"/>
      <c r="G235" s="100" t="s">
        <v>93</v>
      </c>
      <c r="Q235" s="272">
        <f>'AMSA - Saldanha'!$I54*(Q$223)</f>
        <v>0.45165714285714281</v>
      </c>
      <c r="R235" s="389">
        <f>'AMSA - Saldanha'!$I54*(R$223)</f>
        <v>0.60691428571428574</v>
      </c>
      <c r="S235" s="272">
        <f>'AMSA - Saldanha'!$I54*(S$223)</f>
        <v>0.58954285714285715</v>
      </c>
    </row>
    <row r="236" spans="2:21" x14ac:dyDescent="0.25">
      <c r="B236" s="100" t="s">
        <v>165</v>
      </c>
      <c r="C236" s="100" t="s">
        <v>177</v>
      </c>
      <c r="D236" s="100" t="s">
        <v>168</v>
      </c>
      <c r="E236" s="101" t="s">
        <v>95</v>
      </c>
      <c r="F236" s="116"/>
      <c r="G236" s="100" t="s">
        <v>168</v>
      </c>
      <c r="Q236" s="272">
        <f>'AMSA - Saldanha'!$I55*(Q$223)</f>
        <v>0.38034285714285715</v>
      </c>
      <c r="R236" s="389">
        <f>'AMSA - Saldanha'!$I55*(R$223)</f>
        <v>0.51108571428571437</v>
      </c>
      <c r="S236" s="272">
        <f>'AMSA - Saldanha'!$I55*(S$223)</f>
        <v>0.49645714285714293</v>
      </c>
    </row>
    <row r="237" spans="2:21" x14ac:dyDescent="0.25">
      <c r="B237" s="100" t="s">
        <v>179</v>
      </c>
      <c r="C237" s="100" t="s">
        <v>180</v>
      </c>
      <c r="D237" s="100" t="s">
        <v>17</v>
      </c>
      <c r="E237" s="100" t="s">
        <v>24</v>
      </c>
      <c r="G237" s="100" t="s">
        <v>17</v>
      </c>
      <c r="Q237" s="272"/>
      <c r="R237" s="389"/>
      <c r="S237" s="272"/>
    </row>
    <row r="238" spans="2:21" x14ac:dyDescent="0.25">
      <c r="B238" s="100" t="s">
        <v>181</v>
      </c>
      <c r="C238" s="100"/>
      <c r="D238" s="100" t="s">
        <v>175</v>
      </c>
      <c r="E238" s="100" t="s">
        <v>1</v>
      </c>
      <c r="G238" s="100" t="s">
        <v>175</v>
      </c>
      <c r="Q238" s="272"/>
      <c r="R238" s="389"/>
      <c r="S238" s="272"/>
    </row>
    <row r="239" spans="2:21" x14ac:dyDescent="0.25">
      <c r="B239" s="100"/>
      <c r="C239" s="100"/>
      <c r="D239" s="100"/>
      <c r="E239" s="100"/>
      <c r="G239" s="100"/>
      <c r="Q239" s="272"/>
      <c r="R239" s="389"/>
      <c r="S239" s="272"/>
    </row>
    <row r="240" spans="2:21" x14ac:dyDescent="0.25">
      <c r="B240" s="100"/>
      <c r="C240" s="100" t="s">
        <v>601</v>
      </c>
      <c r="D240" s="100"/>
      <c r="E240" s="100"/>
      <c r="G240" s="100"/>
      <c r="Q240" s="272"/>
      <c r="R240" s="389"/>
      <c r="S240" s="272"/>
    </row>
    <row r="241" spans="2:20" x14ac:dyDescent="0.25">
      <c r="B241" s="100" t="s">
        <v>165</v>
      </c>
      <c r="C241" s="100" t="s">
        <v>166</v>
      </c>
      <c r="D241" s="100" t="s">
        <v>16</v>
      </c>
      <c r="E241" s="100" t="s">
        <v>24</v>
      </c>
      <c r="G241" s="100" t="s">
        <v>16</v>
      </c>
      <c r="Q241" s="272">
        <v>0.23</v>
      </c>
      <c r="R241" s="389">
        <v>0.39</v>
      </c>
      <c r="S241" s="272">
        <v>0.31</v>
      </c>
      <c r="T241" t="s">
        <v>602</v>
      </c>
    </row>
    <row r="242" spans="2:20" x14ac:dyDescent="0.25">
      <c r="B242" s="100"/>
      <c r="C242" s="100" t="s">
        <v>608</v>
      </c>
      <c r="D242" s="100"/>
      <c r="E242" s="100"/>
      <c r="G242" s="100"/>
      <c r="Q242" s="272"/>
      <c r="R242" s="389"/>
      <c r="S242" s="272"/>
    </row>
    <row r="243" spans="2:20" x14ac:dyDescent="0.25">
      <c r="B243" s="100" t="s">
        <v>181</v>
      </c>
      <c r="C243" s="100"/>
      <c r="D243" s="100" t="s">
        <v>175</v>
      </c>
      <c r="E243" s="100" t="s">
        <v>1</v>
      </c>
      <c r="G243" t="s">
        <v>8</v>
      </c>
      <c r="Q243" s="272">
        <f>Q213+0.24</f>
        <v>0.24</v>
      </c>
      <c r="R243" s="389">
        <f>R213+0.39</f>
        <v>0.39</v>
      </c>
      <c r="S243" s="272">
        <f>S213+0.31</f>
        <v>0.31</v>
      </c>
      <c r="T243" t="s">
        <v>602</v>
      </c>
    </row>
    <row r="244" spans="2:20" x14ac:dyDescent="0.25">
      <c r="B244" s="100"/>
      <c r="C244" s="100"/>
      <c r="D244" s="100"/>
      <c r="E244" s="100"/>
      <c r="G244" s="100"/>
      <c r="Q244" s="272"/>
      <c r="R244" s="389"/>
      <c r="S244" s="272"/>
    </row>
    <row r="245" spans="2:20" x14ac:dyDescent="0.25">
      <c r="B245" s="100"/>
      <c r="C245" s="402" t="s">
        <v>603</v>
      </c>
      <c r="D245" s="100"/>
      <c r="E245" s="100"/>
      <c r="Q245" s="272"/>
      <c r="R245" s="389"/>
      <c r="S245" s="272"/>
    </row>
    <row r="246" spans="2:20" x14ac:dyDescent="0.25">
      <c r="B246" s="100"/>
      <c r="C246" s="100" t="s">
        <v>597</v>
      </c>
      <c r="D246" s="100"/>
      <c r="E246" s="100"/>
      <c r="Q246" s="272">
        <f>Q230+Q232+Q235+Q241</f>
        <v>4.3010000000000002</v>
      </c>
      <c r="R246" s="389">
        <f>R230+R232+R235+R241</f>
        <v>4.3999999999999995</v>
      </c>
      <c r="S246" s="272">
        <f>S230+S232+S235+S241</f>
        <v>4.6019999999999994</v>
      </c>
    </row>
    <row r="247" spans="2:20" x14ac:dyDescent="0.25">
      <c r="B247" s="100"/>
      <c r="C247" s="100" t="s">
        <v>598</v>
      </c>
      <c r="D247" s="100"/>
      <c r="E247" s="100"/>
      <c r="Q247" s="272">
        <f>Q231+Q236</f>
        <v>0.7</v>
      </c>
      <c r="R247" s="389">
        <f>R231+R236</f>
        <v>0.9</v>
      </c>
      <c r="S247" s="272">
        <f>S231+S236</f>
        <v>0.8</v>
      </c>
    </row>
    <row r="248" spans="2:20" x14ac:dyDescent="0.25">
      <c r="B248" s="100"/>
      <c r="C248" s="402" t="s">
        <v>614</v>
      </c>
      <c r="D248" s="18"/>
      <c r="E248" s="18"/>
      <c r="F248" s="18"/>
      <c r="G248" s="18"/>
      <c r="H248" s="18"/>
      <c r="I248" s="18"/>
      <c r="J248" s="18"/>
      <c r="K248" s="18"/>
      <c r="L248" s="18"/>
      <c r="M248" s="252"/>
      <c r="N248" s="18"/>
      <c r="O248" s="18"/>
      <c r="P248" s="18"/>
      <c r="Q248" s="329">
        <f>SUM(Q246:Q247)</f>
        <v>5.0010000000000003</v>
      </c>
      <c r="R248" s="552">
        <f>SUM(R246:R247)</f>
        <v>5.3</v>
      </c>
      <c r="S248" s="329">
        <f>SUM(S246:S247)</f>
        <v>5.4019999999999992</v>
      </c>
    </row>
    <row r="249" spans="2:20" x14ac:dyDescent="0.25">
      <c r="B249" s="100"/>
      <c r="C249" s="100" t="s">
        <v>605</v>
      </c>
      <c r="D249" s="100"/>
      <c r="E249" s="100"/>
      <c r="Q249" s="272">
        <f>Q219+Q221+Q224</f>
        <v>4.390657142857143</v>
      </c>
      <c r="R249" s="389">
        <f>R219+R221+R224</f>
        <v>4.3989142857142856</v>
      </c>
      <c r="S249" s="272">
        <f>S219+S221+S224</f>
        <v>4.5955428571428572</v>
      </c>
    </row>
    <row r="250" spans="2:20" x14ac:dyDescent="0.25">
      <c r="B250" s="100"/>
      <c r="C250" s="100" t="s">
        <v>604</v>
      </c>
      <c r="D250" s="100"/>
      <c r="E250" s="100"/>
      <c r="Q250" s="272">
        <f>Q220+Q222+Q225+Q226+Q227+Q243</f>
        <v>0.62034285714285708</v>
      </c>
      <c r="R250" s="389">
        <f>R220+R222+R225+R226+R227+R243</f>
        <v>0.90108571428571438</v>
      </c>
      <c r="S250" s="272">
        <f>S220+S222+S225+S226+S227+S243</f>
        <v>0.80645714285714298</v>
      </c>
    </row>
    <row r="251" spans="2:20" x14ac:dyDescent="0.25">
      <c r="B251" s="100"/>
      <c r="C251" s="402" t="s">
        <v>612</v>
      </c>
      <c r="D251" s="402"/>
      <c r="E251" s="402"/>
      <c r="F251" s="18"/>
      <c r="G251" s="18"/>
      <c r="H251" s="18"/>
      <c r="I251" s="18"/>
      <c r="J251" s="18"/>
      <c r="K251" s="18"/>
      <c r="L251" s="18"/>
      <c r="M251" s="252"/>
      <c r="N251" s="18"/>
      <c r="O251" s="18"/>
      <c r="P251" s="18"/>
      <c r="Q251" s="382">
        <f>SUM(Q249:Q250)</f>
        <v>5.0110000000000001</v>
      </c>
      <c r="R251" s="548">
        <f>SUM(R249:R250)</f>
        <v>5.3</v>
      </c>
      <c r="S251" s="382">
        <f>SUM(S249:S250)</f>
        <v>5.4020000000000001</v>
      </c>
    </row>
    <row r="252" spans="2:20" x14ac:dyDescent="0.25">
      <c r="B252" s="100"/>
      <c r="C252" s="100" t="s">
        <v>609</v>
      </c>
      <c r="D252" s="100"/>
      <c r="E252" s="100"/>
      <c r="Q252" s="17">
        <f>Q249/SUM(Q249:Q250)</f>
        <v>0.87620378025486789</v>
      </c>
      <c r="R252" s="250">
        <f>R249/SUM(R249:R250)</f>
        <v>0.82998382749326149</v>
      </c>
      <c r="S252" s="17">
        <f>S249/SUM(S249:S250)</f>
        <v>0.85071137673877395</v>
      </c>
    </row>
    <row r="253" spans="2:20" x14ac:dyDescent="0.25">
      <c r="B253" s="100"/>
      <c r="C253" s="100" t="s">
        <v>610</v>
      </c>
      <c r="D253" s="100"/>
      <c r="E253" s="100"/>
      <c r="Q253" s="17">
        <f>1-Q252</f>
        <v>0.12379621974513211</v>
      </c>
      <c r="R253" s="250">
        <f>1-R252</f>
        <v>0.17001617250673851</v>
      </c>
      <c r="S253" s="17">
        <f>1-S252</f>
        <v>0.14928862326122605</v>
      </c>
    </row>
    <row r="254" spans="2:20" x14ac:dyDescent="0.25">
      <c r="B254" s="100"/>
      <c r="C254" s="402" t="s">
        <v>613</v>
      </c>
      <c r="D254" s="100"/>
      <c r="E254" s="100"/>
      <c r="Q254" s="17"/>
      <c r="R254" s="250"/>
      <c r="S254" s="17"/>
    </row>
    <row r="255" spans="2:20" x14ac:dyDescent="0.25">
      <c r="B255" s="100" t="s">
        <v>165</v>
      </c>
      <c r="C255" s="100" t="s">
        <v>166</v>
      </c>
      <c r="D255" s="100" t="s">
        <v>16</v>
      </c>
      <c r="E255" s="100" t="s">
        <v>24</v>
      </c>
      <c r="G255" t="s">
        <v>7</v>
      </c>
      <c r="Q255" s="411"/>
      <c r="R255" s="553"/>
      <c r="S255" s="411"/>
    </row>
    <row r="256" spans="2:20" x14ac:dyDescent="0.25">
      <c r="B256" s="100" t="s">
        <v>165</v>
      </c>
      <c r="C256" s="100" t="s">
        <v>166</v>
      </c>
      <c r="D256" s="100" t="s">
        <v>168</v>
      </c>
      <c r="E256" s="100" t="s">
        <v>1</v>
      </c>
      <c r="G256" t="s">
        <v>9</v>
      </c>
      <c r="Q256" s="17"/>
      <c r="R256" s="250"/>
      <c r="S256" s="17"/>
    </row>
    <row r="257" spans="2:22" x14ac:dyDescent="0.25">
      <c r="B257" s="100" t="s">
        <v>165</v>
      </c>
      <c r="C257" s="100" t="s">
        <v>171</v>
      </c>
      <c r="D257" s="100" t="s">
        <v>16</v>
      </c>
      <c r="E257" s="100" t="s">
        <v>24</v>
      </c>
      <c r="G257" t="s">
        <v>7</v>
      </c>
      <c r="Q257" s="17"/>
      <c r="R257" s="250"/>
      <c r="S257" s="17"/>
    </row>
    <row r="258" spans="2:22" x14ac:dyDescent="0.25">
      <c r="B258" s="100" t="s">
        <v>165</v>
      </c>
      <c r="C258" s="100" t="s">
        <v>174</v>
      </c>
      <c r="D258" s="100" t="s">
        <v>175</v>
      </c>
      <c r="E258" s="100" t="s">
        <v>1</v>
      </c>
      <c r="G258" t="s">
        <v>8</v>
      </c>
      <c r="Q258" s="17"/>
      <c r="R258" s="250"/>
      <c r="S258" s="17"/>
    </row>
    <row r="259" spans="2:22" x14ac:dyDescent="0.25">
      <c r="B259" s="100" t="s">
        <v>165</v>
      </c>
      <c r="C259" s="100" t="s">
        <v>177</v>
      </c>
      <c r="D259" s="100" t="s">
        <v>585</v>
      </c>
      <c r="E259" s="100" t="s">
        <v>585</v>
      </c>
      <c r="F259" s="116"/>
      <c r="G259" s="116" t="s">
        <v>585</v>
      </c>
      <c r="Q259" s="17"/>
      <c r="R259" s="250"/>
      <c r="S259" s="17"/>
    </row>
    <row r="260" spans="2:22" x14ac:dyDescent="0.25">
      <c r="B260" s="100" t="s">
        <v>165</v>
      </c>
      <c r="C260" s="100" t="s">
        <v>177</v>
      </c>
      <c r="D260" s="100" t="s">
        <v>93</v>
      </c>
      <c r="E260" s="100" t="s">
        <v>95</v>
      </c>
      <c r="F260" s="116"/>
      <c r="G260" s="116" t="s">
        <v>170</v>
      </c>
      <c r="Q260" s="17"/>
      <c r="R260" s="250"/>
      <c r="S260" s="17"/>
    </row>
    <row r="261" spans="2:22" x14ac:dyDescent="0.25">
      <c r="B261" s="100" t="s">
        <v>165</v>
      </c>
      <c r="C261" s="100" t="s">
        <v>177</v>
      </c>
      <c r="D261" s="100" t="s">
        <v>168</v>
      </c>
      <c r="E261" s="101" t="s">
        <v>95</v>
      </c>
      <c r="F261" s="116"/>
      <c r="G261" s="116" t="s">
        <v>170</v>
      </c>
      <c r="Q261" s="17"/>
      <c r="R261" s="250"/>
      <c r="S261" s="17"/>
    </row>
    <row r="262" spans="2:22" x14ac:dyDescent="0.25">
      <c r="B262" s="100" t="s">
        <v>179</v>
      </c>
      <c r="C262" s="100" t="s">
        <v>180</v>
      </c>
      <c r="D262" s="100" t="s">
        <v>17</v>
      </c>
      <c r="E262" s="100" t="s">
        <v>24</v>
      </c>
      <c r="G262" t="s">
        <v>10</v>
      </c>
      <c r="Q262" s="17"/>
      <c r="R262" s="250"/>
      <c r="S262" s="17"/>
    </row>
    <row r="263" spans="2:22" x14ac:dyDescent="0.25">
      <c r="B263" s="100" t="s">
        <v>181</v>
      </c>
      <c r="C263" s="100"/>
      <c r="D263" s="100" t="s">
        <v>175</v>
      </c>
      <c r="E263" s="100" t="s">
        <v>1</v>
      </c>
      <c r="G263" t="s">
        <v>8</v>
      </c>
      <c r="Q263" s="17"/>
      <c r="R263" s="250"/>
      <c r="S263" s="17"/>
    </row>
    <row r="264" spans="2:22" x14ac:dyDescent="0.25">
      <c r="B264" s="100"/>
      <c r="C264" s="100"/>
      <c r="D264" s="100"/>
      <c r="E264" s="100"/>
      <c r="Q264" s="17"/>
      <c r="R264" s="250"/>
      <c r="S264" s="17"/>
    </row>
    <row r="265" spans="2:22" x14ac:dyDescent="0.25">
      <c r="B265" s="100"/>
      <c r="C265" s="100"/>
      <c r="D265" s="100"/>
      <c r="E265" s="100"/>
      <c r="Q265" s="272"/>
      <c r="R265" s="389"/>
      <c r="S265" s="272"/>
    </row>
    <row r="266" spans="2:22" ht="15.75" x14ac:dyDescent="0.25">
      <c r="B266" s="289" t="s">
        <v>304</v>
      </c>
      <c r="C266" s="100"/>
      <c r="D266" s="100"/>
      <c r="E266" s="100"/>
      <c r="Q266" s="272"/>
      <c r="R266" s="389"/>
      <c r="S266" s="272"/>
    </row>
    <row r="267" spans="2:22" x14ac:dyDescent="0.25">
      <c r="B267" s="275" t="s">
        <v>165</v>
      </c>
      <c r="C267" s="276" t="s">
        <v>166</v>
      </c>
      <c r="D267" s="276" t="s">
        <v>16</v>
      </c>
      <c r="E267" s="276" t="s">
        <v>24</v>
      </c>
      <c r="F267" s="15"/>
      <c r="G267" s="15"/>
      <c r="H267" s="276" t="s">
        <v>307</v>
      </c>
      <c r="I267" s="15"/>
      <c r="J267" s="15"/>
      <c r="K267" s="15"/>
      <c r="L267" s="15"/>
      <c r="M267" s="247"/>
      <c r="N267" s="15"/>
      <c r="O267" s="15"/>
      <c r="P267" s="15"/>
      <c r="Q267" s="290">
        <f>Q171</f>
        <v>0.82</v>
      </c>
      <c r="R267" s="554">
        <f>R171</f>
        <v>0.81</v>
      </c>
      <c r="S267" s="290">
        <f>S171</f>
        <v>0.85</v>
      </c>
      <c r="T267" s="291">
        <f>R267</f>
        <v>0.81</v>
      </c>
      <c r="U267" s="292">
        <f>T267</f>
        <v>0.81</v>
      </c>
      <c r="V267" t="s">
        <v>308</v>
      </c>
    </row>
    <row r="268" spans="2:22" x14ac:dyDescent="0.25">
      <c r="B268" s="109" t="s">
        <v>165</v>
      </c>
      <c r="C268" s="100" t="s">
        <v>166</v>
      </c>
      <c r="D268" s="100" t="s">
        <v>168</v>
      </c>
      <c r="E268" s="100" t="s">
        <v>1</v>
      </c>
      <c r="H268" s="100" t="s">
        <v>307</v>
      </c>
      <c r="Q268" s="286">
        <f>Q267</f>
        <v>0.82</v>
      </c>
      <c r="R268" s="555">
        <f>R267</f>
        <v>0.81</v>
      </c>
      <c r="S268" s="286">
        <f>S267</f>
        <v>0.85</v>
      </c>
      <c r="T268" s="285">
        <v>0.85</v>
      </c>
      <c r="U268" s="293">
        <v>0.81</v>
      </c>
      <c r="V268" t="s">
        <v>308</v>
      </c>
    </row>
    <row r="269" spans="2:22" x14ac:dyDescent="0.25">
      <c r="B269" s="109" t="s">
        <v>165</v>
      </c>
      <c r="C269" s="100" t="s">
        <v>171</v>
      </c>
      <c r="D269" s="100" t="s">
        <v>16</v>
      </c>
      <c r="E269" s="100" t="s">
        <v>24</v>
      </c>
      <c r="H269" s="100" t="s">
        <v>307</v>
      </c>
      <c r="Q269" s="286">
        <f>Q177</f>
        <v>0.81</v>
      </c>
      <c r="R269" s="555">
        <f>R177</f>
        <v>0.76</v>
      </c>
      <c r="S269" s="286">
        <f>S177</f>
        <v>0.81</v>
      </c>
      <c r="T269" s="285">
        <f>R269</f>
        <v>0.76</v>
      </c>
      <c r="U269" s="293">
        <f>T269</f>
        <v>0.76</v>
      </c>
      <c r="V269" t="s">
        <v>308</v>
      </c>
    </row>
    <row r="270" spans="2:22" x14ac:dyDescent="0.25">
      <c r="B270" s="109" t="s">
        <v>165</v>
      </c>
      <c r="C270" s="100" t="s">
        <v>174</v>
      </c>
      <c r="D270" s="100" t="s">
        <v>175</v>
      </c>
      <c r="E270" s="100" t="s">
        <v>1</v>
      </c>
      <c r="Q270" s="272"/>
      <c r="R270" s="389"/>
      <c r="S270" s="272"/>
      <c r="U270" s="5"/>
    </row>
    <row r="271" spans="2:22" x14ac:dyDescent="0.25">
      <c r="B271" s="109" t="s">
        <v>165</v>
      </c>
      <c r="C271" s="100" t="s">
        <v>177</v>
      </c>
      <c r="D271" s="100" t="s">
        <v>93</v>
      </c>
      <c r="E271" s="100" t="s">
        <v>95</v>
      </c>
      <c r="G271" s="116"/>
      <c r="H271" s="100" t="s">
        <v>305</v>
      </c>
      <c r="Q271" s="272"/>
      <c r="R271" s="389"/>
      <c r="S271" s="272"/>
      <c r="U271" s="5">
        <v>0</v>
      </c>
      <c r="V271" t="s">
        <v>306</v>
      </c>
    </row>
    <row r="272" spans="2:22" x14ac:dyDescent="0.25">
      <c r="B272" s="109" t="s">
        <v>165</v>
      </c>
      <c r="C272" s="100" t="s">
        <v>177</v>
      </c>
      <c r="D272" s="100" t="s">
        <v>168</v>
      </c>
      <c r="E272" s="101" t="s">
        <v>95</v>
      </c>
      <c r="G272" s="116"/>
      <c r="H272" t="s">
        <v>305</v>
      </c>
      <c r="Q272" s="272"/>
      <c r="R272" s="389"/>
      <c r="S272" s="272"/>
      <c r="U272" s="5">
        <v>0</v>
      </c>
      <c r="V272" t="s">
        <v>306</v>
      </c>
    </row>
    <row r="273" spans="2:21" x14ac:dyDescent="0.25">
      <c r="B273" s="109" t="s">
        <v>179</v>
      </c>
      <c r="C273" s="100" t="s">
        <v>180</v>
      </c>
      <c r="D273" s="100" t="s">
        <v>17</v>
      </c>
      <c r="E273" s="100" t="s">
        <v>24</v>
      </c>
      <c r="H273" s="100" t="s">
        <v>305</v>
      </c>
      <c r="Q273" s="272"/>
      <c r="R273" s="389"/>
      <c r="S273" s="272"/>
      <c r="U273" s="5">
        <v>0</v>
      </c>
    </row>
    <row r="274" spans="2:21" x14ac:dyDescent="0.25">
      <c r="B274" s="109" t="s">
        <v>181</v>
      </c>
      <c r="C274" s="100"/>
      <c r="D274" s="100" t="s">
        <v>175</v>
      </c>
      <c r="E274" s="100" t="s">
        <v>1</v>
      </c>
      <c r="H274" s="100" t="s">
        <v>307</v>
      </c>
      <c r="Q274" s="272"/>
      <c r="R274" s="389"/>
      <c r="S274" s="272"/>
      <c r="T274" s="285"/>
      <c r="U274" s="293"/>
    </row>
    <row r="275" spans="2:21" x14ac:dyDescent="0.25">
      <c r="B275" s="109"/>
      <c r="C275" s="100"/>
      <c r="D275" s="100"/>
      <c r="E275" s="100"/>
      <c r="H275" s="100"/>
      <c r="Q275" s="272"/>
      <c r="R275" s="389"/>
      <c r="S275" s="272"/>
      <c r="T275" s="285"/>
      <c r="U275" s="293"/>
    </row>
    <row r="276" spans="2:21" x14ac:dyDescent="0.25">
      <c r="B276" s="109"/>
      <c r="C276" s="100"/>
      <c r="D276" s="100"/>
      <c r="E276" s="100"/>
      <c r="Q276" s="272"/>
      <c r="R276" s="389"/>
      <c r="S276" s="272"/>
      <c r="U276" s="5"/>
    </row>
    <row r="277" spans="2:21" ht="15.75" x14ac:dyDescent="0.25">
      <c r="B277" s="337" t="s">
        <v>309</v>
      </c>
      <c r="C277" s="100"/>
      <c r="D277" s="100"/>
      <c r="E277" s="100"/>
      <c r="Q277" s="272"/>
      <c r="R277" s="389"/>
      <c r="S277" s="272"/>
      <c r="U277" s="5"/>
    </row>
    <row r="278" spans="2:21" x14ac:dyDescent="0.25">
      <c r="B278" s="109" t="s">
        <v>165</v>
      </c>
      <c r="C278" s="100" t="s">
        <v>166</v>
      </c>
      <c r="D278" s="100" t="s">
        <v>16</v>
      </c>
      <c r="E278" s="100" t="s">
        <v>24</v>
      </c>
      <c r="F278" t="s">
        <v>7</v>
      </c>
      <c r="H278" s="100" t="s">
        <v>305</v>
      </c>
      <c r="Q278" s="272"/>
      <c r="R278" s="389"/>
      <c r="S278" s="272"/>
      <c r="T278" s="287">
        <f>S188*(T267/S267)</f>
        <v>1.5936009538950717</v>
      </c>
      <c r="U278" s="294">
        <f>T278*(U267/T267)</f>
        <v>1.5936009538950717</v>
      </c>
    </row>
    <row r="279" spans="2:21" x14ac:dyDescent="0.25">
      <c r="B279" s="109" t="s">
        <v>165</v>
      </c>
      <c r="C279" s="100" t="s">
        <v>166</v>
      </c>
      <c r="D279" s="100" t="s">
        <v>168</v>
      </c>
      <c r="E279" s="100" t="s">
        <v>1</v>
      </c>
      <c r="F279" t="s">
        <v>9</v>
      </c>
      <c r="H279" s="100" t="s">
        <v>305</v>
      </c>
      <c r="Q279" s="272"/>
      <c r="R279" s="389"/>
      <c r="S279" s="272"/>
      <c r="T279" s="287">
        <f>S189*(T268/S268)</f>
        <v>0.80270270270270283</v>
      </c>
      <c r="U279" s="294">
        <f>T279*(U268/T268)</f>
        <v>0.76492845786963448</v>
      </c>
    </row>
    <row r="280" spans="2:21" x14ac:dyDescent="0.25">
      <c r="B280" s="109" t="s">
        <v>165</v>
      </c>
      <c r="C280" s="100" t="s">
        <v>171</v>
      </c>
      <c r="D280" s="100" t="s">
        <v>16</v>
      </c>
      <c r="E280" s="100" t="s">
        <v>24</v>
      </c>
      <c r="F280" t="s">
        <v>7</v>
      </c>
      <c r="H280" s="100" t="s">
        <v>305</v>
      </c>
      <c r="Q280" s="272"/>
      <c r="R280" s="389"/>
      <c r="S280" s="272"/>
      <c r="T280" s="287">
        <f>S190*(T269/S269)</f>
        <v>1.4364938271604937</v>
      </c>
      <c r="U280" s="294">
        <f>T280*(U269/T269)</f>
        <v>1.4364938271604937</v>
      </c>
    </row>
    <row r="281" spans="2:21" x14ac:dyDescent="0.25">
      <c r="B281" s="109" t="s">
        <v>165</v>
      </c>
      <c r="C281" s="100" t="s">
        <v>174</v>
      </c>
      <c r="D281" s="100" t="s">
        <v>175</v>
      </c>
      <c r="E281" s="100" t="s">
        <v>1</v>
      </c>
      <c r="F281" t="s">
        <v>8</v>
      </c>
      <c r="H281" s="100" t="s">
        <v>305</v>
      </c>
      <c r="Q281" s="272"/>
      <c r="R281" s="389"/>
      <c r="S281" s="272"/>
      <c r="T281">
        <v>0</v>
      </c>
      <c r="U281" s="5">
        <v>0</v>
      </c>
    </row>
    <row r="282" spans="2:21" x14ac:dyDescent="0.25">
      <c r="B282" s="109" t="s">
        <v>165</v>
      </c>
      <c r="C282" s="100" t="s">
        <v>177</v>
      </c>
      <c r="D282" s="100" t="s">
        <v>93</v>
      </c>
      <c r="E282" s="100" t="s">
        <v>95</v>
      </c>
      <c r="F282" s="116" t="s">
        <v>170</v>
      </c>
      <c r="H282" s="100" t="s">
        <v>305</v>
      </c>
      <c r="Q282" s="272"/>
      <c r="R282" s="389"/>
      <c r="S282" s="272"/>
      <c r="T282" s="287">
        <f>S192</f>
        <v>0.54300000000000004</v>
      </c>
      <c r="U282" s="294">
        <v>0</v>
      </c>
    </row>
    <row r="283" spans="2:21" x14ac:dyDescent="0.25">
      <c r="B283" s="109" t="s">
        <v>165</v>
      </c>
      <c r="C283" s="100" t="s">
        <v>177</v>
      </c>
      <c r="D283" s="100" t="s">
        <v>168</v>
      </c>
      <c r="E283" s="101" t="s">
        <v>95</v>
      </c>
      <c r="F283" s="116" t="s">
        <v>170</v>
      </c>
      <c r="H283" s="100" t="s">
        <v>305</v>
      </c>
      <c r="Q283" s="272"/>
      <c r="R283" s="389"/>
      <c r="S283" s="272"/>
      <c r="T283" s="287">
        <f>S193</f>
        <v>0.54300000000000004</v>
      </c>
      <c r="U283" s="294">
        <v>0</v>
      </c>
    </row>
    <row r="284" spans="2:21" x14ac:dyDescent="0.25">
      <c r="B284" s="109" t="s">
        <v>179</v>
      </c>
      <c r="C284" s="100" t="s">
        <v>180</v>
      </c>
      <c r="D284" s="100" t="s">
        <v>17</v>
      </c>
      <c r="E284" s="100" t="s">
        <v>24</v>
      </c>
      <c r="F284" t="s">
        <v>10</v>
      </c>
      <c r="H284" s="100" t="s">
        <v>305</v>
      </c>
      <c r="Q284" s="272"/>
      <c r="R284" s="389"/>
      <c r="S284" s="272"/>
      <c r="T284" s="287">
        <v>0</v>
      </c>
      <c r="U284" s="294">
        <v>0</v>
      </c>
    </row>
    <row r="285" spans="2:21" x14ac:dyDescent="0.25">
      <c r="B285" s="278" t="s">
        <v>181</v>
      </c>
      <c r="C285" s="110"/>
      <c r="D285" s="110" t="s">
        <v>175</v>
      </c>
      <c r="E285" s="110" t="s">
        <v>1</v>
      </c>
      <c r="F285" s="8" t="s">
        <v>8</v>
      </c>
      <c r="G285" s="8"/>
      <c r="H285" s="110" t="s">
        <v>305</v>
      </c>
      <c r="I285" s="8"/>
      <c r="J285" s="8"/>
      <c r="K285" s="8"/>
      <c r="L285" s="8"/>
      <c r="M285" s="251"/>
      <c r="N285" s="8"/>
      <c r="O285" s="8"/>
      <c r="P285" s="8"/>
      <c r="Q285" s="279"/>
      <c r="R285" s="544"/>
      <c r="S285" s="279"/>
      <c r="T285" s="295">
        <f>S195</f>
        <v>1.2079999999999993</v>
      </c>
      <c r="U285" s="296">
        <f>T285</f>
        <v>1.2079999999999993</v>
      </c>
    </row>
    <row r="286" spans="2:21" x14ac:dyDescent="0.25">
      <c r="B286" s="100"/>
      <c r="C286" s="100"/>
      <c r="D286" s="100"/>
      <c r="E286" s="100"/>
      <c r="Q286" s="272"/>
      <c r="R286" s="389"/>
      <c r="S286" s="272"/>
    </row>
    <row r="287" spans="2:21" x14ac:dyDescent="0.25">
      <c r="Q287" s="272"/>
      <c r="R287" s="389"/>
      <c r="S287" s="272"/>
    </row>
    <row r="288" spans="2:21" ht="18.75" x14ac:dyDescent="0.3">
      <c r="B288" s="112" t="s">
        <v>317</v>
      </c>
    </row>
    <row r="289" spans="2:22" x14ac:dyDescent="0.25">
      <c r="B289" s="14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247"/>
      <c r="N289" s="15"/>
      <c r="O289" s="15"/>
      <c r="P289" s="15"/>
      <c r="Q289" s="15"/>
      <c r="R289" s="247"/>
      <c r="S289" s="15"/>
      <c r="T289" s="15"/>
      <c r="U289" s="15"/>
      <c r="V289" s="3"/>
    </row>
    <row r="290" spans="2:22" ht="16.5" customHeight="1" x14ac:dyDescent="0.25">
      <c r="B290" s="6" t="s">
        <v>205</v>
      </c>
      <c r="N290" s="570"/>
      <c r="O290" s="571"/>
      <c r="V290" s="5"/>
    </row>
    <row r="291" spans="2:22" x14ac:dyDescent="0.25">
      <c r="B291" s="129" t="s">
        <v>7</v>
      </c>
      <c r="C291" s="130"/>
      <c r="D291" s="130" t="str">
        <f>C28</f>
        <v>IISBFBOF-E</v>
      </c>
      <c r="E291" s="130"/>
      <c r="F291" s="130"/>
      <c r="G291" s="130"/>
      <c r="H291" s="130"/>
      <c r="I291" s="130"/>
      <c r="J291" s="130"/>
      <c r="K291" s="130"/>
      <c r="L291" s="130"/>
      <c r="M291" s="251">
        <f>SUMIFS(M$157:M$285,$F$157:$F$285,$B291)</f>
        <v>3.3</v>
      </c>
      <c r="N291" s="374">
        <f t="shared" ref="N291:O295" si="34">M291*(N$296/M$296)</f>
        <v>3.3760806916426511</v>
      </c>
      <c r="O291" s="374">
        <f t="shared" si="34"/>
        <v>3.0907780979827089</v>
      </c>
      <c r="P291" s="288">
        <f>SUMIFS(P$157:P$285,$F$157:$F$285,$B291)</f>
        <v>3.1641891891891891</v>
      </c>
      <c r="Q291" s="288">
        <f>SUMIFS(Q$157:Q$285,$F$157:$F$285,$B291)</f>
        <v>3.1641891891891891</v>
      </c>
      <c r="R291" s="556">
        <f t="shared" ref="P291:U295" si="35">SUMIFS(R$157:R$285,$F$157:$F$285,$B291)</f>
        <v>3.0330810810810807</v>
      </c>
      <c r="S291" s="288">
        <f t="shared" si="35"/>
        <v>3.2032972972972971</v>
      </c>
      <c r="T291" s="288">
        <f t="shared" si="35"/>
        <v>3.0300947810555652</v>
      </c>
      <c r="U291" s="288">
        <f t="shared" si="35"/>
        <v>3.0300947810555652</v>
      </c>
      <c r="V291" s="5"/>
    </row>
    <row r="292" spans="2:22" x14ac:dyDescent="0.25">
      <c r="B292" s="129" t="s">
        <v>170</v>
      </c>
      <c r="C292" s="130"/>
      <c r="D292" s="130" t="str">
        <f>C30</f>
        <v>IISCOREAF-E</v>
      </c>
      <c r="E292" s="130"/>
      <c r="F292" s="130"/>
      <c r="G292" s="130"/>
      <c r="H292" s="130"/>
      <c r="I292" s="130"/>
      <c r="J292" s="130"/>
      <c r="K292" s="130"/>
      <c r="L292" s="130"/>
      <c r="M292" s="251">
        <f>SUMIFS(M$157:M$285,$F$157:$F$285,$B292)</f>
        <v>1.21</v>
      </c>
      <c r="N292" s="374">
        <f t="shared" si="34"/>
        <v>1.2378962536023055</v>
      </c>
      <c r="O292" s="374">
        <f t="shared" si="34"/>
        <v>1.13328530259366</v>
      </c>
      <c r="P292" s="288">
        <f t="shared" si="35"/>
        <v>0.96299999999999997</v>
      </c>
      <c r="Q292" s="288">
        <f t="shared" si="35"/>
        <v>0.83199999999999996</v>
      </c>
      <c r="R292" s="556">
        <f t="shared" si="35"/>
        <v>1.1180000000000001</v>
      </c>
      <c r="S292" s="288">
        <f t="shared" si="35"/>
        <v>1.0860000000000001</v>
      </c>
      <c r="T292" s="288">
        <f t="shared" si="35"/>
        <v>1.0860000000000001</v>
      </c>
      <c r="U292" s="288">
        <f t="shared" si="35"/>
        <v>0</v>
      </c>
      <c r="V292" s="5"/>
    </row>
    <row r="293" spans="2:22" x14ac:dyDescent="0.25">
      <c r="B293" s="129" t="s">
        <v>9</v>
      </c>
      <c r="C293" s="130"/>
      <c r="D293" s="130" t="str">
        <f>C29</f>
        <v>IISDRIEAF-E</v>
      </c>
      <c r="E293" s="130"/>
      <c r="F293" s="130"/>
      <c r="G293" s="130"/>
      <c r="H293" s="130"/>
      <c r="I293" s="130"/>
      <c r="J293" s="130"/>
      <c r="K293" s="130"/>
      <c r="L293" s="130"/>
      <c r="M293" s="251">
        <f>SUMIFS(M$157:M$285,$F$157:$F$285,$B293)</f>
        <v>0.95</v>
      </c>
      <c r="N293" s="374">
        <f>M293*(N$296/M$296)</f>
        <v>0.97190201729106618</v>
      </c>
      <c r="O293" s="374">
        <f t="shared" si="34"/>
        <v>0.88976945244956762</v>
      </c>
      <c r="P293" s="288">
        <f t="shared" si="35"/>
        <v>0.77481081081081082</v>
      </c>
      <c r="Q293" s="288">
        <f t="shared" si="35"/>
        <v>0.77481081081081082</v>
      </c>
      <c r="R293" s="556">
        <f t="shared" si="35"/>
        <v>0.75891891891891894</v>
      </c>
      <c r="S293" s="288">
        <f t="shared" si="35"/>
        <v>0.80270270270270283</v>
      </c>
      <c r="T293" s="288">
        <f t="shared" si="35"/>
        <v>0.80270270270270283</v>
      </c>
      <c r="U293" s="288">
        <f t="shared" si="35"/>
        <v>0.76492845786963448</v>
      </c>
      <c r="V293" s="5"/>
    </row>
    <row r="294" spans="2:22" x14ac:dyDescent="0.25">
      <c r="B294" s="129" t="s">
        <v>10</v>
      </c>
      <c r="C294" s="130"/>
      <c r="D294" s="130" t="str">
        <f>C31</f>
        <v>IISOTHEAF-E</v>
      </c>
      <c r="E294" s="130"/>
      <c r="F294" s="130"/>
      <c r="G294" s="130"/>
      <c r="H294" s="130"/>
      <c r="I294" s="130"/>
      <c r="J294" s="130"/>
      <c r="K294" s="130"/>
      <c r="L294" s="130"/>
      <c r="M294" s="251">
        <f>SUMIFS(M$157:M$285,$F$157:$F$285,$B294)</f>
        <v>0.62</v>
      </c>
      <c r="N294" s="374">
        <f t="shared" si="34"/>
        <v>0.63429394812680118</v>
      </c>
      <c r="O294" s="374">
        <f t="shared" si="34"/>
        <v>0.5806916426512968</v>
      </c>
      <c r="P294" s="288">
        <f t="shared" si="35"/>
        <v>0.1360000000000007</v>
      </c>
      <c r="Q294" s="288">
        <f t="shared" si="35"/>
        <v>0</v>
      </c>
      <c r="R294" s="556">
        <f t="shared" si="35"/>
        <v>0</v>
      </c>
      <c r="S294" s="288">
        <f t="shared" si="35"/>
        <v>0</v>
      </c>
      <c r="T294" s="288">
        <f t="shared" si="35"/>
        <v>0</v>
      </c>
      <c r="U294" s="288">
        <f t="shared" si="35"/>
        <v>0</v>
      </c>
      <c r="V294" s="5"/>
    </row>
    <row r="295" spans="2:22" x14ac:dyDescent="0.25">
      <c r="B295" s="129" t="s">
        <v>8</v>
      </c>
      <c r="C295" s="130"/>
      <c r="D295" s="130" t="str">
        <f>C32</f>
        <v>IISSCREAF-E</v>
      </c>
      <c r="E295" s="130"/>
      <c r="F295" s="130"/>
      <c r="G295" s="130"/>
      <c r="H295" s="130"/>
      <c r="I295" s="130"/>
      <c r="J295" s="130"/>
      <c r="K295" s="130"/>
      <c r="L295" s="130"/>
      <c r="M295" s="251">
        <f>SUMIFS(M$157:M$285,$F$157:$F$285,$B295)</f>
        <v>0.86</v>
      </c>
      <c r="N295" s="374">
        <f t="shared" si="34"/>
        <v>0.87982708933717579</v>
      </c>
      <c r="O295" s="374">
        <f t="shared" si="34"/>
        <v>0.8054755043227666</v>
      </c>
      <c r="P295" s="288">
        <f t="shared" si="35"/>
        <v>1.3620000000000003</v>
      </c>
      <c r="Q295" s="288">
        <f t="shared" si="35"/>
        <v>1.3200000000000003</v>
      </c>
      <c r="R295" s="556">
        <f t="shared" si="35"/>
        <v>1.3200000000000003</v>
      </c>
      <c r="S295" s="288">
        <f t="shared" si="35"/>
        <v>1.2079999999999993</v>
      </c>
      <c r="T295" s="288">
        <f t="shared" si="35"/>
        <v>1.2079999999999993</v>
      </c>
      <c r="U295" s="288">
        <f t="shared" si="35"/>
        <v>1.2079999999999993</v>
      </c>
      <c r="V295" s="5"/>
    </row>
    <row r="296" spans="2:22" x14ac:dyDescent="0.25">
      <c r="B296" s="115" t="s">
        <v>299</v>
      </c>
      <c r="M296" s="273">
        <f>SUM(M291:M295)</f>
        <v>6.94</v>
      </c>
      <c r="N296" s="274">
        <f>N203</f>
        <v>7.1</v>
      </c>
      <c r="O296" s="274">
        <f>O203</f>
        <v>6.5</v>
      </c>
      <c r="P296" s="369">
        <f t="shared" ref="P296:U296" si="36">SUM(P291:P295)</f>
        <v>6.4000000000000012</v>
      </c>
      <c r="Q296" s="274">
        <f t="shared" si="36"/>
        <v>6.0910000000000002</v>
      </c>
      <c r="R296" s="273">
        <f t="shared" si="36"/>
        <v>6.23</v>
      </c>
      <c r="S296" s="274">
        <f t="shared" si="36"/>
        <v>6.3</v>
      </c>
      <c r="T296" s="369">
        <f t="shared" si="36"/>
        <v>6.1267974837582679</v>
      </c>
      <c r="U296" s="302">
        <f t="shared" si="36"/>
        <v>5.0030232389251985</v>
      </c>
      <c r="V296" s="5"/>
    </row>
    <row r="297" spans="2:22" x14ac:dyDescent="0.25">
      <c r="B297" s="4"/>
      <c r="V297" s="5"/>
    </row>
    <row r="298" spans="2:22" x14ac:dyDescent="0.25"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251"/>
      <c r="N298" s="8"/>
      <c r="O298" s="8"/>
      <c r="P298" s="8"/>
      <c r="Q298" s="8"/>
      <c r="R298" s="251"/>
      <c r="S298" s="8"/>
      <c r="T298" s="8"/>
      <c r="U298" s="8"/>
      <c r="V298" s="9"/>
    </row>
    <row r="300" spans="2:22" x14ac:dyDescent="0.25">
      <c r="N300" s="18" t="s">
        <v>1246</v>
      </c>
    </row>
    <row r="301" spans="2:22" x14ac:dyDescent="0.25">
      <c r="V301" s="518"/>
    </row>
    <row r="302" spans="2:22" x14ac:dyDescent="0.25">
      <c r="O302" s="574" t="s">
        <v>1162</v>
      </c>
      <c r="P302" s="574"/>
      <c r="Q302" s="574"/>
      <c r="R302" s="558"/>
      <c r="S302" s="558"/>
      <c r="T302" s="558"/>
      <c r="U302" s="558"/>
      <c r="V302" s="518"/>
    </row>
    <row r="303" spans="2:22" x14ac:dyDescent="0.25">
      <c r="O303" s="574" t="s">
        <v>1191</v>
      </c>
      <c r="P303" s="574" t="s">
        <v>1170</v>
      </c>
      <c r="Q303" s="574" t="s">
        <v>1192</v>
      </c>
      <c r="R303" s="559">
        <v>2017</v>
      </c>
      <c r="S303" s="558">
        <v>2018</v>
      </c>
      <c r="T303" s="559">
        <v>2019</v>
      </c>
      <c r="U303" s="558">
        <v>2020</v>
      </c>
      <c r="V303" s="518"/>
    </row>
    <row r="304" spans="2:22" x14ac:dyDescent="0.25">
      <c r="O304" s="533" t="s">
        <v>965</v>
      </c>
      <c r="P304" s="533" t="s">
        <v>1193</v>
      </c>
      <c r="Q304" s="533" t="s">
        <v>1194</v>
      </c>
      <c r="R304" s="239" t="s">
        <v>1195</v>
      </c>
      <c r="V304" s="522"/>
    </row>
    <row r="305" spans="2:24" x14ac:dyDescent="0.25">
      <c r="O305" s="534" t="s">
        <v>1196</v>
      </c>
      <c r="P305" s="533" t="str">
        <f>'INPUT Energy and Emissions'!D134</f>
        <v>IISSSC</v>
      </c>
      <c r="Q305" s="533" t="s">
        <v>140</v>
      </c>
      <c r="R305" s="239">
        <f>R296</f>
        <v>6.23</v>
      </c>
      <c r="S305" s="320">
        <f>S296</f>
        <v>6.3</v>
      </c>
      <c r="T305" s="320">
        <f>T296</f>
        <v>6.1267974837582679</v>
      </c>
      <c r="U305" s="320">
        <f>U296</f>
        <v>5.0030232389251985</v>
      </c>
      <c r="V305" s="522"/>
    </row>
    <row r="306" spans="2:24" x14ac:dyDescent="0.25">
      <c r="O306" s="534"/>
      <c r="P306" s="533"/>
      <c r="Q306" s="533"/>
      <c r="V306" s="522"/>
    </row>
    <row r="307" spans="2:24" x14ac:dyDescent="0.25">
      <c r="N307" s="18" t="s">
        <v>1248</v>
      </c>
      <c r="V307" s="522"/>
    </row>
    <row r="308" spans="2:24" x14ac:dyDescent="0.25">
      <c r="V308" s="522"/>
    </row>
    <row r="309" spans="2:24" x14ac:dyDescent="0.25">
      <c r="O309" s="574" t="s">
        <v>1162</v>
      </c>
      <c r="P309" s="574"/>
      <c r="Q309" s="574"/>
      <c r="R309" s="558"/>
      <c r="S309" s="558"/>
      <c r="T309" s="558"/>
      <c r="U309" s="558"/>
      <c r="V309" s="558"/>
      <c r="W309" s="558"/>
      <c r="X309" s="558"/>
    </row>
    <row r="310" spans="2:24" x14ac:dyDescent="0.25">
      <c r="O310" s="574" t="s">
        <v>1191</v>
      </c>
      <c r="P310" s="574" t="s">
        <v>1142</v>
      </c>
      <c r="Q310" s="574">
        <v>0</v>
      </c>
      <c r="R310" s="558">
        <f>R303</f>
        <v>2017</v>
      </c>
      <c r="S310" s="558">
        <f t="shared" ref="S310:U310" si="37">S303</f>
        <v>2018</v>
      </c>
      <c r="T310" s="558">
        <f t="shared" si="37"/>
        <v>2019</v>
      </c>
      <c r="U310" s="558">
        <f t="shared" si="37"/>
        <v>2020</v>
      </c>
      <c r="V310" s="558">
        <v>2021</v>
      </c>
      <c r="W310" s="558">
        <v>2022</v>
      </c>
      <c r="X310" s="558">
        <v>2023</v>
      </c>
    </row>
    <row r="311" spans="2:24" x14ac:dyDescent="0.25">
      <c r="O311" t="s">
        <v>1247</v>
      </c>
      <c r="P311" t="str">
        <f>D291</f>
        <v>IISBFBOF-E</v>
      </c>
      <c r="Q311">
        <v>-1</v>
      </c>
      <c r="R311" s="572">
        <f>R291</f>
        <v>3.0330810810810807</v>
      </c>
      <c r="S311" s="320">
        <f>S291</f>
        <v>3.2032972972972971</v>
      </c>
      <c r="T311" s="320">
        <f t="shared" ref="T311:U311" si="38">T291</f>
        <v>3.0300947810555652</v>
      </c>
      <c r="U311" s="320">
        <f t="shared" si="38"/>
        <v>3.0300947810555652</v>
      </c>
      <c r="V311" s="522"/>
    </row>
    <row r="312" spans="2:24" x14ac:dyDescent="0.25">
      <c r="O312" t="s">
        <v>1247</v>
      </c>
      <c r="P312" t="str">
        <f t="shared" ref="P312:P314" si="39">D292</f>
        <v>IISCOREAF-E</v>
      </c>
      <c r="Q312">
        <v>-1</v>
      </c>
      <c r="R312" s="572">
        <f t="shared" ref="R312:U312" si="40">R292</f>
        <v>1.1180000000000001</v>
      </c>
      <c r="S312" s="320">
        <f t="shared" si="40"/>
        <v>1.0860000000000001</v>
      </c>
      <c r="T312" s="320">
        <f t="shared" si="40"/>
        <v>1.0860000000000001</v>
      </c>
      <c r="U312" s="320">
        <f t="shared" si="40"/>
        <v>0</v>
      </c>
      <c r="V312" s="320">
        <f>U312</f>
        <v>0</v>
      </c>
      <c r="W312" s="320">
        <f>V312</f>
        <v>0</v>
      </c>
      <c r="X312" s="320">
        <f>W312</f>
        <v>0</v>
      </c>
    </row>
    <row r="313" spans="2:24" x14ac:dyDescent="0.25">
      <c r="O313" t="s">
        <v>1247</v>
      </c>
      <c r="P313" t="str">
        <f t="shared" si="39"/>
        <v>IISDRIEAF-E</v>
      </c>
      <c r="Q313">
        <v>-1</v>
      </c>
      <c r="R313" s="572">
        <f t="shared" ref="R313:U313" si="41">R293</f>
        <v>0.75891891891891894</v>
      </c>
      <c r="S313" s="320">
        <f t="shared" si="41"/>
        <v>0.80270270270270283</v>
      </c>
      <c r="T313" s="320">
        <f t="shared" si="41"/>
        <v>0.80270270270270283</v>
      </c>
      <c r="U313" s="320">
        <f t="shared" si="41"/>
        <v>0.76492845786963448</v>
      </c>
    </row>
    <row r="314" spans="2:24" x14ac:dyDescent="0.25">
      <c r="O314" t="s">
        <v>1247</v>
      </c>
      <c r="P314" t="str">
        <f t="shared" si="39"/>
        <v>IISOTHEAF-E</v>
      </c>
      <c r="Q314">
        <v>-1</v>
      </c>
      <c r="R314" s="572">
        <f t="shared" ref="R314:U315" si="42">R294</f>
        <v>0</v>
      </c>
      <c r="S314" s="320">
        <f t="shared" si="42"/>
        <v>0</v>
      </c>
      <c r="T314" s="320">
        <f t="shared" si="42"/>
        <v>0</v>
      </c>
      <c r="U314" s="320">
        <f t="shared" si="42"/>
        <v>0</v>
      </c>
      <c r="V314" s="320">
        <f>U314</f>
        <v>0</v>
      </c>
      <c r="W314" s="320">
        <f t="shared" ref="W314:X314" si="43">V314</f>
        <v>0</v>
      </c>
      <c r="X314" s="320">
        <f t="shared" si="43"/>
        <v>0</v>
      </c>
    </row>
    <row r="315" spans="2:24" x14ac:dyDescent="0.25">
      <c r="O315" t="s">
        <v>1247</v>
      </c>
      <c r="P315" t="str">
        <f>D295</f>
        <v>IISSCREAF-E</v>
      </c>
      <c r="Q315">
        <v>-1</v>
      </c>
      <c r="R315" s="572">
        <f>R295</f>
        <v>1.3200000000000003</v>
      </c>
      <c r="S315" s="320">
        <f>S295</f>
        <v>1.2079999999999993</v>
      </c>
      <c r="T315" s="320">
        <f t="shared" si="42"/>
        <v>1.2079999999999993</v>
      </c>
      <c r="U315" s="320">
        <f t="shared" si="42"/>
        <v>1.2079999999999993</v>
      </c>
    </row>
    <row r="317" spans="2:24" x14ac:dyDescent="0.25">
      <c r="O317" t="s">
        <v>485</v>
      </c>
      <c r="R317" s="573">
        <f>SUM(R311:R315)</f>
        <v>6.23</v>
      </c>
      <c r="S317">
        <f t="shared" ref="S317:U317" si="44">SUM(S311:S315)</f>
        <v>6.3</v>
      </c>
      <c r="T317">
        <f t="shared" si="44"/>
        <v>6.1267974837582679</v>
      </c>
      <c r="U317">
        <f t="shared" si="44"/>
        <v>5.0030232389251985</v>
      </c>
    </row>
    <row r="320" spans="2:24" x14ac:dyDescent="0.25">
      <c r="B320" t="s">
        <v>314</v>
      </c>
    </row>
    <row r="321" spans="2:24" x14ac:dyDescent="0.25">
      <c r="B321" s="14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247"/>
      <c r="N321" s="15"/>
      <c r="O321" s="15"/>
      <c r="P321" s="15"/>
      <c r="Q321" s="15"/>
      <c r="R321" s="247"/>
      <c r="S321" s="15"/>
      <c r="T321" s="15"/>
      <c r="U321" s="15"/>
      <c r="V321" s="3"/>
    </row>
    <row r="322" spans="2:24" x14ac:dyDescent="0.25">
      <c r="B322" s="4" t="s">
        <v>311</v>
      </c>
      <c r="C322" t="s">
        <v>305</v>
      </c>
      <c r="M322" s="239">
        <f t="shared" ref="M322:U322" si="45">M69</f>
        <v>10.3</v>
      </c>
      <c r="N322">
        <f t="shared" si="45"/>
        <v>10.3</v>
      </c>
      <c r="O322">
        <f t="shared" si="45"/>
        <v>10.3</v>
      </c>
      <c r="P322">
        <f t="shared" si="45"/>
        <v>10.3</v>
      </c>
      <c r="Q322">
        <f t="shared" si="45"/>
        <v>10.3</v>
      </c>
      <c r="R322" s="239">
        <f t="shared" si="45"/>
        <v>10.3</v>
      </c>
      <c r="S322">
        <f t="shared" si="45"/>
        <v>10.3</v>
      </c>
      <c r="T322">
        <f t="shared" si="45"/>
        <v>10.3</v>
      </c>
      <c r="U322">
        <f t="shared" si="45"/>
        <v>10.3</v>
      </c>
      <c r="V322" s="5"/>
    </row>
    <row r="323" spans="2:24" x14ac:dyDescent="0.25">
      <c r="B323" s="4" t="s">
        <v>312</v>
      </c>
      <c r="C323" t="s">
        <v>305</v>
      </c>
      <c r="M323" s="239">
        <f>M296</f>
        <v>6.94</v>
      </c>
      <c r="P323">
        <f t="shared" ref="P323:U323" si="46">P296</f>
        <v>6.4000000000000012</v>
      </c>
      <c r="Q323">
        <f t="shared" si="46"/>
        <v>6.0910000000000002</v>
      </c>
      <c r="R323" s="239">
        <f t="shared" si="46"/>
        <v>6.23</v>
      </c>
      <c r="S323">
        <f t="shared" si="46"/>
        <v>6.3</v>
      </c>
      <c r="T323">
        <f t="shared" si="46"/>
        <v>6.1267974837582679</v>
      </c>
      <c r="U323">
        <f t="shared" si="46"/>
        <v>5.0030232389251985</v>
      </c>
      <c r="V323" s="5"/>
    </row>
    <row r="324" spans="2:24" x14ac:dyDescent="0.25">
      <c r="B324" s="4" t="s">
        <v>234</v>
      </c>
      <c r="C324" t="s">
        <v>262</v>
      </c>
      <c r="M324" s="250">
        <f>M323/M322</f>
        <v>0.67378640776699028</v>
      </c>
      <c r="P324" s="17">
        <f t="shared" ref="P324:U324" si="47">P323/P322</f>
        <v>0.62135922330097093</v>
      </c>
      <c r="Q324" s="17">
        <f t="shared" si="47"/>
        <v>0.5913592233009709</v>
      </c>
      <c r="R324" s="250">
        <f t="shared" si="47"/>
        <v>0.60485436893203881</v>
      </c>
      <c r="S324" s="17">
        <f t="shared" si="47"/>
        <v>0.61165048543689315</v>
      </c>
      <c r="T324" s="17">
        <f t="shared" si="47"/>
        <v>0.59483470716099685</v>
      </c>
      <c r="U324" s="17">
        <f t="shared" si="47"/>
        <v>0.48573041154613572</v>
      </c>
      <c r="V324" s="5"/>
      <c r="X324" t="s">
        <v>351</v>
      </c>
    </row>
    <row r="325" spans="2:24" x14ac:dyDescent="0.25">
      <c r="B325" s="4" t="s">
        <v>315</v>
      </c>
      <c r="C325" t="s">
        <v>316</v>
      </c>
      <c r="M325" s="250">
        <f>(M291+M292+M293)/M323</f>
        <v>0.78674351585014402</v>
      </c>
      <c r="N325" s="17"/>
      <c r="O325" s="17"/>
      <c r="P325" s="17">
        <f t="shared" ref="P325:U325" si="48">(P291+P292+P293)/P323</f>
        <v>0.76593749999999983</v>
      </c>
      <c r="Q325" s="17">
        <f t="shared" si="48"/>
        <v>0.78328681661467736</v>
      </c>
      <c r="R325" s="250">
        <f t="shared" si="48"/>
        <v>0.7881219903691814</v>
      </c>
      <c r="S325" s="17">
        <f t="shared" si="48"/>
        <v>0.80825396825396834</v>
      </c>
      <c r="T325" s="17">
        <f t="shared" si="48"/>
        <v>0.80283337205084271</v>
      </c>
      <c r="U325" s="17">
        <f t="shared" si="48"/>
        <v>0.75854599462953642</v>
      </c>
      <c r="V325" s="5"/>
    </row>
    <row r="326" spans="2:24" x14ac:dyDescent="0.25">
      <c r="B326" s="4"/>
      <c r="M326" s="250"/>
      <c r="N326" s="17"/>
      <c r="O326" s="17"/>
      <c r="P326" s="17"/>
      <c r="Q326" s="17"/>
      <c r="R326" s="250"/>
      <c r="S326" s="17"/>
      <c r="T326" s="17"/>
      <c r="U326" s="17"/>
      <c r="V326" s="5"/>
    </row>
    <row r="327" spans="2:24" x14ac:dyDescent="0.25">
      <c r="B327" s="4" t="s">
        <v>313</v>
      </c>
      <c r="V327" s="5"/>
    </row>
    <row r="328" spans="2:24" x14ac:dyDescent="0.25">
      <c r="B328" s="4" t="s">
        <v>24</v>
      </c>
      <c r="C328" t="s">
        <v>187</v>
      </c>
      <c r="M328" s="239">
        <f>M291+M294</f>
        <v>3.92</v>
      </c>
      <c r="P328" s="301">
        <f t="shared" ref="P328:U328" si="49">P291+P294</f>
        <v>3.3001891891891897</v>
      </c>
      <c r="Q328" s="301">
        <f t="shared" si="49"/>
        <v>3.1641891891891891</v>
      </c>
      <c r="R328" s="557">
        <f t="shared" si="49"/>
        <v>3.0330810810810807</v>
      </c>
      <c r="S328" s="301">
        <f t="shared" si="49"/>
        <v>3.2032972972972971</v>
      </c>
      <c r="T328" s="301">
        <f t="shared" si="49"/>
        <v>3.0300947810555652</v>
      </c>
      <c r="U328" s="301">
        <f t="shared" si="49"/>
        <v>3.0300947810555652</v>
      </c>
      <c r="V328" s="5"/>
    </row>
    <row r="329" spans="2:24" x14ac:dyDescent="0.25">
      <c r="B329" s="4" t="s">
        <v>1</v>
      </c>
      <c r="C329" t="s">
        <v>187</v>
      </c>
      <c r="M329" s="239">
        <f>M292+M293+M295</f>
        <v>3.02</v>
      </c>
      <c r="P329" s="301">
        <f t="shared" ref="P329:U329" si="50">P292+P293+P295</f>
        <v>3.0998108108108111</v>
      </c>
      <c r="Q329" s="301">
        <f t="shared" si="50"/>
        <v>2.9268108108108111</v>
      </c>
      <c r="R329" s="557">
        <f t="shared" si="50"/>
        <v>3.1969189189189193</v>
      </c>
      <c r="S329" s="301">
        <f t="shared" si="50"/>
        <v>3.0967027027027023</v>
      </c>
      <c r="T329" s="301">
        <f t="shared" si="50"/>
        <v>3.0967027027027023</v>
      </c>
      <c r="U329" s="301">
        <f t="shared" si="50"/>
        <v>1.9729284578696338</v>
      </c>
      <c r="V329" s="5"/>
    </row>
    <row r="330" spans="2:24" x14ac:dyDescent="0.25">
      <c r="B330" s="4" t="s">
        <v>24</v>
      </c>
      <c r="C330" t="s">
        <v>262</v>
      </c>
      <c r="M330" s="250">
        <f>M328/M323</f>
        <v>0.56484149855907773</v>
      </c>
      <c r="P330" s="17">
        <f t="shared" ref="P330:U330" si="51">P328/P323</f>
        <v>0.51565456081081074</v>
      </c>
      <c r="Q330" s="17">
        <f t="shared" si="51"/>
        <v>0.51948599395652417</v>
      </c>
      <c r="R330" s="250">
        <f t="shared" si="51"/>
        <v>0.48685089583965979</v>
      </c>
      <c r="S330" s="17">
        <f t="shared" si="51"/>
        <v>0.50845988845988843</v>
      </c>
      <c r="T330" s="17">
        <f t="shared" si="51"/>
        <v>0.49456421386346533</v>
      </c>
      <c r="U330" s="17">
        <f t="shared" si="51"/>
        <v>0.60565274961755355</v>
      </c>
      <c r="V330" s="5"/>
    </row>
    <row r="331" spans="2:24" x14ac:dyDescent="0.25">
      <c r="B331" s="4" t="s">
        <v>1</v>
      </c>
      <c r="C331" t="s">
        <v>262</v>
      </c>
      <c r="M331" s="250">
        <f>1-M330</f>
        <v>0.43515850144092227</v>
      </c>
      <c r="P331" s="17">
        <f t="shared" ref="P331:U331" si="52">1-P330</f>
        <v>0.48434543918918926</v>
      </c>
      <c r="Q331" s="17">
        <f t="shared" si="52"/>
        <v>0.48051400604347583</v>
      </c>
      <c r="R331" s="250">
        <f t="shared" si="52"/>
        <v>0.51314910416034021</v>
      </c>
      <c r="S331" s="17">
        <f t="shared" si="52"/>
        <v>0.49154011154011157</v>
      </c>
      <c r="T331" s="17">
        <f t="shared" si="52"/>
        <v>0.50543578613653461</v>
      </c>
      <c r="U331" s="17">
        <f t="shared" si="52"/>
        <v>0.39434725038244645</v>
      </c>
      <c r="V331" s="5"/>
    </row>
    <row r="332" spans="2:24" x14ac:dyDescent="0.25">
      <c r="B332" s="4"/>
      <c r="V332" s="5"/>
    </row>
    <row r="333" spans="2:24" x14ac:dyDescent="0.25">
      <c r="B333" s="4" t="s">
        <v>508</v>
      </c>
      <c r="C333" t="s">
        <v>262</v>
      </c>
      <c r="M333" s="370">
        <f>M295/M296</f>
        <v>0.1239193083573487</v>
      </c>
      <c r="N333" s="371"/>
      <c r="O333" s="371"/>
      <c r="P333" s="372">
        <f t="shared" ref="P333:U333" si="53">P295/P296</f>
        <v>0.21281250000000002</v>
      </c>
      <c r="Q333" s="372">
        <f t="shared" si="53"/>
        <v>0.21671318338532264</v>
      </c>
      <c r="R333" s="370">
        <f t="shared" si="53"/>
        <v>0.21187800963081865</v>
      </c>
      <c r="S333" s="372">
        <f t="shared" si="53"/>
        <v>0.19174603174603164</v>
      </c>
      <c r="T333" s="373">
        <f t="shared" si="53"/>
        <v>0.19716662794915726</v>
      </c>
      <c r="U333" s="372">
        <f t="shared" si="53"/>
        <v>0.24145400537046363</v>
      </c>
      <c r="V333" s="5"/>
    </row>
    <row r="334" spans="2:24" x14ac:dyDescent="0.25"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251"/>
      <c r="N334" s="8"/>
      <c r="O334" s="8"/>
      <c r="P334" s="8"/>
      <c r="Q334" s="8"/>
      <c r="R334" s="251"/>
      <c r="S334" s="8"/>
      <c r="T334" s="8"/>
      <c r="U334" s="8"/>
      <c r="V334" s="9"/>
    </row>
  </sheetData>
  <mergeCells count="5">
    <mergeCell ref="G9:J9"/>
    <mergeCell ref="B91:B97"/>
    <mergeCell ref="B99:B101"/>
    <mergeCell ref="B103:B105"/>
    <mergeCell ref="C91:C9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sheetPr>
    <tabColor theme="4"/>
  </sheetPr>
  <dimension ref="A2:O113"/>
  <sheetViews>
    <sheetView topLeftCell="A87" zoomScale="85" zoomScaleNormal="85" workbookViewId="0">
      <selection activeCell="K108" sqref="K108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402</v>
      </c>
      <c r="J2" t="s">
        <v>408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415</v>
      </c>
    </row>
    <row r="5" spans="1:12" x14ac:dyDescent="0.25">
      <c r="A5" s="4" t="s">
        <v>404</v>
      </c>
      <c r="B5" s="350">
        <v>220000</v>
      </c>
      <c r="C5" t="s">
        <v>405</v>
      </c>
      <c r="H5" s="5"/>
      <c r="J5">
        <v>30</v>
      </c>
      <c r="K5" t="s">
        <v>416</v>
      </c>
    </row>
    <row r="6" spans="1:12" x14ac:dyDescent="0.25">
      <c r="A6" s="4" t="s">
        <v>445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403</v>
      </c>
      <c r="C8">
        <v>195000</v>
      </c>
      <c r="D8">
        <v>190000</v>
      </c>
      <c r="E8">
        <v>184000</v>
      </c>
      <c r="G8" t="s">
        <v>286</v>
      </c>
      <c r="H8" s="5"/>
      <c r="J8" t="s">
        <v>412</v>
      </c>
    </row>
    <row r="9" spans="1:12" x14ac:dyDescent="0.25">
      <c r="A9" s="4" t="s">
        <v>406</v>
      </c>
      <c r="C9">
        <v>1.4</v>
      </c>
      <c r="D9">
        <v>1.4</v>
      </c>
      <c r="E9">
        <v>1.4</v>
      </c>
      <c r="G9" t="s">
        <v>407</v>
      </c>
      <c r="H9" s="5"/>
      <c r="J9" t="s">
        <v>413</v>
      </c>
    </row>
    <row r="10" spans="1:12" x14ac:dyDescent="0.25">
      <c r="A10" s="4"/>
      <c r="H10" s="5"/>
    </row>
    <row r="11" spans="1:12" x14ac:dyDescent="0.25">
      <c r="A11" s="4" t="s">
        <v>411</v>
      </c>
      <c r="H11" s="5"/>
    </row>
    <row r="12" spans="1:12" x14ac:dyDescent="0.25">
      <c r="A12" s="4" t="s">
        <v>409</v>
      </c>
      <c r="C12">
        <v>367</v>
      </c>
      <c r="D12">
        <v>193</v>
      </c>
      <c r="E12">
        <v>158</v>
      </c>
      <c r="G12" t="s">
        <v>410</v>
      </c>
      <c r="H12" s="5"/>
      <c r="J12" t="s">
        <v>446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529</v>
      </c>
    </row>
    <row r="15" spans="1:12" x14ac:dyDescent="0.25">
      <c r="A15" s="4" t="s">
        <v>414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528</v>
      </c>
      <c r="L16" s="5"/>
    </row>
    <row r="17" spans="1:12" x14ac:dyDescent="0.25">
      <c r="J17" s="4" t="s">
        <v>203</v>
      </c>
      <c r="K17">
        <v>2.91</v>
      </c>
      <c r="L17" s="5"/>
    </row>
    <row r="18" spans="1:12" x14ac:dyDescent="0.25">
      <c r="J18" s="4" t="s">
        <v>527</v>
      </c>
      <c r="K18">
        <v>2.7</v>
      </c>
      <c r="L18" s="5"/>
    </row>
    <row r="19" spans="1:12" x14ac:dyDescent="0.25">
      <c r="A19" t="s">
        <v>460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49">
        <v>695000</v>
      </c>
      <c r="C21" t="s">
        <v>461</v>
      </c>
      <c r="H21" s="5"/>
    </row>
    <row r="22" spans="1:12" x14ac:dyDescent="0.25">
      <c r="A22" s="4" t="s">
        <v>462</v>
      </c>
      <c r="B22" s="1">
        <v>190000</v>
      </c>
      <c r="C22" t="s">
        <v>463</v>
      </c>
      <c r="H22" s="5"/>
      <c r="J22">
        <v>30</v>
      </c>
      <c r="K22" t="s">
        <v>416</v>
      </c>
    </row>
    <row r="23" spans="1:12" x14ac:dyDescent="0.25">
      <c r="A23" s="4"/>
      <c r="H23" s="5"/>
      <c r="J23" s="19">
        <f>B21*1000*J22/1000000000</f>
        <v>20.85</v>
      </c>
      <c r="K23" t="s">
        <v>1219</v>
      </c>
    </row>
    <row r="24" spans="1:12" x14ac:dyDescent="0.25">
      <c r="A24" s="4" t="s">
        <v>406</v>
      </c>
      <c r="B24">
        <v>1.4</v>
      </c>
      <c r="C24" t="s">
        <v>464</v>
      </c>
      <c r="H24" s="5"/>
    </row>
    <row r="25" spans="1:12" x14ac:dyDescent="0.25">
      <c r="A25" s="4"/>
      <c r="H25" s="5"/>
    </row>
    <row r="26" spans="1:12" x14ac:dyDescent="0.25">
      <c r="A26" s="4"/>
      <c r="B26" s="321">
        <f>B24*1000000000/B22</f>
        <v>7368.4210526315792</v>
      </c>
      <c r="C26" t="s">
        <v>465</v>
      </c>
      <c r="H26" s="5"/>
      <c r="J26" s="321">
        <f>J22</f>
        <v>30</v>
      </c>
      <c r="K26" t="s">
        <v>146</v>
      </c>
    </row>
    <row r="27" spans="1:12" x14ac:dyDescent="0.25">
      <c r="A27" s="4"/>
      <c r="H27" s="5"/>
      <c r="J27" s="301">
        <f>B26/J26</f>
        <v>245.61403508771932</v>
      </c>
      <c r="K27" t="s">
        <v>633</v>
      </c>
      <c r="L27" t="s">
        <v>1220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428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429</v>
      </c>
      <c r="H37" s="5"/>
    </row>
    <row r="38" spans="1:8" x14ac:dyDescent="0.25">
      <c r="A38" s="4" t="s">
        <v>430</v>
      </c>
      <c r="H38" s="5"/>
    </row>
    <row r="39" spans="1:8" x14ac:dyDescent="0.25">
      <c r="A39" s="4"/>
      <c r="H39" s="5"/>
    </row>
    <row r="40" spans="1:8" x14ac:dyDescent="0.25">
      <c r="A40" s="4" t="s">
        <v>431</v>
      </c>
      <c r="H40" s="5"/>
    </row>
    <row r="41" spans="1:8" x14ac:dyDescent="0.25">
      <c r="A41" s="4"/>
      <c r="B41" t="s">
        <v>5</v>
      </c>
      <c r="C41" t="s">
        <v>433</v>
      </c>
      <c r="H41" s="5"/>
    </row>
    <row r="42" spans="1:8" x14ac:dyDescent="0.25">
      <c r="A42" s="4" t="s">
        <v>432</v>
      </c>
      <c r="B42">
        <v>0.4</v>
      </c>
      <c r="C42">
        <v>1.8</v>
      </c>
      <c r="D42" t="s">
        <v>187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447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563</v>
      </c>
    </row>
    <row r="50" spans="1:14" x14ac:dyDescent="0.25">
      <c r="A50" s="4"/>
      <c r="C50" t="s">
        <v>455</v>
      </c>
      <c r="H50" s="5"/>
    </row>
    <row r="51" spans="1:14" x14ac:dyDescent="0.25">
      <c r="A51" s="4" t="s">
        <v>449</v>
      </c>
      <c r="B51" t="s">
        <v>451</v>
      </c>
      <c r="C51" s="1">
        <v>1088723</v>
      </c>
      <c r="D51" t="s">
        <v>448</v>
      </c>
      <c r="F51" t="s">
        <v>453</v>
      </c>
      <c r="H51" s="5"/>
      <c r="J51" s="119">
        <f>C51/0.52</f>
        <v>2093698.0769230768</v>
      </c>
      <c r="K51" t="s">
        <v>456</v>
      </c>
      <c r="M51" s="19">
        <f>C51/1000</f>
        <v>1088.723</v>
      </c>
      <c r="N51" t="s">
        <v>564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457</v>
      </c>
      <c r="M52" s="321">
        <f>J52/1000</f>
        <v>62.810942307692308</v>
      </c>
      <c r="N52" t="s">
        <v>565</v>
      </c>
    </row>
    <row r="53" spans="1:14" x14ac:dyDescent="0.25">
      <c r="A53" s="4" t="s">
        <v>452</v>
      </c>
      <c r="B53" t="s">
        <v>450</v>
      </c>
      <c r="C53" s="1">
        <v>317799</v>
      </c>
      <c r="D53" t="s">
        <v>448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619</v>
      </c>
    </row>
    <row r="55" spans="1:14" x14ac:dyDescent="0.25">
      <c r="A55" s="4" t="s">
        <v>23</v>
      </c>
      <c r="B55" t="s">
        <v>454</v>
      </c>
      <c r="C55" s="1">
        <v>8569232</v>
      </c>
      <c r="D55" t="s">
        <v>448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458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459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469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470</v>
      </c>
      <c r="B74">
        <v>1.1499999999999999</v>
      </c>
      <c r="C74" t="s">
        <v>471</v>
      </c>
      <c r="H74" s="5"/>
    </row>
    <row r="75" spans="1:12" x14ac:dyDescent="0.25">
      <c r="A75" s="4"/>
      <c r="H75" s="5"/>
    </row>
    <row r="76" spans="1:12" x14ac:dyDescent="0.25">
      <c r="A76" s="4" t="s">
        <v>472</v>
      </c>
      <c r="B76" s="285">
        <v>0.65</v>
      </c>
      <c r="C76" t="s">
        <v>541</v>
      </c>
      <c r="H76" s="5"/>
    </row>
    <row r="77" spans="1:12" x14ac:dyDescent="0.25">
      <c r="A77" s="4" t="s">
        <v>473</v>
      </c>
      <c r="B77" s="285">
        <v>0.35</v>
      </c>
      <c r="C77" t="s">
        <v>1127</v>
      </c>
      <c r="H77" s="5"/>
    </row>
    <row r="78" spans="1:12" x14ac:dyDescent="0.25">
      <c r="A78" s="4"/>
      <c r="H78" s="5"/>
    </row>
    <row r="79" spans="1:12" x14ac:dyDescent="0.25">
      <c r="A79" s="4" t="s">
        <v>476</v>
      </c>
      <c r="H79" s="5"/>
    </row>
    <row r="80" spans="1:12" x14ac:dyDescent="0.25">
      <c r="A80" s="4"/>
      <c r="B80" t="s">
        <v>475</v>
      </c>
      <c r="H80" s="5"/>
      <c r="J80" t="s">
        <v>416</v>
      </c>
      <c r="L80" t="s">
        <v>477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474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485</v>
      </c>
      <c r="L84" s="351">
        <f>SUM(L81:L83)</f>
        <v>15570</v>
      </c>
      <c r="M84" s="18" t="s">
        <v>478</v>
      </c>
    </row>
    <row r="85" spans="1:15" x14ac:dyDescent="0.25">
      <c r="A85" s="4"/>
      <c r="H85" s="5"/>
      <c r="K85" t="s">
        <v>11</v>
      </c>
      <c r="L85" s="354">
        <f>L81+L82</f>
        <v>11730</v>
      </c>
      <c r="M85" s="18" t="s">
        <v>478</v>
      </c>
    </row>
    <row r="86" spans="1:15" x14ac:dyDescent="0.25">
      <c r="A86" s="4" t="s">
        <v>479</v>
      </c>
      <c r="B86">
        <v>1.8</v>
      </c>
      <c r="C86" t="s">
        <v>480</v>
      </c>
      <c r="H86" s="5"/>
      <c r="K86" t="s">
        <v>13</v>
      </c>
      <c r="L86" s="354">
        <f>L83</f>
        <v>3840</v>
      </c>
      <c r="M86" s="18" t="s">
        <v>478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1"/>
    </row>
    <row r="93" spans="1:15" x14ac:dyDescent="0.25">
      <c r="O93" s="321"/>
    </row>
    <row r="94" spans="1:15" x14ac:dyDescent="0.25">
      <c r="B94" t="s">
        <v>620</v>
      </c>
      <c r="J94" s="285"/>
      <c r="O94" s="321"/>
    </row>
    <row r="95" spans="1:15" x14ac:dyDescent="0.25">
      <c r="B95" t="s">
        <v>632</v>
      </c>
      <c r="J95" s="285"/>
    </row>
    <row r="96" spans="1:15" ht="15.75" thickBot="1" x14ac:dyDescent="0.3">
      <c r="B96" s="412"/>
      <c r="C96" s="412" t="s">
        <v>621</v>
      </c>
      <c r="D96" s="412" t="s">
        <v>622</v>
      </c>
      <c r="E96" s="412" t="s">
        <v>623</v>
      </c>
      <c r="F96" s="412" t="s">
        <v>624</v>
      </c>
      <c r="G96" s="412" t="s">
        <v>625</v>
      </c>
      <c r="J96" s="119"/>
    </row>
    <row r="97" spans="2:14" ht="29.25" thickBot="1" x14ac:dyDescent="0.3">
      <c r="B97" s="413" t="s">
        <v>626</v>
      </c>
      <c r="C97" s="414" t="s">
        <v>627</v>
      </c>
      <c r="D97" s="414" t="s">
        <v>628</v>
      </c>
      <c r="E97" s="414" t="s">
        <v>629</v>
      </c>
      <c r="F97" s="414" t="s">
        <v>630</v>
      </c>
      <c r="G97" s="414">
        <v>179.47</v>
      </c>
      <c r="H97" s="415" t="s">
        <v>631</v>
      </c>
    </row>
    <row r="98" spans="2:14" x14ac:dyDescent="0.25">
      <c r="J98" s="119"/>
    </row>
    <row r="99" spans="2:14" x14ac:dyDescent="0.25">
      <c r="N99" s="18"/>
    </row>
    <row r="100" spans="2:14" x14ac:dyDescent="0.25">
      <c r="G100">
        <f>G97*16</f>
        <v>2871.52</v>
      </c>
      <c r="H100" t="s">
        <v>465</v>
      </c>
      <c r="J100" s="320">
        <v>29</v>
      </c>
      <c r="K100" t="s">
        <v>146</v>
      </c>
    </row>
    <row r="101" spans="2:14" x14ac:dyDescent="0.25">
      <c r="G101" s="321">
        <f>G100/J100</f>
        <v>99.017931034482757</v>
      </c>
      <c r="H101" t="s">
        <v>633</v>
      </c>
    </row>
    <row r="103" spans="2:14" x14ac:dyDescent="0.25">
      <c r="N103" s="285"/>
    </row>
    <row r="107" spans="2:14" x14ac:dyDescent="0.25">
      <c r="B107" s="575"/>
      <c r="C107" s="575"/>
      <c r="D107" s="560" t="s">
        <v>1162</v>
      </c>
      <c r="E107" s="558"/>
      <c r="F107" s="558"/>
      <c r="G107" s="575"/>
      <c r="H107" s="576"/>
      <c r="I107" s="561" t="s">
        <v>1103</v>
      </c>
      <c r="J107" s="561"/>
      <c r="K107" s="561"/>
      <c r="L107" s="561"/>
      <c r="N107" s="285"/>
    </row>
    <row r="108" spans="2:14" ht="23.25" x14ac:dyDescent="0.25">
      <c r="B108" s="562" t="s">
        <v>1142</v>
      </c>
      <c r="C108" s="564" t="s">
        <v>1163</v>
      </c>
      <c r="D108" s="564" t="s">
        <v>1164</v>
      </c>
      <c r="E108" s="577" t="s">
        <v>1165</v>
      </c>
      <c r="F108" s="577" t="s">
        <v>1166</v>
      </c>
      <c r="G108" s="577" t="s">
        <v>1221</v>
      </c>
      <c r="H108" s="563" t="s">
        <v>867</v>
      </c>
      <c r="I108" s="563" t="str">
        <f>"ENV_ACT~"&amp;I107</f>
        <v>ENV_ACT~CO2SP</v>
      </c>
      <c r="J108" s="561" t="s">
        <v>978</v>
      </c>
      <c r="K108" s="561" t="s">
        <v>903</v>
      </c>
      <c r="L108" s="561" t="s">
        <v>1229</v>
      </c>
    </row>
    <row r="109" spans="2:14" x14ac:dyDescent="0.25">
      <c r="B109" s="99" t="s">
        <v>1101</v>
      </c>
      <c r="C109" t="s">
        <v>1224</v>
      </c>
      <c r="D109" t="str">
        <f>'INPUT Energy and Emissions'!F148</f>
        <v>IISCKE</v>
      </c>
      <c r="E109" s="19">
        <v>100</v>
      </c>
      <c r="F109">
        <v>100</v>
      </c>
      <c r="G109">
        <v>0</v>
      </c>
      <c r="H109">
        <f>1/G113</f>
        <v>1.5384615384615383</v>
      </c>
      <c r="I109">
        <f>M54</f>
        <v>17.333333333333332</v>
      </c>
      <c r="J109" s="518">
        <v>1000</v>
      </c>
      <c r="K109" s="518">
        <v>10</v>
      </c>
      <c r="L109" s="518">
        <v>0</v>
      </c>
    </row>
    <row r="113" spans="7:8" x14ac:dyDescent="0.25">
      <c r="G113">
        <v>0.65</v>
      </c>
      <c r="H113" t="s">
        <v>1222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8"/>
  </sheetPr>
  <dimension ref="A2:J141"/>
  <sheetViews>
    <sheetView tabSelected="1" topLeftCell="A66" zoomScale="85" zoomScaleNormal="85" workbookViewId="0">
      <selection activeCell="H86" sqref="H86"/>
    </sheetView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640</v>
      </c>
    </row>
    <row r="3" spans="1:10" ht="16.5" thickTop="1" x14ac:dyDescent="0.25"/>
    <row r="4" spans="1:10" x14ac:dyDescent="0.25">
      <c r="B4" s="58" t="s">
        <v>641</v>
      </c>
      <c r="C4" s="60" t="s">
        <v>642</v>
      </c>
      <c r="D4" s="21" t="s">
        <v>703</v>
      </c>
      <c r="E4" s="43">
        <v>1.3012729844413011</v>
      </c>
      <c r="F4" s="21" t="s">
        <v>704</v>
      </c>
    </row>
    <row r="5" spans="1:10" x14ac:dyDescent="0.25">
      <c r="B5" s="58" t="s">
        <v>643</v>
      </c>
      <c r="C5" s="60">
        <v>2010</v>
      </c>
    </row>
    <row r="7" spans="1:10" ht="18" thickBot="1" x14ac:dyDescent="0.35">
      <c r="B7" s="22" t="s">
        <v>700</v>
      </c>
    </row>
    <row r="8" spans="1:10" ht="16.5" thickTop="1" x14ac:dyDescent="0.25">
      <c r="B8" s="417"/>
      <c r="C8" s="418"/>
      <c r="D8" s="418" t="s">
        <v>644</v>
      </c>
      <c r="E8" s="418" t="s">
        <v>645</v>
      </c>
      <c r="F8" s="418" t="s">
        <v>646</v>
      </c>
      <c r="G8" s="418" t="s">
        <v>647</v>
      </c>
      <c r="H8" s="418" t="s">
        <v>648</v>
      </c>
      <c r="I8" s="418" t="s">
        <v>701</v>
      </c>
      <c r="J8" s="419" t="s">
        <v>540</v>
      </c>
    </row>
    <row r="9" spans="1:10" x14ac:dyDescent="0.25">
      <c r="B9" s="70"/>
      <c r="C9" s="81"/>
      <c r="D9" s="81" t="s">
        <v>649</v>
      </c>
      <c r="E9" s="81" t="s">
        <v>650</v>
      </c>
      <c r="F9" s="81"/>
      <c r="G9" s="81"/>
      <c r="H9" s="81"/>
      <c r="I9" s="81"/>
      <c r="J9" s="420"/>
    </row>
    <row r="10" spans="1:10" x14ac:dyDescent="0.25">
      <c r="B10" s="80" t="s">
        <v>229</v>
      </c>
      <c r="C10" s="59" t="s">
        <v>244</v>
      </c>
      <c r="D10" s="59" t="s">
        <v>651</v>
      </c>
      <c r="E10" s="59">
        <v>98</v>
      </c>
      <c r="F10" s="59" t="s">
        <v>652</v>
      </c>
      <c r="G10" s="421">
        <v>2011</v>
      </c>
      <c r="H10" s="59">
        <v>7.5574381672222009</v>
      </c>
      <c r="I10" s="426">
        <f>H10*E10</f>
        <v>740.62894038777563</v>
      </c>
      <c r="J10" s="422" t="s">
        <v>653</v>
      </c>
    </row>
    <row r="11" spans="1:10" x14ac:dyDescent="0.25">
      <c r="B11" s="55"/>
      <c r="C11" s="59" t="s">
        <v>654</v>
      </c>
      <c r="D11" s="59" t="s">
        <v>651</v>
      </c>
      <c r="E11" s="59">
        <v>43.89</v>
      </c>
      <c r="F11" s="59" t="s">
        <v>652</v>
      </c>
      <c r="G11" s="421">
        <v>2000</v>
      </c>
      <c r="H11" s="59">
        <v>5.914974034351558</v>
      </c>
      <c r="I11" s="426">
        <f>H11*E11</f>
        <v>259.60821036768988</v>
      </c>
      <c r="J11" s="422" t="s">
        <v>655</v>
      </c>
    </row>
    <row r="12" spans="1:10" x14ac:dyDescent="0.25">
      <c r="B12" s="58"/>
      <c r="C12" s="59" t="s">
        <v>656</v>
      </c>
      <c r="D12" s="59" t="s">
        <v>651</v>
      </c>
      <c r="E12" s="59">
        <v>340</v>
      </c>
      <c r="F12" s="59" t="s">
        <v>652</v>
      </c>
      <c r="G12" s="421">
        <v>2011</v>
      </c>
      <c r="H12" s="59">
        <v>7.5574381672222009</v>
      </c>
      <c r="I12" s="426">
        <f t="shared" ref="I12:I27" si="0">H12*E12</f>
        <v>2569.5289768555481</v>
      </c>
      <c r="J12" s="422" t="s">
        <v>653</v>
      </c>
    </row>
    <row r="13" spans="1:10" x14ac:dyDescent="0.25">
      <c r="B13" s="58"/>
      <c r="C13" s="59" t="s">
        <v>657</v>
      </c>
      <c r="D13" s="59" t="s">
        <v>658</v>
      </c>
      <c r="E13" s="59">
        <v>9.5000000000000001E-2</v>
      </c>
      <c r="F13" s="59" t="s">
        <v>652</v>
      </c>
      <c r="G13" s="421">
        <v>2011</v>
      </c>
      <c r="H13" s="59">
        <v>7.5574381672222009</v>
      </c>
      <c r="I13" s="426">
        <f t="shared" si="0"/>
        <v>0.71795662588610909</v>
      </c>
      <c r="J13" s="422" t="s">
        <v>653</v>
      </c>
    </row>
    <row r="14" spans="1:10" x14ac:dyDescent="0.25">
      <c r="B14" s="58"/>
      <c r="C14" s="59" t="s">
        <v>659</v>
      </c>
      <c r="D14" s="59" t="s">
        <v>651</v>
      </c>
      <c r="E14" s="59">
        <v>90.02</v>
      </c>
      <c r="F14" s="59" t="s">
        <v>652</v>
      </c>
      <c r="G14" s="421">
        <v>2000</v>
      </c>
      <c r="H14" s="59">
        <v>5.914974034351558</v>
      </c>
      <c r="I14" s="426">
        <f t="shared" si="0"/>
        <v>532.46596257232727</v>
      </c>
      <c r="J14" s="422" t="s">
        <v>655</v>
      </c>
    </row>
    <row r="15" spans="1:10" x14ac:dyDescent="0.25">
      <c r="B15" s="58"/>
      <c r="C15" s="59" t="s">
        <v>660</v>
      </c>
      <c r="D15" s="59" t="s">
        <v>651</v>
      </c>
      <c r="E15" s="59">
        <v>77.83</v>
      </c>
      <c r="F15" s="59" t="s">
        <v>652</v>
      </c>
      <c r="G15" s="421">
        <v>2000</v>
      </c>
      <c r="H15" s="59">
        <v>5.914974034351558</v>
      </c>
      <c r="I15" s="426">
        <f t="shared" si="0"/>
        <v>460.36242909358174</v>
      </c>
      <c r="J15" s="422" t="s">
        <v>655</v>
      </c>
    </row>
    <row r="16" spans="1:10" x14ac:dyDescent="0.25">
      <c r="B16" s="58"/>
      <c r="C16" s="59" t="s">
        <v>661</v>
      </c>
      <c r="D16" s="59" t="s">
        <v>651</v>
      </c>
      <c r="E16" s="59">
        <v>1175</v>
      </c>
      <c r="F16" s="59" t="s">
        <v>652</v>
      </c>
      <c r="G16" s="421">
        <v>2011</v>
      </c>
      <c r="H16" s="59">
        <v>7.5574381672222009</v>
      </c>
      <c r="I16" s="426">
        <f t="shared" si="0"/>
        <v>8879.9898464860853</v>
      </c>
      <c r="J16" s="422" t="s">
        <v>653</v>
      </c>
    </row>
    <row r="17" spans="2:10" x14ac:dyDescent="0.25">
      <c r="B17" s="58"/>
      <c r="C17" s="59" t="s">
        <v>246</v>
      </c>
      <c r="D17" s="59" t="s">
        <v>651</v>
      </c>
      <c r="E17" s="59">
        <v>50</v>
      </c>
      <c r="F17" s="59" t="s">
        <v>652</v>
      </c>
      <c r="G17" s="421">
        <v>2011</v>
      </c>
      <c r="H17" s="59">
        <v>7.5574381672222009</v>
      </c>
      <c r="I17" s="426">
        <f t="shared" si="0"/>
        <v>377.87190836111006</v>
      </c>
      <c r="J17" s="422" t="s">
        <v>653</v>
      </c>
    </row>
    <row r="18" spans="2:10" x14ac:dyDescent="0.25">
      <c r="B18" s="58"/>
      <c r="C18" s="59" t="s">
        <v>662</v>
      </c>
      <c r="D18" s="59" t="s">
        <v>651</v>
      </c>
      <c r="E18" s="59">
        <v>490.53</v>
      </c>
      <c r="F18" s="59" t="s">
        <v>652</v>
      </c>
      <c r="G18" s="421">
        <v>2000</v>
      </c>
      <c r="H18" s="59">
        <v>5.914974034351558</v>
      </c>
      <c r="I18" s="426">
        <f t="shared" si="0"/>
        <v>2901.4722130704695</v>
      </c>
      <c r="J18" s="422" t="s">
        <v>655</v>
      </c>
    </row>
    <row r="19" spans="2:10" x14ac:dyDescent="0.25">
      <c r="B19" s="58"/>
      <c r="C19" s="59" t="s">
        <v>663</v>
      </c>
      <c r="D19" s="59" t="s">
        <v>651</v>
      </c>
      <c r="E19" s="59">
        <v>5800</v>
      </c>
      <c r="F19" s="59" t="s">
        <v>652</v>
      </c>
      <c r="G19" s="421">
        <v>2011</v>
      </c>
      <c r="H19" s="59">
        <v>7.5574381672222009</v>
      </c>
      <c r="I19" s="426">
        <f t="shared" si="0"/>
        <v>43833.141369888763</v>
      </c>
      <c r="J19" s="422" t="s">
        <v>653</v>
      </c>
    </row>
    <row r="20" spans="2:10" x14ac:dyDescent="0.25">
      <c r="B20" s="58"/>
      <c r="C20" s="59" t="s">
        <v>664</v>
      </c>
      <c r="D20" s="59" t="s">
        <v>651</v>
      </c>
      <c r="E20" s="59">
        <v>648</v>
      </c>
      <c r="F20" s="59" t="s">
        <v>652</v>
      </c>
      <c r="G20" s="421">
        <v>2011</v>
      </c>
      <c r="H20" s="59">
        <v>7.5574381672222009</v>
      </c>
      <c r="I20" s="426">
        <f t="shared" si="0"/>
        <v>4897.2199323599862</v>
      </c>
      <c r="J20" s="422" t="s">
        <v>653</v>
      </c>
    </row>
    <row r="21" spans="2:10" x14ac:dyDescent="0.25">
      <c r="B21" s="80" t="s">
        <v>665</v>
      </c>
      <c r="C21" s="59" t="s">
        <v>666</v>
      </c>
      <c r="D21" s="59" t="s">
        <v>651</v>
      </c>
      <c r="E21" s="59">
        <v>9.25</v>
      </c>
      <c r="F21" s="59" t="s">
        <v>652</v>
      </c>
      <c r="G21" s="421">
        <v>2011</v>
      </c>
      <c r="H21" s="59">
        <v>7.5574381672222009</v>
      </c>
      <c r="I21" s="426">
        <f t="shared" si="0"/>
        <v>69.906303046805363</v>
      </c>
      <c r="J21" s="422" t="s">
        <v>653</v>
      </c>
    </row>
    <row r="22" spans="2:10" x14ac:dyDescent="0.25">
      <c r="B22" s="58"/>
      <c r="C22" s="59" t="s">
        <v>667</v>
      </c>
      <c r="D22" s="59" t="s">
        <v>651</v>
      </c>
      <c r="E22" s="59">
        <v>5</v>
      </c>
      <c r="F22" s="59" t="s">
        <v>652</v>
      </c>
      <c r="G22" s="421">
        <v>2011</v>
      </c>
      <c r="H22" s="59">
        <v>7.5574381672222009</v>
      </c>
      <c r="I22" s="426">
        <f t="shared" si="0"/>
        <v>37.787190836111002</v>
      </c>
      <c r="J22" s="422" t="s">
        <v>653</v>
      </c>
    </row>
    <row r="23" spans="2:10" x14ac:dyDescent="0.25">
      <c r="B23" s="58"/>
      <c r="C23" s="59" t="s">
        <v>668</v>
      </c>
      <c r="D23" s="59" t="s">
        <v>651</v>
      </c>
      <c r="E23" s="59">
        <v>13.25</v>
      </c>
      <c r="F23" s="59" t="s">
        <v>652</v>
      </c>
      <c r="G23" s="421">
        <v>2011</v>
      </c>
      <c r="H23" s="59">
        <v>7.5574381672222009</v>
      </c>
      <c r="I23" s="426">
        <f t="shared" si="0"/>
        <v>100.13605571569416</v>
      </c>
      <c r="J23" s="422" t="s">
        <v>653</v>
      </c>
    </row>
    <row r="24" spans="2:10" x14ac:dyDescent="0.25">
      <c r="B24" s="80" t="s">
        <v>669</v>
      </c>
      <c r="C24" s="59" t="s">
        <v>670</v>
      </c>
      <c r="D24" s="59" t="s">
        <v>671</v>
      </c>
      <c r="E24" s="59">
        <v>37.700000000000003</v>
      </c>
      <c r="F24" s="59" t="s">
        <v>652</v>
      </c>
      <c r="G24" s="421">
        <v>2011</v>
      </c>
      <c r="H24" s="59">
        <v>7.5574381672222009</v>
      </c>
      <c r="I24" s="426">
        <f t="shared" si="0"/>
        <v>284.91541890427698</v>
      </c>
      <c r="J24" s="422" t="s">
        <v>653</v>
      </c>
    </row>
    <row r="25" spans="2:10" x14ac:dyDescent="0.25">
      <c r="B25" s="58"/>
      <c r="C25" s="59" t="s">
        <v>672</v>
      </c>
      <c r="D25" s="59"/>
      <c r="E25" s="59"/>
      <c r="F25" s="59" t="s">
        <v>652</v>
      </c>
      <c r="G25" s="421">
        <v>2011</v>
      </c>
      <c r="H25" s="59">
        <v>7.5574381672222009</v>
      </c>
      <c r="I25" s="426">
        <f>H25*E25</f>
        <v>0</v>
      </c>
      <c r="J25" s="422" t="s">
        <v>653</v>
      </c>
    </row>
    <row r="26" spans="2:10" x14ac:dyDescent="0.25">
      <c r="B26" s="58"/>
      <c r="C26" s="59" t="s">
        <v>673</v>
      </c>
      <c r="D26" s="423" t="s">
        <v>674</v>
      </c>
      <c r="E26" s="59">
        <v>15</v>
      </c>
      <c r="F26" s="59" t="s">
        <v>652</v>
      </c>
      <c r="G26" s="421">
        <v>2011</v>
      </c>
      <c r="H26" s="59">
        <v>7.5574381672222009</v>
      </c>
      <c r="I26" s="426">
        <f t="shared" si="0"/>
        <v>113.36157250833301</v>
      </c>
      <c r="J26" s="422" t="s">
        <v>653</v>
      </c>
    </row>
    <row r="27" spans="2:10" x14ac:dyDescent="0.25">
      <c r="B27" s="58"/>
      <c r="C27" s="59" t="s">
        <v>675</v>
      </c>
      <c r="D27" s="423" t="s">
        <v>674</v>
      </c>
      <c r="E27" s="59">
        <v>-31.8</v>
      </c>
      <c r="F27" s="59" t="s">
        <v>652</v>
      </c>
      <c r="G27" s="421">
        <v>2011</v>
      </c>
      <c r="H27" s="59">
        <v>7.5574381672222009</v>
      </c>
      <c r="I27" s="426">
        <f t="shared" si="0"/>
        <v>-240.326533717666</v>
      </c>
      <c r="J27" s="422" t="s">
        <v>653</v>
      </c>
    </row>
    <row r="33" spans="2:9" ht="18" thickBot="1" x14ac:dyDescent="0.35">
      <c r="B33" s="22" t="s">
        <v>676</v>
      </c>
    </row>
    <row r="34" spans="2:9" ht="16.5" thickTop="1" x14ac:dyDescent="0.25">
      <c r="B34" s="417"/>
      <c r="C34" s="418"/>
      <c r="D34" s="418" t="s">
        <v>677</v>
      </c>
      <c r="E34" s="418" t="s">
        <v>644</v>
      </c>
      <c r="F34" s="418" t="s">
        <v>7</v>
      </c>
      <c r="G34" s="418"/>
      <c r="H34" s="418" t="s">
        <v>7</v>
      </c>
      <c r="I34" s="419" t="s">
        <v>678</v>
      </c>
    </row>
    <row r="35" spans="2:9" x14ac:dyDescent="0.25">
      <c r="B35" s="70"/>
      <c r="C35" s="81"/>
      <c r="D35" s="81"/>
      <c r="E35" s="81"/>
      <c r="F35" s="81" t="s">
        <v>679</v>
      </c>
      <c r="G35" s="81"/>
      <c r="H35" s="424" t="s">
        <v>680</v>
      </c>
      <c r="I35" s="420"/>
    </row>
    <row r="36" spans="2:9" x14ac:dyDescent="0.25">
      <c r="B36" s="58" t="s">
        <v>681</v>
      </c>
      <c r="C36" s="59" t="s">
        <v>244</v>
      </c>
      <c r="D36" s="59" t="s">
        <v>682</v>
      </c>
      <c r="E36" s="59" t="s">
        <v>683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684</v>
      </c>
    </row>
    <row r="37" spans="2:9" x14ac:dyDescent="0.25">
      <c r="B37" s="58"/>
      <c r="C37" s="59" t="s">
        <v>666</v>
      </c>
      <c r="D37" s="59" t="s">
        <v>685</v>
      </c>
      <c r="E37" s="59" t="s">
        <v>683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684</v>
      </c>
    </row>
    <row r="38" spans="2:9" x14ac:dyDescent="0.25">
      <c r="B38" s="58"/>
      <c r="C38" s="59" t="s">
        <v>656</v>
      </c>
      <c r="D38" s="59" t="s">
        <v>682</v>
      </c>
      <c r="E38" s="59" t="s">
        <v>683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684</v>
      </c>
    </row>
    <row r="39" spans="2:9" x14ac:dyDescent="0.25">
      <c r="B39" s="58"/>
      <c r="C39" s="59" t="s">
        <v>667</v>
      </c>
      <c r="D39" s="59" t="s">
        <v>685</v>
      </c>
      <c r="E39" s="59" t="s">
        <v>683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684</v>
      </c>
    </row>
    <row r="40" spans="2:9" x14ac:dyDescent="0.25">
      <c r="B40" s="58"/>
      <c r="C40" s="59" t="s">
        <v>668</v>
      </c>
      <c r="D40" s="59" t="s">
        <v>685</v>
      </c>
      <c r="E40" s="59" t="s">
        <v>683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684</v>
      </c>
    </row>
    <row r="41" spans="2:9" x14ac:dyDescent="0.25">
      <c r="B41" s="58"/>
      <c r="C41" s="59" t="s">
        <v>657</v>
      </c>
      <c r="D41" s="59" t="s">
        <v>682</v>
      </c>
      <c r="E41" s="59" t="s">
        <v>686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684</v>
      </c>
    </row>
    <row r="42" spans="2:9" x14ac:dyDescent="0.25">
      <c r="B42" s="58"/>
      <c r="C42" s="59" t="s">
        <v>661</v>
      </c>
      <c r="D42" s="59" t="s">
        <v>682</v>
      </c>
      <c r="E42" s="59" t="s">
        <v>683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684</v>
      </c>
    </row>
    <row r="43" spans="2:9" x14ac:dyDescent="0.25">
      <c r="B43" s="58"/>
      <c r="C43" s="59" t="s">
        <v>246</v>
      </c>
      <c r="D43" s="59" t="s">
        <v>682</v>
      </c>
      <c r="E43" s="59" t="s">
        <v>683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684</v>
      </c>
    </row>
    <row r="44" spans="2:9" x14ac:dyDescent="0.25">
      <c r="B44" s="58"/>
      <c r="C44" s="59" t="s">
        <v>663</v>
      </c>
      <c r="D44" s="59" t="s">
        <v>682</v>
      </c>
      <c r="E44" s="59" t="s">
        <v>683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684</v>
      </c>
    </row>
    <row r="45" spans="2:9" x14ac:dyDescent="0.25">
      <c r="B45" s="58"/>
      <c r="C45" s="59" t="s">
        <v>664</v>
      </c>
      <c r="D45" s="59" t="s">
        <v>682</v>
      </c>
      <c r="E45" s="59" t="s">
        <v>683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684</v>
      </c>
    </row>
    <row r="46" spans="2:9" x14ac:dyDescent="0.25">
      <c r="B46" s="58" t="s">
        <v>669</v>
      </c>
      <c r="C46" s="59" t="s">
        <v>670</v>
      </c>
      <c r="D46" s="59" t="s">
        <v>682</v>
      </c>
      <c r="E46" s="59" t="s">
        <v>687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684</v>
      </c>
    </row>
    <row r="47" spans="2:9" x14ac:dyDescent="0.25">
      <c r="B47" s="58"/>
      <c r="C47" s="59" t="s">
        <v>673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684</v>
      </c>
    </row>
    <row r="48" spans="2:9" x14ac:dyDescent="0.25">
      <c r="B48" s="58"/>
      <c r="C48" s="59" t="s">
        <v>675</v>
      </c>
      <c r="D48" s="59" t="s">
        <v>682</v>
      </c>
      <c r="E48" s="59" t="s">
        <v>683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684</v>
      </c>
    </row>
    <row r="49" spans="2:9" x14ac:dyDescent="0.25">
      <c r="B49" s="58"/>
      <c r="C49" s="59" t="s">
        <v>688</v>
      </c>
      <c r="D49" s="59"/>
      <c r="E49" s="59"/>
      <c r="F49" s="59"/>
      <c r="G49" s="59" t="e">
        <f t="shared" si="1"/>
        <v>#N/A</v>
      </c>
      <c r="H49" s="59"/>
      <c r="I49" s="60" t="s">
        <v>684</v>
      </c>
    </row>
    <row r="50" spans="2:9" x14ac:dyDescent="0.25">
      <c r="B50" s="58"/>
      <c r="C50" s="59" t="s">
        <v>689</v>
      </c>
      <c r="D50" s="59"/>
      <c r="E50" s="59"/>
      <c r="F50" s="59"/>
      <c r="G50" s="59" t="e">
        <f t="shared" si="1"/>
        <v>#N/A</v>
      </c>
      <c r="H50" s="59"/>
      <c r="I50" s="60" t="s">
        <v>684</v>
      </c>
    </row>
    <row r="51" spans="2:9" x14ac:dyDescent="0.25">
      <c r="B51" s="58"/>
      <c r="C51" s="59" t="s">
        <v>690</v>
      </c>
      <c r="D51" s="59"/>
      <c r="E51" s="59"/>
      <c r="F51" s="59"/>
      <c r="G51" s="59" t="e">
        <f t="shared" si="1"/>
        <v>#N/A</v>
      </c>
      <c r="H51" s="59"/>
      <c r="I51" s="60" t="s">
        <v>684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705</v>
      </c>
    </row>
    <row r="55" spans="2:9" ht="18" thickBot="1" x14ac:dyDescent="0.35">
      <c r="B55" s="22" t="s">
        <v>691</v>
      </c>
    </row>
    <row r="56" spans="2:9" ht="16.5" thickTop="1" x14ac:dyDescent="0.25">
      <c r="B56" s="80"/>
      <c r="C56" s="83"/>
      <c r="D56" s="83" t="s">
        <v>677</v>
      </c>
      <c r="E56" s="83" t="s">
        <v>644</v>
      </c>
      <c r="F56" s="83" t="s">
        <v>9</v>
      </c>
      <c r="G56" s="83"/>
      <c r="H56" s="83" t="s">
        <v>9</v>
      </c>
      <c r="I56" s="84" t="s">
        <v>692</v>
      </c>
    </row>
    <row r="57" spans="2:9" x14ac:dyDescent="0.25">
      <c r="B57" s="70"/>
      <c r="C57" s="81"/>
      <c r="D57" s="81"/>
      <c r="E57" s="81"/>
      <c r="F57" s="81" t="s">
        <v>679</v>
      </c>
      <c r="G57" s="81"/>
      <c r="H57" s="81" t="s">
        <v>693</v>
      </c>
      <c r="I57" s="420"/>
    </row>
    <row r="58" spans="2:9" x14ac:dyDescent="0.25">
      <c r="B58" s="58" t="s">
        <v>681</v>
      </c>
      <c r="C58" s="59" t="s">
        <v>654</v>
      </c>
      <c r="D58" s="59" t="s">
        <v>682</v>
      </c>
      <c r="E58" s="59" t="s">
        <v>683</v>
      </c>
      <c r="F58" s="59">
        <v>1.4652000000000001</v>
      </c>
      <c r="G58" s="59">
        <f>VLOOKUP(C58,$C$10:$J$27,7,FALSE)</f>
        <v>259.60821036768988</v>
      </c>
      <c r="H58" s="426">
        <f>G58*F58</f>
        <v>380.37794983073923</v>
      </c>
      <c r="I58" s="60" t="s">
        <v>655</v>
      </c>
    </row>
    <row r="59" spans="2:9" x14ac:dyDescent="0.25">
      <c r="B59" s="58"/>
      <c r="C59" s="59" t="s">
        <v>666</v>
      </c>
      <c r="D59" s="59" t="s">
        <v>685</v>
      </c>
      <c r="E59" s="59" t="s">
        <v>683</v>
      </c>
      <c r="F59" s="59">
        <v>1.4652000000000001</v>
      </c>
      <c r="G59" s="59">
        <f t="shared" ref="G59:G73" si="3">VLOOKUP(C59,$C$10:$J$27,7,FALSE)</f>
        <v>69.906303046805363</v>
      </c>
      <c r="H59" s="426">
        <f t="shared" ref="H59:H70" si="4">G59*F59</f>
        <v>102.42671522417922</v>
      </c>
      <c r="I59" s="60" t="s">
        <v>655</v>
      </c>
    </row>
    <row r="60" spans="2:9" x14ac:dyDescent="0.25">
      <c r="B60" s="58"/>
      <c r="C60" s="59" t="s">
        <v>656</v>
      </c>
      <c r="D60" s="59" t="s">
        <v>682</v>
      </c>
      <c r="E60" s="59" t="s">
        <v>683</v>
      </c>
      <c r="F60" s="59">
        <v>0.14099999999999999</v>
      </c>
      <c r="G60" s="59">
        <f t="shared" si="3"/>
        <v>2569.5289768555481</v>
      </c>
      <c r="H60" s="426">
        <f t="shared" si="4"/>
        <v>362.30358573663227</v>
      </c>
      <c r="I60" s="60"/>
    </row>
    <row r="61" spans="2:9" x14ac:dyDescent="0.25">
      <c r="B61" s="58"/>
      <c r="C61" s="59" t="s">
        <v>667</v>
      </c>
      <c r="D61" s="59" t="s">
        <v>685</v>
      </c>
      <c r="E61" s="59" t="s">
        <v>683</v>
      </c>
      <c r="F61" s="59">
        <v>0.14099999999999999</v>
      </c>
      <c r="G61" s="59">
        <f t="shared" si="3"/>
        <v>37.787190836111002</v>
      </c>
      <c r="H61" s="426">
        <f t="shared" si="4"/>
        <v>5.3279939078916509</v>
      </c>
      <c r="I61" s="60"/>
    </row>
    <row r="62" spans="2:9" x14ac:dyDescent="0.25">
      <c r="B62" s="58"/>
      <c r="C62" s="59" t="s">
        <v>668</v>
      </c>
      <c r="D62" s="59" t="s">
        <v>685</v>
      </c>
      <c r="E62" s="59" t="s">
        <v>683</v>
      </c>
      <c r="F62" s="59">
        <v>0.877</v>
      </c>
      <c r="G62" s="59">
        <f t="shared" si="3"/>
        <v>100.13605571569416</v>
      </c>
      <c r="H62" s="426">
        <f t="shared" si="4"/>
        <v>87.819320862663773</v>
      </c>
      <c r="I62" s="60"/>
    </row>
    <row r="63" spans="2:9" x14ac:dyDescent="0.25">
      <c r="B63" s="58"/>
      <c r="C63" s="59" t="s">
        <v>657</v>
      </c>
      <c r="D63" s="59" t="s">
        <v>682</v>
      </c>
      <c r="E63" s="59" t="s">
        <v>686</v>
      </c>
      <c r="F63" s="59">
        <v>11</v>
      </c>
      <c r="G63" s="59">
        <f t="shared" si="3"/>
        <v>0.71795662588610909</v>
      </c>
      <c r="H63" s="426">
        <f t="shared" si="4"/>
        <v>7.8975228847472003</v>
      </c>
      <c r="I63" s="60"/>
    </row>
    <row r="64" spans="2:9" x14ac:dyDescent="0.25">
      <c r="B64" s="58"/>
      <c r="C64" s="59" t="s">
        <v>660</v>
      </c>
      <c r="D64" s="59" t="s">
        <v>682</v>
      </c>
      <c r="E64" s="59" t="s">
        <v>683</v>
      </c>
      <c r="F64" s="59">
        <f>0.0402+0.0124</f>
        <v>5.2600000000000001E-2</v>
      </c>
      <c r="G64" s="59">
        <f t="shared" si="3"/>
        <v>460.36242909358174</v>
      </c>
      <c r="H64" s="426">
        <f t="shared" si="4"/>
        <v>24.215063770322399</v>
      </c>
      <c r="I64" s="60"/>
    </row>
    <row r="65" spans="2:9" x14ac:dyDescent="0.25">
      <c r="B65" s="58"/>
      <c r="C65" s="59" t="s">
        <v>246</v>
      </c>
      <c r="D65" s="59" t="s">
        <v>682</v>
      </c>
      <c r="E65" s="59" t="s">
        <v>683</v>
      </c>
      <c r="F65" s="59">
        <v>0</v>
      </c>
      <c r="G65" s="59">
        <f t="shared" si="3"/>
        <v>377.87190836111006</v>
      </c>
      <c r="H65" s="426">
        <f t="shared" si="4"/>
        <v>0</v>
      </c>
      <c r="I65" s="60"/>
    </row>
    <row r="66" spans="2:9" x14ac:dyDescent="0.25">
      <c r="B66" s="58"/>
      <c r="C66" s="59" t="s">
        <v>663</v>
      </c>
      <c r="D66" s="59" t="s">
        <v>682</v>
      </c>
      <c r="E66" s="59" t="s">
        <v>683</v>
      </c>
      <c r="F66" s="59">
        <v>2E-3</v>
      </c>
      <c r="G66" s="59">
        <f t="shared" si="3"/>
        <v>43833.141369888763</v>
      </c>
      <c r="H66" s="426">
        <f t="shared" si="4"/>
        <v>87.666282739777529</v>
      </c>
      <c r="I66" s="60"/>
    </row>
    <row r="67" spans="2:9" x14ac:dyDescent="0.25">
      <c r="B67" s="58"/>
      <c r="C67" s="59" t="s">
        <v>664</v>
      </c>
      <c r="D67" s="59" t="s">
        <v>682</v>
      </c>
      <c r="E67" s="59" t="s">
        <v>683</v>
      </c>
      <c r="F67" s="59">
        <v>0</v>
      </c>
      <c r="G67" s="59">
        <f t="shared" si="3"/>
        <v>4897.2199323599862</v>
      </c>
      <c r="H67" s="426">
        <f t="shared" si="4"/>
        <v>0</v>
      </c>
      <c r="I67" s="60"/>
    </row>
    <row r="68" spans="2:9" x14ac:dyDescent="0.25">
      <c r="B68" s="58" t="s">
        <v>669</v>
      </c>
      <c r="C68" s="59" t="s">
        <v>670</v>
      </c>
      <c r="D68" s="59" t="s">
        <v>682</v>
      </c>
      <c r="E68" s="59" t="s">
        <v>687</v>
      </c>
      <c r="F68" s="59">
        <f>1.7807+1.04+1</f>
        <v>3.8207</v>
      </c>
      <c r="G68" s="59">
        <f t="shared" si="3"/>
        <v>284.91541890427698</v>
      </c>
      <c r="H68" s="426">
        <f t="shared" si="4"/>
        <v>1088.576341007571</v>
      </c>
      <c r="I68" s="60"/>
    </row>
    <row r="69" spans="2:9" x14ac:dyDescent="0.25">
      <c r="B69" s="58"/>
      <c r="C69" s="59" t="s">
        <v>673</v>
      </c>
      <c r="D69" s="59"/>
      <c r="E69" s="59"/>
      <c r="F69" s="59">
        <v>1</v>
      </c>
      <c r="G69" s="59">
        <f t="shared" si="3"/>
        <v>113.36157250833301</v>
      </c>
      <c r="H69" s="426">
        <f t="shared" si="4"/>
        <v>113.36157250833301</v>
      </c>
      <c r="I69" s="60"/>
    </row>
    <row r="70" spans="2:9" x14ac:dyDescent="0.25">
      <c r="B70" s="58"/>
      <c r="C70" s="59" t="s">
        <v>675</v>
      </c>
      <c r="D70" s="59" t="s">
        <v>682</v>
      </c>
      <c r="E70" s="59" t="s">
        <v>683</v>
      </c>
      <c r="F70" s="59">
        <v>0</v>
      </c>
      <c r="G70" s="59">
        <f t="shared" si="3"/>
        <v>-240.326533717666</v>
      </c>
      <c r="H70" s="426">
        <f t="shared" si="4"/>
        <v>0</v>
      </c>
      <c r="I70" s="60"/>
    </row>
    <row r="71" spans="2:9" x14ac:dyDescent="0.25">
      <c r="B71" s="58"/>
      <c r="C71" s="59" t="s">
        <v>688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689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690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27">
        <f>H74-H58</f>
        <v>1879.5943986421182</v>
      </c>
      <c r="I75" s="21" t="s">
        <v>705</v>
      </c>
    </row>
    <row r="77" spans="2:9" ht="18" thickBot="1" x14ac:dyDescent="0.35">
      <c r="B77" s="22" t="s">
        <v>694</v>
      </c>
    </row>
    <row r="78" spans="2:9" ht="16.5" thickTop="1" x14ac:dyDescent="0.25">
      <c r="B78" s="417"/>
      <c r="C78" s="418"/>
      <c r="D78" s="418" t="s">
        <v>677</v>
      </c>
      <c r="E78" s="418" t="s">
        <v>644</v>
      </c>
      <c r="F78" s="418" t="s">
        <v>8</v>
      </c>
      <c r="G78" s="418"/>
      <c r="H78" s="418" t="s">
        <v>8</v>
      </c>
      <c r="I78" s="419"/>
    </row>
    <row r="79" spans="2:9" x14ac:dyDescent="0.25">
      <c r="B79" s="70"/>
      <c r="C79" s="81"/>
      <c r="D79" s="81"/>
      <c r="E79" s="81"/>
      <c r="F79" s="81" t="s">
        <v>679</v>
      </c>
      <c r="G79" s="81"/>
      <c r="H79" s="81" t="s">
        <v>693</v>
      </c>
      <c r="I79" s="420"/>
    </row>
    <row r="80" spans="2:9" x14ac:dyDescent="0.25">
      <c r="B80" s="58" t="s">
        <v>681</v>
      </c>
      <c r="C80" s="59" t="s">
        <v>244</v>
      </c>
      <c r="D80" s="59" t="s">
        <v>682</v>
      </c>
      <c r="E80" s="59" t="s">
        <v>683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695</v>
      </c>
    </row>
    <row r="81" spans="2:9" x14ac:dyDescent="0.25">
      <c r="B81" s="58"/>
      <c r="C81" s="59" t="s">
        <v>666</v>
      </c>
      <c r="D81" s="59" t="s">
        <v>685</v>
      </c>
      <c r="E81" s="59" t="s">
        <v>683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695</v>
      </c>
    </row>
    <row r="82" spans="2:9" x14ac:dyDescent="0.25">
      <c r="B82" s="58"/>
      <c r="C82" s="59" t="s">
        <v>656</v>
      </c>
      <c r="D82" s="59" t="s">
        <v>682</v>
      </c>
      <c r="E82" s="59" t="s">
        <v>683</v>
      </c>
      <c r="F82" s="59">
        <v>1.085</v>
      </c>
      <c r="G82" s="59">
        <f>VLOOKUP(C82,$C$10:$J$27,7,FALSE)</f>
        <v>2569.5289768555481</v>
      </c>
      <c r="H82" s="59">
        <f>F82*G82</f>
        <v>2787.9389398882695</v>
      </c>
      <c r="I82" s="60" t="s">
        <v>695</v>
      </c>
    </row>
    <row r="83" spans="2:9" x14ac:dyDescent="0.25">
      <c r="B83" s="58"/>
      <c r="C83" s="59" t="s">
        <v>667</v>
      </c>
      <c r="D83" s="59" t="s">
        <v>685</v>
      </c>
      <c r="E83" s="59" t="s">
        <v>683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695</v>
      </c>
    </row>
    <row r="84" spans="2:9" x14ac:dyDescent="0.25">
      <c r="B84" s="58"/>
      <c r="C84" s="59" t="s">
        <v>668</v>
      </c>
      <c r="D84" s="59" t="s">
        <v>685</v>
      </c>
      <c r="E84" s="59" t="s">
        <v>683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695</v>
      </c>
    </row>
    <row r="85" spans="2:9" x14ac:dyDescent="0.25">
      <c r="B85" s="58"/>
      <c r="C85" s="59" t="s">
        <v>657</v>
      </c>
      <c r="D85" s="59" t="s">
        <v>682</v>
      </c>
      <c r="E85" s="59" t="s">
        <v>686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695</v>
      </c>
    </row>
    <row r="86" spans="2:9" x14ac:dyDescent="0.25">
      <c r="B86" s="58"/>
      <c r="C86" s="59" t="s">
        <v>661</v>
      </c>
      <c r="D86" s="59" t="s">
        <v>682</v>
      </c>
      <c r="E86" s="59" t="s">
        <v>683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695</v>
      </c>
    </row>
    <row r="87" spans="2:9" x14ac:dyDescent="0.25">
      <c r="B87" s="58"/>
      <c r="C87" s="59" t="s">
        <v>246</v>
      </c>
      <c r="D87" s="59" t="s">
        <v>682</v>
      </c>
      <c r="E87" s="59" t="s">
        <v>683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695</v>
      </c>
    </row>
    <row r="88" spans="2:9" x14ac:dyDescent="0.25">
      <c r="B88" s="58"/>
      <c r="C88" s="59" t="s">
        <v>663</v>
      </c>
      <c r="D88" s="59" t="s">
        <v>682</v>
      </c>
      <c r="E88" s="59" t="s">
        <v>683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695</v>
      </c>
    </row>
    <row r="89" spans="2:9" x14ac:dyDescent="0.25">
      <c r="B89" s="58"/>
      <c r="C89" s="59" t="s">
        <v>664</v>
      </c>
      <c r="D89" s="59" t="s">
        <v>682</v>
      </c>
      <c r="E89" s="59" t="s">
        <v>683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695</v>
      </c>
    </row>
    <row r="90" spans="2:9" x14ac:dyDescent="0.25">
      <c r="B90" s="58" t="s">
        <v>669</v>
      </c>
      <c r="C90" s="59" t="s">
        <v>670</v>
      </c>
      <c r="D90" s="59" t="s">
        <v>682</v>
      </c>
      <c r="E90" s="59" t="s">
        <v>687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695</v>
      </c>
    </row>
    <row r="91" spans="2:9" x14ac:dyDescent="0.25">
      <c r="B91" s="58"/>
      <c r="C91" s="59" t="s">
        <v>673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695</v>
      </c>
    </row>
    <row r="92" spans="2:9" x14ac:dyDescent="0.25">
      <c r="B92" s="58"/>
      <c r="C92" s="59" t="s">
        <v>675</v>
      </c>
      <c r="D92" s="59" t="s">
        <v>682</v>
      </c>
      <c r="E92" s="59" t="s">
        <v>683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695</v>
      </c>
    </row>
    <row r="93" spans="2:9" x14ac:dyDescent="0.25">
      <c r="B93" s="58"/>
      <c r="C93" s="59" t="s">
        <v>688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689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690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H96-H82</f>
        <v>560.68104741949855</v>
      </c>
      <c r="I97" s="21" t="s">
        <v>1281</v>
      </c>
    </row>
    <row r="99" spans="2:9" ht="18" thickBot="1" x14ac:dyDescent="0.35">
      <c r="B99" s="22" t="s">
        <v>696</v>
      </c>
    </row>
    <row r="100" spans="2:9" ht="16.5" thickTop="1" x14ac:dyDescent="0.25">
      <c r="B100" s="417"/>
      <c r="C100" s="418"/>
      <c r="D100" s="418" t="s">
        <v>677</v>
      </c>
      <c r="E100" s="418" t="s">
        <v>644</v>
      </c>
      <c r="F100" s="418" t="s">
        <v>697</v>
      </c>
      <c r="G100" s="418"/>
      <c r="H100" s="418" t="s">
        <v>697</v>
      </c>
      <c r="I100" s="419" t="s">
        <v>698</v>
      </c>
    </row>
    <row r="101" spans="2:9" x14ac:dyDescent="0.25">
      <c r="B101" s="70"/>
      <c r="C101" s="81"/>
      <c r="D101" s="81"/>
      <c r="E101" s="81"/>
      <c r="F101" s="81" t="s">
        <v>679</v>
      </c>
      <c r="G101" s="81"/>
      <c r="H101" s="81" t="s">
        <v>693</v>
      </c>
      <c r="I101" s="420"/>
    </row>
    <row r="102" spans="2:9" x14ac:dyDescent="0.25">
      <c r="B102" s="58" t="s">
        <v>681</v>
      </c>
      <c r="C102" s="59" t="s">
        <v>654</v>
      </c>
      <c r="D102" s="59" t="s">
        <v>682</v>
      </c>
      <c r="E102" s="59" t="s">
        <v>683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666</v>
      </c>
      <c r="D103" s="59" t="s">
        <v>685</v>
      </c>
      <c r="E103" s="59" t="s">
        <v>683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656</v>
      </c>
      <c r="D104" s="59" t="s">
        <v>682</v>
      </c>
      <c r="E104" s="59" t="s">
        <v>683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667</v>
      </c>
      <c r="D105" s="59" t="s">
        <v>685</v>
      </c>
      <c r="E105" s="59" t="s">
        <v>683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668</v>
      </c>
      <c r="D106" s="59" t="s">
        <v>685</v>
      </c>
      <c r="E106" s="59" t="s">
        <v>683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657</v>
      </c>
      <c r="D107" s="59" t="s">
        <v>682</v>
      </c>
      <c r="E107" s="59" t="s">
        <v>686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659</v>
      </c>
      <c r="D108" s="59" t="s">
        <v>682</v>
      </c>
      <c r="E108" s="59" t="s">
        <v>683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662</v>
      </c>
      <c r="D109" s="59" t="s">
        <v>682</v>
      </c>
      <c r="E109" s="59" t="s">
        <v>683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663</v>
      </c>
      <c r="D110" s="59" t="s">
        <v>682</v>
      </c>
      <c r="E110" s="59" t="s">
        <v>683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660</v>
      </c>
      <c r="D111" s="59" t="s">
        <v>682</v>
      </c>
      <c r="E111" s="59" t="s">
        <v>683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669</v>
      </c>
      <c r="C112" s="59" t="s">
        <v>670</v>
      </c>
      <c r="D112" s="59" t="s">
        <v>682</v>
      </c>
      <c r="E112" s="59" t="s">
        <v>687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675</v>
      </c>
      <c r="D114" s="59" t="s">
        <v>682</v>
      </c>
      <c r="E114" s="59" t="s">
        <v>683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688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689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690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19" spans="2:9" x14ac:dyDescent="0.25">
      <c r="H119" s="21">
        <f>H118-H102</f>
        <v>1815.1239340918764</v>
      </c>
    </row>
    <row r="121" spans="2:9" x14ac:dyDescent="0.25">
      <c r="B121" s="417" t="s">
        <v>699</v>
      </c>
      <c r="C121" s="418" t="s">
        <v>7</v>
      </c>
      <c r="D121" s="418" t="s">
        <v>9</v>
      </c>
      <c r="E121" s="418" t="s">
        <v>156</v>
      </c>
      <c r="F121" s="419" t="s">
        <v>697</v>
      </c>
    </row>
    <row r="122" spans="2:9" x14ac:dyDescent="0.25">
      <c r="B122" s="58" t="s">
        <v>702</v>
      </c>
      <c r="C122" s="421">
        <f>H53</f>
        <v>1126.0677337138172</v>
      </c>
      <c r="D122" s="421">
        <f>H75</f>
        <v>1879.5943986421182</v>
      </c>
      <c r="E122" s="421">
        <f>H97</f>
        <v>560.68104741949855</v>
      </c>
      <c r="F122" s="425">
        <f>H119</f>
        <v>1815.1239340918764</v>
      </c>
      <c r="H122" s="21" t="s">
        <v>1263</v>
      </c>
    </row>
    <row r="123" spans="2:9" x14ac:dyDescent="0.25">
      <c r="B123" s="58" t="s">
        <v>1264</v>
      </c>
      <c r="C123" s="421">
        <f>C122*$G$128</f>
        <v>2058.2266036821152</v>
      </c>
      <c r="D123" s="421">
        <f>D122*$G$128</f>
        <v>3435.5226418380635</v>
      </c>
      <c r="E123" s="421">
        <f>E122*$G$128</f>
        <v>1024.8128184733594</v>
      </c>
      <c r="F123" s="421">
        <f>F122*$G$128</f>
        <v>3317.6835267331317</v>
      </c>
      <c r="H123" s="21" t="s">
        <v>706</v>
      </c>
    </row>
    <row r="126" spans="2:9" x14ac:dyDescent="0.25">
      <c r="G126">
        <v>1.3</v>
      </c>
      <c r="H126" t="s">
        <v>1098</v>
      </c>
    </row>
    <row r="127" spans="2:9" x14ac:dyDescent="0.25">
      <c r="B127" s="32" t="s">
        <v>1026</v>
      </c>
      <c r="G127">
        <v>1.4059999999999999</v>
      </c>
      <c r="H127" t="s">
        <v>1189</v>
      </c>
    </row>
    <row r="128" spans="2:9" x14ac:dyDescent="0.25">
      <c r="B128" s="45" t="s">
        <v>1261</v>
      </c>
      <c r="G128">
        <f>G126*G127</f>
        <v>1.8277999999999999</v>
      </c>
      <c r="H128"/>
    </row>
    <row r="129" spans="2:10" x14ac:dyDescent="0.25">
      <c r="H129"/>
    </row>
    <row r="130" spans="2:10" x14ac:dyDescent="0.25">
      <c r="H130"/>
    </row>
    <row r="131" spans="2:10" x14ac:dyDescent="0.25">
      <c r="H131"/>
    </row>
    <row r="132" spans="2:10" x14ac:dyDescent="0.25">
      <c r="B132" s="585" t="s">
        <v>1162</v>
      </c>
      <c r="C132" s="585"/>
      <c r="D132" s="585"/>
    </row>
    <row r="133" spans="2:10" x14ac:dyDescent="0.25">
      <c r="B133" s="585" t="s">
        <v>1142</v>
      </c>
      <c r="C133" s="585" t="s">
        <v>1244</v>
      </c>
      <c r="D133" s="585">
        <v>2017</v>
      </c>
    </row>
    <row r="134" spans="2:10" x14ac:dyDescent="0.25">
      <c r="B134" s="287" t="s">
        <v>167</v>
      </c>
      <c r="C134" s="21" t="s">
        <v>1262</v>
      </c>
      <c r="D134" s="88">
        <f>C123</f>
        <v>2058.2266036821152</v>
      </c>
    </row>
    <row r="135" spans="2:10" x14ac:dyDescent="0.25">
      <c r="B135" s="287" t="s">
        <v>169</v>
      </c>
      <c r="C135" s="21" t="s">
        <v>1262</v>
      </c>
      <c r="D135" s="88">
        <f>D134</f>
        <v>2058.2266036821152</v>
      </c>
      <c r="F135" s="21" t="s">
        <v>1265</v>
      </c>
    </row>
    <row r="136" spans="2:10" x14ac:dyDescent="0.25">
      <c r="B136" s="287" t="s">
        <v>172</v>
      </c>
      <c r="C136" s="21" t="s">
        <v>1262</v>
      </c>
      <c r="D136" s="88">
        <f>D123</f>
        <v>3435.5226418380635</v>
      </c>
    </row>
    <row r="137" spans="2:10" x14ac:dyDescent="0.25">
      <c r="B137" s="287" t="s">
        <v>176</v>
      </c>
      <c r="C137" s="21" t="s">
        <v>1262</v>
      </c>
      <c r="D137" s="88">
        <f>F123</f>
        <v>3317.6835267331317</v>
      </c>
    </row>
    <row r="138" spans="2:10" x14ac:dyDescent="0.25">
      <c r="B138" s="287" t="s">
        <v>178</v>
      </c>
      <c r="C138" s="21" t="s">
        <v>1262</v>
      </c>
      <c r="D138" s="88">
        <f>E123+I138</f>
        <v>3024.8128184733596</v>
      </c>
      <c r="F138" s="21" t="s">
        <v>1279</v>
      </c>
      <c r="I138" s="21">
        <f>Scrap!B24</f>
        <v>2000</v>
      </c>
      <c r="J138" s="21" t="s">
        <v>465</v>
      </c>
    </row>
    <row r="139" spans="2:10" x14ac:dyDescent="0.25">
      <c r="B139" s="287" t="s">
        <v>515</v>
      </c>
      <c r="C139" s="21" t="s">
        <v>1262</v>
      </c>
      <c r="D139" s="88">
        <f>D134</f>
        <v>2058.2266036821152</v>
      </c>
    </row>
    <row r="140" spans="2:10" x14ac:dyDescent="0.25">
      <c r="B140" t="s">
        <v>517</v>
      </c>
      <c r="C140" s="21" t="s">
        <v>1262</v>
      </c>
      <c r="D140" s="88">
        <f>D136</f>
        <v>3435.5226418380635</v>
      </c>
    </row>
    <row r="141" spans="2:10" x14ac:dyDescent="0.25">
      <c r="B141" t="s">
        <v>518</v>
      </c>
      <c r="C141" s="21" t="s">
        <v>1262</v>
      </c>
      <c r="D141" s="88">
        <f>D138</f>
        <v>3024.8128184733596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theme="8"/>
  </sheetPr>
  <dimension ref="A1:J89"/>
  <sheetViews>
    <sheetView topLeftCell="A42" zoomScale="70" zoomScaleNormal="70" workbookViewId="0">
      <selection activeCell="F84" sqref="F84"/>
    </sheetView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1028</v>
      </c>
    </row>
    <row r="2" spans="1:10" ht="16.5" thickTop="1" x14ac:dyDescent="0.25"/>
    <row r="3" spans="1:10" x14ac:dyDescent="0.25">
      <c r="A3" s="58" t="s">
        <v>1029</v>
      </c>
      <c r="B3" s="60">
        <v>2010</v>
      </c>
    </row>
    <row r="4" spans="1:10" x14ac:dyDescent="0.25">
      <c r="A4" s="58" t="s">
        <v>641</v>
      </c>
      <c r="B4" s="509" t="s">
        <v>642</v>
      </c>
    </row>
    <row r="5" spans="1:10" x14ac:dyDescent="0.25">
      <c r="H5" s="21" t="s">
        <v>1267</v>
      </c>
    </row>
    <row r="6" spans="1:10" x14ac:dyDescent="0.25">
      <c r="A6" s="32" t="s">
        <v>1030</v>
      </c>
    </row>
    <row r="7" spans="1:10" x14ac:dyDescent="0.25">
      <c r="A7" s="417" t="s">
        <v>122</v>
      </c>
      <c r="B7" s="23" t="s">
        <v>1031</v>
      </c>
      <c r="C7" s="24" t="s">
        <v>540</v>
      </c>
      <c r="D7" s="24" t="s">
        <v>1032</v>
      </c>
      <c r="E7" s="24" t="s">
        <v>1033</v>
      </c>
      <c r="F7" s="24" t="s">
        <v>641</v>
      </c>
      <c r="G7" s="24" t="s">
        <v>1034</v>
      </c>
      <c r="H7" s="24" t="s">
        <v>648</v>
      </c>
      <c r="I7" s="24" t="s">
        <v>677</v>
      </c>
      <c r="J7" s="25" t="s">
        <v>1035</v>
      </c>
    </row>
    <row r="8" spans="1:10" x14ac:dyDescent="0.25">
      <c r="B8" s="58" t="s">
        <v>1036</v>
      </c>
      <c r="C8" s="59" t="s">
        <v>1037</v>
      </c>
      <c r="D8" s="59" t="s">
        <v>1038</v>
      </c>
      <c r="E8" s="59">
        <v>2000</v>
      </c>
      <c r="F8" s="59" t="s">
        <v>652</v>
      </c>
      <c r="G8" s="59">
        <v>148</v>
      </c>
      <c r="H8" s="59">
        <v>5.914974034351558</v>
      </c>
      <c r="I8" s="59" t="s">
        <v>1039</v>
      </c>
      <c r="J8" s="425">
        <f t="shared" ref="J8:J20" si="0">G8*H8</f>
        <v>875.4161570840306</v>
      </c>
    </row>
    <row r="9" spans="1:10" x14ac:dyDescent="0.25">
      <c r="A9" s="58"/>
      <c r="B9" s="58" t="s">
        <v>1036</v>
      </c>
      <c r="C9" s="59" t="s">
        <v>1037</v>
      </c>
      <c r="D9" s="59" t="s">
        <v>1038</v>
      </c>
      <c r="E9" s="59">
        <v>2000</v>
      </c>
      <c r="F9" s="59" t="s">
        <v>652</v>
      </c>
      <c r="G9" s="59">
        <v>275</v>
      </c>
      <c r="H9" s="59">
        <v>5.914974034351558</v>
      </c>
      <c r="I9" s="59" t="s">
        <v>1039</v>
      </c>
      <c r="J9" s="425">
        <f t="shared" si="0"/>
        <v>1626.6178594466785</v>
      </c>
    </row>
    <row r="10" spans="1:10" x14ac:dyDescent="0.25">
      <c r="A10" s="58"/>
      <c r="B10" s="58" t="s">
        <v>357</v>
      </c>
      <c r="C10" s="59" t="s">
        <v>1037</v>
      </c>
      <c r="D10" s="59" t="s">
        <v>1040</v>
      </c>
      <c r="E10" s="59">
        <v>2000</v>
      </c>
      <c r="F10" s="59" t="s">
        <v>652</v>
      </c>
      <c r="G10" s="59">
        <v>100</v>
      </c>
      <c r="H10" s="59">
        <v>5.914974034351558</v>
      </c>
      <c r="I10" s="59" t="s">
        <v>1039</v>
      </c>
      <c r="J10" s="425">
        <f t="shared" si="0"/>
        <v>591.49740343515577</v>
      </c>
    </row>
    <row r="11" spans="1:10" x14ac:dyDescent="0.25">
      <c r="A11" s="58"/>
      <c r="B11" s="58" t="s">
        <v>1041</v>
      </c>
      <c r="C11" s="59" t="s">
        <v>1037</v>
      </c>
      <c r="D11" s="59" t="s">
        <v>1038</v>
      </c>
      <c r="E11" s="59">
        <v>2000</v>
      </c>
      <c r="F11" s="59" t="s">
        <v>652</v>
      </c>
      <c r="G11" s="59">
        <v>143</v>
      </c>
      <c r="H11" s="59">
        <v>5.914974034351558</v>
      </c>
      <c r="I11" s="59" t="s">
        <v>1039</v>
      </c>
      <c r="J11" s="425">
        <f t="shared" si="0"/>
        <v>845.84128691227284</v>
      </c>
    </row>
    <row r="12" spans="1:10" x14ac:dyDescent="0.25">
      <c r="A12" s="58"/>
      <c r="B12" s="58" t="s">
        <v>1042</v>
      </c>
      <c r="C12" s="59" t="s">
        <v>1037</v>
      </c>
      <c r="D12" s="59" t="s">
        <v>1038</v>
      </c>
      <c r="E12" s="59">
        <v>2000</v>
      </c>
      <c r="F12" s="59" t="s">
        <v>652</v>
      </c>
      <c r="G12" s="59">
        <v>145</v>
      </c>
      <c r="H12" s="59">
        <v>5.914974034351558</v>
      </c>
      <c r="I12" s="59" t="s">
        <v>1039</v>
      </c>
      <c r="J12" s="425">
        <f t="shared" si="0"/>
        <v>857.6712349809759</v>
      </c>
    </row>
    <row r="13" spans="1:10" x14ac:dyDescent="0.25">
      <c r="A13" s="58"/>
      <c r="B13" s="58" t="s">
        <v>1043</v>
      </c>
      <c r="C13" s="59" t="s">
        <v>1037</v>
      </c>
      <c r="D13" s="59" t="s">
        <v>1038</v>
      </c>
      <c r="E13" s="59">
        <v>2000</v>
      </c>
      <c r="F13" s="59" t="s">
        <v>652</v>
      </c>
      <c r="G13" s="59">
        <v>122</v>
      </c>
      <c r="H13" s="59">
        <v>5.914974034351558</v>
      </c>
      <c r="I13" s="59" t="s">
        <v>1039</v>
      </c>
      <c r="J13" s="425">
        <f t="shared" si="0"/>
        <v>721.62683219089013</v>
      </c>
    </row>
    <row r="14" spans="1:10" x14ac:dyDescent="0.25">
      <c r="A14" s="58"/>
      <c r="B14" s="58" t="s">
        <v>1044</v>
      </c>
      <c r="C14" s="59" t="s">
        <v>1037</v>
      </c>
      <c r="D14" s="59" t="s">
        <v>1038</v>
      </c>
      <c r="E14" s="59">
        <v>2000</v>
      </c>
      <c r="F14" s="59" t="s">
        <v>652</v>
      </c>
      <c r="G14" s="59">
        <v>98</v>
      </c>
      <c r="H14" s="59">
        <v>5.914974034351558</v>
      </c>
      <c r="I14" s="59" t="s">
        <v>1039</v>
      </c>
      <c r="J14" s="425">
        <f t="shared" si="0"/>
        <v>579.66745536645271</v>
      </c>
    </row>
    <row r="15" spans="1:10" x14ac:dyDescent="0.25">
      <c r="A15" s="58"/>
      <c r="B15" s="58" t="s">
        <v>1045</v>
      </c>
      <c r="C15" s="59" t="s">
        <v>1037</v>
      </c>
      <c r="D15" s="59" t="s">
        <v>1038</v>
      </c>
      <c r="E15" s="59">
        <v>2000</v>
      </c>
      <c r="F15" s="59" t="s">
        <v>652</v>
      </c>
      <c r="G15" s="59">
        <v>320</v>
      </c>
      <c r="H15" s="59">
        <v>5.914974034351558</v>
      </c>
      <c r="I15" s="59" t="s">
        <v>1039</v>
      </c>
      <c r="J15" s="425">
        <f t="shared" si="0"/>
        <v>1892.7916909924986</v>
      </c>
    </row>
    <row r="16" spans="1:10" x14ac:dyDescent="0.25">
      <c r="A16" s="58"/>
      <c r="B16" s="58" t="s">
        <v>1</v>
      </c>
      <c r="C16" s="59" t="s">
        <v>1037</v>
      </c>
      <c r="D16" s="59" t="s">
        <v>1040</v>
      </c>
      <c r="E16" s="59">
        <v>2000</v>
      </c>
      <c r="F16" s="59" t="s">
        <v>652</v>
      </c>
      <c r="G16" s="59">
        <v>80</v>
      </c>
      <c r="H16" s="59">
        <v>5.914974034351558</v>
      </c>
      <c r="I16" s="59" t="s">
        <v>1039</v>
      </c>
      <c r="J16" s="425">
        <f t="shared" si="0"/>
        <v>473.19792274812465</v>
      </c>
    </row>
    <row r="17" spans="1:10" x14ac:dyDescent="0.25">
      <c r="A17" s="58"/>
      <c r="B17" s="58" t="s">
        <v>1046</v>
      </c>
      <c r="C17" s="59" t="s">
        <v>1037</v>
      </c>
      <c r="D17" s="59" t="s">
        <v>1038</v>
      </c>
      <c r="E17" s="59">
        <v>2010</v>
      </c>
      <c r="F17" s="59" t="s">
        <v>830</v>
      </c>
      <c r="G17" s="59">
        <v>273</v>
      </c>
      <c r="H17" s="59">
        <v>9.7120768109592781</v>
      </c>
      <c r="I17" s="59" t="s">
        <v>1039</v>
      </c>
      <c r="J17" s="425">
        <f t="shared" si="0"/>
        <v>2651.396969391883</v>
      </c>
    </row>
    <row r="18" spans="1:10" x14ac:dyDescent="0.25">
      <c r="A18" s="58"/>
      <c r="B18" s="58" t="s">
        <v>1047</v>
      </c>
      <c r="C18" s="59" t="s">
        <v>1037</v>
      </c>
      <c r="D18" s="59" t="s">
        <v>1038</v>
      </c>
      <c r="E18" s="59">
        <v>2010</v>
      </c>
      <c r="F18" s="59" t="s">
        <v>830</v>
      </c>
      <c r="G18" s="59">
        <v>500</v>
      </c>
      <c r="H18" s="59">
        <v>9.7120768109592781</v>
      </c>
      <c r="I18" s="59" t="s">
        <v>1039</v>
      </c>
      <c r="J18" s="425">
        <f t="shared" si="0"/>
        <v>4856.0384054796386</v>
      </c>
    </row>
    <row r="19" spans="1:10" x14ac:dyDescent="0.25">
      <c r="A19" s="58"/>
      <c r="B19" s="58" t="s">
        <v>191</v>
      </c>
      <c r="C19" s="59" t="s">
        <v>1037</v>
      </c>
      <c r="D19" s="59" t="s">
        <v>1038</v>
      </c>
      <c r="E19" s="59">
        <v>2010</v>
      </c>
      <c r="F19" s="59" t="s">
        <v>830</v>
      </c>
      <c r="G19" s="59">
        <v>200</v>
      </c>
      <c r="H19" s="59">
        <v>9.7120768109592781</v>
      </c>
      <c r="I19" s="59" t="s">
        <v>1039</v>
      </c>
      <c r="J19" s="425">
        <f t="shared" si="0"/>
        <v>1942.4153621918556</v>
      </c>
    </row>
    <row r="20" spans="1:10" x14ac:dyDescent="0.25">
      <c r="A20" s="58"/>
      <c r="B20" s="58" t="s">
        <v>1048</v>
      </c>
      <c r="C20" s="59" t="s">
        <v>1037</v>
      </c>
      <c r="D20" s="59" t="s">
        <v>1038</v>
      </c>
      <c r="E20" s="59">
        <v>2010</v>
      </c>
      <c r="F20" s="59" t="s">
        <v>830</v>
      </c>
      <c r="G20" s="59">
        <v>400</v>
      </c>
      <c r="H20" s="59">
        <v>9.7120768109592781</v>
      </c>
      <c r="I20" s="59" t="s">
        <v>1039</v>
      </c>
      <c r="J20" s="425">
        <f t="shared" si="0"/>
        <v>3884.8307243837112</v>
      </c>
    </row>
    <row r="22" spans="1:10" x14ac:dyDescent="0.25">
      <c r="A22" s="32" t="s">
        <v>1049</v>
      </c>
      <c r="H22" s="510"/>
    </row>
    <row r="23" spans="1:10" x14ac:dyDescent="0.25">
      <c r="A23" s="58" t="s">
        <v>7</v>
      </c>
      <c r="B23" s="59" t="s">
        <v>1050</v>
      </c>
      <c r="C23" s="59" t="s">
        <v>1051</v>
      </c>
      <c r="D23" s="59"/>
      <c r="E23" s="59"/>
      <c r="F23" s="59"/>
      <c r="G23" s="59"/>
      <c r="H23" s="59"/>
      <c r="I23" s="59"/>
      <c r="J23" s="425">
        <f>$J$17+$J$10</f>
        <v>3242.8943728270388</v>
      </c>
    </row>
    <row r="24" spans="1:10" x14ac:dyDescent="0.25">
      <c r="A24" s="58" t="s">
        <v>7</v>
      </c>
      <c r="B24" s="59" t="s">
        <v>737</v>
      </c>
      <c r="C24" s="59" t="s">
        <v>1052</v>
      </c>
      <c r="D24" s="59" t="s">
        <v>1053</v>
      </c>
      <c r="E24" s="59"/>
      <c r="F24" s="59"/>
      <c r="G24" s="59"/>
      <c r="H24" s="59"/>
      <c r="I24" s="59">
        <v>100</v>
      </c>
      <c r="J24" s="425">
        <f>I24*($J$9+$J$10)/100</f>
        <v>2218.1152628818345</v>
      </c>
    </row>
    <row r="25" spans="1:10" x14ac:dyDescent="0.25">
      <c r="A25" s="58" t="s">
        <v>9</v>
      </c>
      <c r="B25" s="59" t="s">
        <v>1054</v>
      </c>
      <c r="C25" s="59" t="s">
        <v>1055</v>
      </c>
      <c r="D25" s="59"/>
      <c r="E25" s="59">
        <v>2000</v>
      </c>
      <c r="F25" s="59" t="s">
        <v>652</v>
      </c>
      <c r="G25" s="59">
        <v>362.6</v>
      </c>
      <c r="H25" s="59">
        <v>5.914974034351558</v>
      </c>
      <c r="I25" s="59" t="s">
        <v>1039</v>
      </c>
      <c r="J25" s="425">
        <f>G25*H25</f>
        <v>2144.7695848558751</v>
      </c>
    </row>
    <row r="26" spans="1:10" x14ac:dyDescent="0.25">
      <c r="A26" s="58" t="s">
        <v>9</v>
      </c>
      <c r="B26" s="59" t="s">
        <v>1056</v>
      </c>
      <c r="C26" s="59" t="s">
        <v>1055</v>
      </c>
      <c r="D26" s="59"/>
      <c r="E26" s="59">
        <v>2000</v>
      </c>
      <c r="F26" s="59" t="s">
        <v>652</v>
      </c>
      <c r="G26" s="59">
        <v>373.5</v>
      </c>
      <c r="H26" s="59">
        <v>5.914974034351558</v>
      </c>
      <c r="I26" s="59" t="s">
        <v>1039</v>
      </c>
      <c r="J26" s="425">
        <f>G26*H26</f>
        <v>2209.2428018303067</v>
      </c>
    </row>
    <row r="27" spans="1:10" x14ac:dyDescent="0.25">
      <c r="A27" s="58" t="s">
        <v>9</v>
      </c>
      <c r="B27" s="59" t="s">
        <v>1057</v>
      </c>
      <c r="C27" s="59" t="s">
        <v>1051</v>
      </c>
      <c r="D27" s="59"/>
      <c r="E27" s="59"/>
      <c r="F27" s="59"/>
      <c r="G27" s="59"/>
      <c r="H27" s="59"/>
      <c r="I27" s="59"/>
      <c r="J27" s="425">
        <f>$J$15+$J$16</f>
        <v>2365.9896137406231</v>
      </c>
    </row>
    <row r="28" spans="1:10" x14ac:dyDescent="0.25">
      <c r="A28" s="58" t="s">
        <v>9</v>
      </c>
      <c r="B28" s="59" t="s">
        <v>1058</v>
      </c>
      <c r="C28" s="59" t="s">
        <v>1055</v>
      </c>
      <c r="D28" s="59"/>
      <c r="E28" s="59">
        <v>2000</v>
      </c>
      <c r="F28" s="59" t="s">
        <v>652</v>
      </c>
      <c r="G28" s="59">
        <v>259.63</v>
      </c>
      <c r="H28" s="59">
        <v>5.914974034351558</v>
      </c>
      <c r="I28" s="59" t="s">
        <v>1039</v>
      </c>
      <c r="J28" s="425">
        <f t="shared" ref="J28:J33" si="1">G28*H28</f>
        <v>1535.7047085386951</v>
      </c>
    </row>
    <row r="29" spans="1:10" x14ac:dyDescent="0.25">
      <c r="A29" s="58" t="s">
        <v>9</v>
      </c>
      <c r="B29" s="59" t="s">
        <v>1059</v>
      </c>
      <c r="C29" s="59" t="s">
        <v>1055</v>
      </c>
      <c r="D29" s="59"/>
      <c r="E29" s="59">
        <v>2000</v>
      </c>
      <c r="F29" s="59" t="s">
        <v>652</v>
      </c>
      <c r="G29" s="59">
        <v>334.67</v>
      </c>
      <c r="H29" s="59">
        <v>5.914974034351558</v>
      </c>
      <c r="I29" s="59" t="s">
        <v>1039</v>
      </c>
      <c r="J29" s="425">
        <f t="shared" si="1"/>
        <v>1979.5643600764361</v>
      </c>
    </row>
    <row r="30" spans="1:10" x14ac:dyDescent="0.25">
      <c r="A30" s="58" t="s">
        <v>8</v>
      </c>
      <c r="B30" s="59" t="s">
        <v>1060</v>
      </c>
      <c r="C30" s="59" t="s">
        <v>1055</v>
      </c>
      <c r="D30" s="59"/>
      <c r="E30" s="59">
        <v>2000</v>
      </c>
      <c r="F30" s="59" t="s">
        <v>652</v>
      </c>
      <c r="G30" s="59">
        <v>296.10000000000002</v>
      </c>
      <c r="H30" s="59">
        <v>5.914974034351558</v>
      </c>
      <c r="I30" s="59" t="s">
        <v>1039</v>
      </c>
      <c r="J30" s="425">
        <f t="shared" si="1"/>
        <v>1751.4238115714963</v>
      </c>
    </row>
    <row r="31" spans="1:10" x14ac:dyDescent="0.25">
      <c r="A31" s="58" t="s">
        <v>8</v>
      </c>
      <c r="B31" s="59" t="s">
        <v>1061</v>
      </c>
      <c r="C31" s="59" t="s">
        <v>1055</v>
      </c>
      <c r="D31" s="59"/>
      <c r="E31" s="59">
        <v>2000</v>
      </c>
      <c r="F31" s="59" t="s">
        <v>652</v>
      </c>
      <c r="G31" s="59">
        <v>232.37</v>
      </c>
      <c r="H31" s="59">
        <v>5.914974034351558</v>
      </c>
      <c r="I31" s="59" t="s">
        <v>1039</v>
      </c>
      <c r="J31" s="425">
        <f t="shared" si="1"/>
        <v>1374.4625163622716</v>
      </c>
    </row>
    <row r="32" spans="1:10" x14ac:dyDescent="0.25">
      <c r="A32" s="58" t="s">
        <v>8</v>
      </c>
      <c r="B32" s="59" t="s">
        <v>1062</v>
      </c>
      <c r="C32" s="59" t="s">
        <v>1055</v>
      </c>
      <c r="D32" s="59"/>
      <c r="E32" s="59">
        <v>2000</v>
      </c>
      <c r="F32" s="59" t="s">
        <v>652</v>
      </c>
      <c r="G32" s="59">
        <v>239.63</v>
      </c>
      <c r="H32" s="59">
        <v>5.914974034351558</v>
      </c>
      <c r="I32" s="59" t="s">
        <v>1039</v>
      </c>
      <c r="J32" s="425">
        <f t="shared" si="1"/>
        <v>1417.4052278516638</v>
      </c>
    </row>
    <row r="33" spans="1:10" x14ac:dyDescent="0.25">
      <c r="A33" s="58" t="s">
        <v>8</v>
      </c>
      <c r="B33" s="59" t="s">
        <v>1063</v>
      </c>
      <c r="C33" s="59" t="s">
        <v>1055</v>
      </c>
      <c r="D33" s="59"/>
      <c r="E33" s="59">
        <v>2000</v>
      </c>
      <c r="F33" s="59" t="s">
        <v>652</v>
      </c>
      <c r="G33" s="59">
        <v>263.47000000000003</v>
      </c>
      <c r="H33" s="59">
        <v>5.914974034351558</v>
      </c>
      <c r="I33" s="59" t="s">
        <v>1039</v>
      </c>
      <c r="J33" s="425">
        <f t="shared" si="1"/>
        <v>1558.4182088306052</v>
      </c>
    </row>
    <row r="34" spans="1:10" x14ac:dyDescent="0.25">
      <c r="A34" s="58" t="s">
        <v>7</v>
      </c>
      <c r="B34" s="59" t="s">
        <v>1064</v>
      </c>
      <c r="C34" s="59" t="s">
        <v>1051</v>
      </c>
      <c r="D34" s="59"/>
      <c r="E34" s="59"/>
      <c r="F34" s="59"/>
      <c r="G34" s="59"/>
      <c r="H34" s="59"/>
      <c r="I34" s="59"/>
      <c r="J34" s="425">
        <f>$J$8+$J$10</f>
        <v>1466.9135605191864</v>
      </c>
    </row>
    <row r="35" spans="1:10" x14ac:dyDescent="0.25">
      <c r="A35" s="58" t="s">
        <v>7</v>
      </c>
      <c r="B35" s="59" t="s">
        <v>1065</v>
      </c>
      <c r="C35" s="59" t="s">
        <v>1051</v>
      </c>
      <c r="D35" s="59"/>
      <c r="E35" s="59"/>
      <c r="F35" s="59"/>
      <c r="G35" s="59"/>
      <c r="H35" s="59"/>
      <c r="I35" s="59"/>
      <c r="J35" s="425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1052</v>
      </c>
      <c r="D36" s="59" t="s">
        <v>1053</v>
      </c>
      <c r="E36" s="59"/>
      <c r="F36" s="59"/>
      <c r="G36" s="59"/>
      <c r="H36" s="59"/>
      <c r="I36" s="59">
        <v>82</v>
      </c>
      <c r="J36" s="425">
        <f>I36*($J$9+$J$10)/100</f>
        <v>1818.8545155631043</v>
      </c>
    </row>
    <row r="37" spans="1:10" x14ac:dyDescent="0.25">
      <c r="A37" s="58" t="s">
        <v>1066</v>
      </c>
      <c r="B37" s="59" t="s">
        <v>1067</v>
      </c>
      <c r="C37" s="59" t="s">
        <v>1051</v>
      </c>
      <c r="D37" s="59"/>
      <c r="E37" s="59"/>
      <c r="F37" s="59"/>
      <c r="G37" s="59"/>
      <c r="H37" s="59"/>
      <c r="I37" s="59"/>
      <c r="J37" s="425">
        <f>$J$20+$J$10</f>
        <v>4476.328127818867</v>
      </c>
    </row>
    <row r="38" spans="1:10" x14ac:dyDescent="0.25">
      <c r="A38" s="58" t="s">
        <v>1066</v>
      </c>
      <c r="B38" s="59" t="s">
        <v>1068</v>
      </c>
      <c r="C38" s="59" t="s">
        <v>1051</v>
      </c>
      <c r="D38" s="59"/>
      <c r="E38" s="59"/>
      <c r="F38" s="59"/>
      <c r="G38" s="59"/>
      <c r="H38" s="59"/>
      <c r="I38" s="59"/>
      <c r="J38" s="425">
        <f>$J$18+$J$10</f>
        <v>5447.535808914794</v>
      </c>
    </row>
    <row r="39" spans="1:10" x14ac:dyDescent="0.25">
      <c r="A39" s="58" t="s">
        <v>9</v>
      </c>
      <c r="B39" s="59" t="s">
        <v>1069</v>
      </c>
      <c r="C39" s="59" t="s">
        <v>1051</v>
      </c>
      <c r="D39" s="59"/>
      <c r="E39" s="59"/>
      <c r="F39" s="59"/>
      <c r="G39" s="59"/>
      <c r="H39" s="59"/>
      <c r="I39" s="59"/>
      <c r="J39" s="425">
        <f>$J$11+$J$16</f>
        <v>1319.0392096603975</v>
      </c>
    </row>
    <row r="40" spans="1:10" x14ac:dyDescent="0.25">
      <c r="A40" s="58" t="s">
        <v>9</v>
      </c>
      <c r="B40" s="59" t="s">
        <v>1070</v>
      </c>
      <c r="C40" s="59" t="s">
        <v>1051</v>
      </c>
      <c r="D40" s="59"/>
      <c r="E40" s="59"/>
      <c r="F40" s="59"/>
      <c r="G40" s="59"/>
      <c r="H40" s="59"/>
      <c r="I40" s="59"/>
      <c r="J40" s="425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1052</v>
      </c>
      <c r="D41" s="59" t="s">
        <v>1053</v>
      </c>
      <c r="E41" s="59"/>
      <c r="F41" s="59"/>
      <c r="G41" s="59"/>
      <c r="H41" s="59"/>
      <c r="I41" s="59">
        <v>71</v>
      </c>
      <c r="J41" s="425">
        <f>I41*($J$9+$J$10)/100</f>
        <v>1574.8618366461026</v>
      </c>
    </row>
    <row r="42" spans="1:10" x14ac:dyDescent="0.25">
      <c r="A42" s="58" t="s">
        <v>9</v>
      </c>
      <c r="B42" s="59" t="s">
        <v>1071</v>
      </c>
      <c r="C42" s="59" t="s">
        <v>1055</v>
      </c>
      <c r="D42" s="59"/>
      <c r="E42" s="59">
        <v>2000</v>
      </c>
      <c r="F42" s="59" t="s">
        <v>652</v>
      </c>
      <c r="G42" s="59">
        <v>365.36</v>
      </c>
      <c r="H42" s="59">
        <v>5.914974034351558</v>
      </c>
      <c r="I42" s="59" t="s">
        <v>1039</v>
      </c>
      <c r="J42" s="425">
        <f t="shared" ref="J42:J48" si="2">G42*H42</f>
        <v>2161.0949131906855</v>
      </c>
    </row>
    <row r="43" spans="1:10" x14ac:dyDescent="0.25">
      <c r="A43" s="58" t="s">
        <v>9</v>
      </c>
      <c r="B43" s="59" t="s">
        <v>1072</v>
      </c>
      <c r="C43" s="59" t="s">
        <v>1055</v>
      </c>
      <c r="D43" s="59"/>
      <c r="E43" s="59">
        <v>2000</v>
      </c>
      <c r="F43" s="59" t="s">
        <v>652</v>
      </c>
      <c r="G43" s="59">
        <v>365.45</v>
      </c>
      <c r="H43" s="59">
        <v>5.914974034351558</v>
      </c>
      <c r="I43" s="59" t="s">
        <v>1039</v>
      </c>
      <c r="J43" s="425">
        <f t="shared" si="2"/>
        <v>2161.627260853777</v>
      </c>
    </row>
    <row r="44" spans="1:10" x14ac:dyDescent="0.25">
      <c r="A44" s="58"/>
      <c r="B44" s="59" t="s">
        <v>1073</v>
      </c>
      <c r="C44" s="59" t="s">
        <v>1055</v>
      </c>
      <c r="D44" s="59"/>
      <c r="E44" s="59">
        <v>2000</v>
      </c>
      <c r="F44" s="59" t="s">
        <v>652</v>
      </c>
      <c r="G44" s="59">
        <v>231.85</v>
      </c>
      <c r="H44" s="59">
        <v>5.914974034351558</v>
      </c>
      <c r="I44" s="59" t="s">
        <v>1039</v>
      </c>
      <c r="J44" s="425">
        <f t="shared" si="2"/>
        <v>1371.3867298644086</v>
      </c>
    </row>
    <row r="45" spans="1:10" x14ac:dyDescent="0.25">
      <c r="A45" s="58"/>
      <c r="B45" s="59" t="s">
        <v>1074</v>
      </c>
      <c r="C45" s="59" t="s">
        <v>1055</v>
      </c>
      <c r="D45" s="59"/>
      <c r="E45" s="59">
        <v>2000</v>
      </c>
      <c r="F45" s="59" t="s">
        <v>652</v>
      </c>
      <c r="G45" s="59">
        <v>232.7</v>
      </c>
      <c r="H45" s="59">
        <v>5.914974034351558</v>
      </c>
      <c r="I45" s="59" t="s">
        <v>1039</v>
      </c>
      <c r="J45" s="425">
        <f t="shared" si="2"/>
        <v>1376.4144577936074</v>
      </c>
    </row>
    <row r="46" spans="1:10" x14ac:dyDescent="0.25">
      <c r="A46" s="58"/>
      <c r="B46" s="59" t="s">
        <v>1075</v>
      </c>
      <c r="C46" s="59" t="s">
        <v>1055</v>
      </c>
      <c r="D46" s="59"/>
      <c r="E46" s="59">
        <v>2000</v>
      </c>
      <c r="F46" s="59" t="s">
        <v>652</v>
      </c>
      <c r="G46" s="59">
        <v>292.32</v>
      </c>
      <c r="H46" s="59">
        <v>5.914974034351558</v>
      </c>
      <c r="I46" s="59" t="s">
        <v>1039</v>
      </c>
      <c r="J46" s="425">
        <f t="shared" si="2"/>
        <v>1729.0652097216473</v>
      </c>
    </row>
    <row r="47" spans="1:10" x14ac:dyDescent="0.25">
      <c r="A47" s="58"/>
      <c r="B47" s="59" t="s">
        <v>1076</v>
      </c>
      <c r="C47" s="59" t="s">
        <v>1055</v>
      </c>
      <c r="D47" s="59"/>
      <c r="E47" s="59">
        <v>2000</v>
      </c>
      <c r="F47" s="59" t="s">
        <v>652</v>
      </c>
      <c r="G47" s="59">
        <v>347.59</v>
      </c>
      <c r="H47" s="59">
        <v>5.914974034351558</v>
      </c>
      <c r="I47" s="59" t="s">
        <v>1039</v>
      </c>
      <c r="J47" s="425">
        <f t="shared" si="2"/>
        <v>2055.9858246002577</v>
      </c>
    </row>
    <row r="48" spans="1:10" x14ac:dyDescent="0.25">
      <c r="A48" s="58"/>
      <c r="B48" s="59" t="s">
        <v>1077</v>
      </c>
      <c r="C48" s="59" t="s">
        <v>1055</v>
      </c>
      <c r="D48" s="59"/>
      <c r="E48" s="59">
        <v>2000</v>
      </c>
      <c r="F48" s="59" t="s">
        <v>652</v>
      </c>
      <c r="G48" s="59">
        <v>257.24</v>
      </c>
      <c r="H48" s="59">
        <v>5.914974034351558</v>
      </c>
      <c r="I48" s="59" t="s">
        <v>1039</v>
      </c>
      <c r="J48" s="425">
        <f t="shared" si="2"/>
        <v>1521.5679205965948</v>
      </c>
    </row>
    <row r="49" spans="1:10" x14ac:dyDescent="0.25">
      <c r="A49" s="58" t="s">
        <v>1078</v>
      </c>
      <c r="B49" s="59" t="s">
        <v>1079</v>
      </c>
      <c r="C49" s="59" t="s">
        <v>1052</v>
      </c>
      <c r="D49" s="59" t="s">
        <v>1038</v>
      </c>
      <c r="E49" s="59"/>
      <c r="F49" s="59"/>
      <c r="G49" s="59"/>
      <c r="H49" s="59"/>
      <c r="I49" s="59">
        <v>325</v>
      </c>
      <c r="J49" s="425">
        <f>I49*($J$9+$J$10)/100</f>
        <v>7208.8746043659621</v>
      </c>
    </row>
    <row r="50" spans="1:10" x14ac:dyDescent="0.25">
      <c r="A50" s="58" t="s">
        <v>8</v>
      </c>
      <c r="B50" s="59" t="s">
        <v>736</v>
      </c>
      <c r="C50" s="59" t="s">
        <v>1052</v>
      </c>
      <c r="D50" s="59" t="s">
        <v>1040</v>
      </c>
      <c r="E50" s="59"/>
      <c r="F50" s="59"/>
      <c r="G50" s="59"/>
      <c r="H50" s="59"/>
      <c r="I50" s="59">
        <v>45</v>
      </c>
      <c r="J50" s="425">
        <f>I50*($J$9+$J$10)/100</f>
        <v>998.15186829682557</v>
      </c>
    </row>
    <row r="51" spans="1:10" x14ac:dyDescent="0.25">
      <c r="A51" s="58" t="s">
        <v>8</v>
      </c>
      <c r="B51" s="59" t="s">
        <v>1080</v>
      </c>
      <c r="C51" s="59" t="s">
        <v>1052</v>
      </c>
      <c r="D51" s="59" t="s">
        <v>1040</v>
      </c>
      <c r="E51" s="59"/>
      <c r="F51" s="59"/>
      <c r="G51" s="59"/>
      <c r="H51" s="59"/>
      <c r="I51" s="59">
        <v>41</v>
      </c>
      <c r="J51" s="425">
        <f>I51*($J$9+$J$10)/100</f>
        <v>909.42725778155216</v>
      </c>
    </row>
    <row r="52" spans="1:10" x14ac:dyDescent="0.25">
      <c r="A52" s="58" t="s">
        <v>8</v>
      </c>
      <c r="B52" s="59" t="s">
        <v>1081</v>
      </c>
      <c r="C52" s="59" t="s">
        <v>1055</v>
      </c>
      <c r="D52" s="59"/>
      <c r="E52" s="59">
        <v>2000</v>
      </c>
      <c r="F52" s="59" t="s">
        <v>652</v>
      </c>
      <c r="G52" s="59">
        <v>173.68</v>
      </c>
      <c r="H52" s="59">
        <v>5.914974034351558</v>
      </c>
      <c r="I52" s="59" t="s">
        <v>1039</v>
      </c>
      <c r="J52" s="425">
        <f>G52*H52</f>
        <v>1027.3126902861786</v>
      </c>
    </row>
    <row r="53" spans="1:10" x14ac:dyDescent="0.25">
      <c r="A53" s="58"/>
      <c r="B53" s="59" t="s">
        <v>1082</v>
      </c>
      <c r="C53" s="59" t="s">
        <v>1055</v>
      </c>
      <c r="D53" s="59"/>
      <c r="E53" s="59">
        <v>2000</v>
      </c>
      <c r="F53" s="59" t="s">
        <v>652</v>
      </c>
      <c r="G53" s="59">
        <v>248.06</v>
      </c>
      <c r="H53" s="59">
        <v>5.914974034351558</v>
      </c>
      <c r="I53" s="59" t="s">
        <v>1039</v>
      </c>
      <c r="J53" s="425">
        <f>G53*H53</f>
        <v>1467.2684589612475</v>
      </c>
    </row>
    <row r="54" spans="1:10" x14ac:dyDescent="0.25">
      <c r="A54" s="58"/>
      <c r="B54" s="59" t="s">
        <v>1083</v>
      </c>
      <c r="C54" s="59" t="s">
        <v>1051</v>
      </c>
      <c r="D54" s="59"/>
      <c r="E54" s="59"/>
      <c r="F54" s="59"/>
      <c r="G54" s="59"/>
      <c r="H54" s="59"/>
      <c r="I54" s="59"/>
      <c r="J54" s="425">
        <f>$J$14+$J$16</f>
        <v>1052.8653781145774</v>
      </c>
    </row>
    <row r="55" spans="1:10" x14ac:dyDescent="0.25">
      <c r="A55" s="58"/>
      <c r="B55" s="59" t="s">
        <v>1084</v>
      </c>
      <c r="C55" s="59" t="s">
        <v>1051</v>
      </c>
      <c r="D55" s="59"/>
      <c r="E55" s="59"/>
      <c r="F55" s="59"/>
      <c r="G55" s="59"/>
      <c r="H55" s="59"/>
      <c r="I55" s="59"/>
      <c r="J55" s="425">
        <f>$J$13+$J$16</f>
        <v>1194.8247549390148</v>
      </c>
    </row>
    <row r="56" spans="1:10" x14ac:dyDescent="0.25">
      <c r="A56" s="58" t="s">
        <v>7</v>
      </c>
      <c r="B56" s="59" t="s">
        <v>1085</v>
      </c>
      <c r="C56" s="59" t="s">
        <v>1051</v>
      </c>
      <c r="D56" s="59"/>
      <c r="E56" s="59"/>
      <c r="F56" s="59"/>
      <c r="G56" s="59"/>
      <c r="H56" s="59"/>
      <c r="I56" s="59"/>
      <c r="J56" s="425">
        <f>$J$19+$J$10</f>
        <v>2533.9127656270111</v>
      </c>
    </row>
    <row r="57" spans="1:10" x14ac:dyDescent="0.25">
      <c r="A57" s="58" t="s">
        <v>7</v>
      </c>
      <c r="B57" s="59" t="s">
        <v>1086</v>
      </c>
      <c r="C57" s="59" t="s">
        <v>1052</v>
      </c>
      <c r="D57" s="59" t="s">
        <v>1053</v>
      </c>
      <c r="E57" s="59"/>
      <c r="F57" s="59"/>
      <c r="G57" s="59"/>
      <c r="H57" s="59"/>
      <c r="I57" s="59">
        <v>105</v>
      </c>
      <c r="J57" s="425">
        <f>I57*($J$9+$J$10)/100</f>
        <v>2329.0210260259259</v>
      </c>
    </row>
    <row r="58" spans="1:10" x14ac:dyDescent="0.25">
      <c r="A58" s="58"/>
      <c r="B58" s="59" t="s">
        <v>1087</v>
      </c>
      <c r="C58" s="59" t="s">
        <v>1055</v>
      </c>
      <c r="D58" s="59"/>
      <c r="E58" s="59">
        <v>2000</v>
      </c>
      <c r="F58" s="59" t="s">
        <v>652</v>
      </c>
      <c r="G58" s="59">
        <v>243.64</v>
      </c>
      <c r="H58" s="59">
        <v>5.914974034351558</v>
      </c>
      <c r="I58" s="59" t="s">
        <v>1039</v>
      </c>
      <c r="J58" s="425">
        <f t="shared" ref="J58:J63" si="3">G58*H58</f>
        <v>1441.1242737294135</v>
      </c>
    </row>
    <row r="59" spans="1:10" x14ac:dyDescent="0.25">
      <c r="A59" s="58"/>
      <c r="B59" s="59" t="s">
        <v>1088</v>
      </c>
      <c r="C59" s="59" t="s">
        <v>1055</v>
      </c>
      <c r="D59" s="59"/>
      <c r="E59" s="59">
        <v>2000</v>
      </c>
      <c r="F59" s="59" t="s">
        <v>652</v>
      </c>
      <c r="G59" s="59">
        <v>198.05</v>
      </c>
      <c r="H59" s="59">
        <v>5.914974034351558</v>
      </c>
      <c r="I59" s="59" t="s">
        <v>1039</v>
      </c>
      <c r="J59" s="425">
        <f t="shared" si="3"/>
        <v>1171.4606075033262</v>
      </c>
    </row>
    <row r="60" spans="1:10" x14ac:dyDescent="0.25">
      <c r="A60" s="58"/>
      <c r="B60" s="59" t="s">
        <v>1089</v>
      </c>
      <c r="C60" s="59" t="s">
        <v>1055</v>
      </c>
      <c r="D60" s="59"/>
      <c r="E60" s="59">
        <v>2000</v>
      </c>
      <c r="F60" s="59" t="s">
        <v>652</v>
      </c>
      <c r="G60" s="59">
        <v>243.63</v>
      </c>
      <c r="H60" s="59">
        <v>5.914974034351558</v>
      </c>
      <c r="I60" s="59" t="s">
        <v>1039</v>
      </c>
      <c r="J60" s="425">
        <f t="shared" si="3"/>
        <v>1441.0651239890701</v>
      </c>
    </row>
    <row r="61" spans="1:10" x14ac:dyDescent="0.25">
      <c r="A61" s="58"/>
      <c r="B61" s="59" t="s">
        <v>1090</v>
      </c>
      <c r="C61" s="59" t="s">
        <v>1055</v>
      </c>
      <c r="D61" s="59"/>
      <c r="E61" s="59">
        <v>2000</v>
      </c>
      <c r="F61" s="59" t="s">
        <v>652</v>
      </c>
      <c r="G61" s="59">
        <v>196.48</v>
      </c>
      <c r="H61" s="59">
        <v>5.914974034351558</v>
      </c>
      <c r="I61" s="59" t="s">
        <v>1039</v>
      </c>
      <c r="J61" s="425">
        <f t="shared" si="3"/>
        <v>1162.1740982693941</v>
      </c>
    </row>
    <row r="62" spans="1:10" x14ac:dyDescent="0.25">
      <c r="A62" s="58"/>
      <c r="B62" s="59" t="s">
        <v>1091</v>
      </c>
      <c r="C62" s="59" t="s">
        <v>1055</v>
      </c>
      <c r="D62" s="59"/>
      <c r="E62" s="59">
        <v>2000</v>
      </c>
      <c r="F62" s="59" t="s">
        <v>652</v>
      </c>
      <c r="G62" s="59">
        <v>187.71</v>
      </c>
      <c r="H62" s="59">
        <v>5.914974034351558</v>
      </c>
      <c r="I62" s="59" t="s">
        <v>1039</v>
      </c>
      <c r="J62" s="425">
        <f t="shared" si="3"/>
        <v>1110.2997759881309</v>
      </c>
    </row>
    <row r="63" spans="1:10" x14ac:dyDescent="0.25">
      <c r="A63" s="58" t="s">
        <v>8</v>
      </c>
      <c r="B63" s="59" t="s">
        <v>1092</v>
      </c>
      <c r="C63" s="59" t="s">
        <v>1055</v>
      </c>
      <c r="D63" s="59"/>
      <c r="E63" s="59">
        <v>2000</v>
      </c>
      <c r="F63" s="59" t="s">
        <v>652</v>
      </c>
      <c r="G63" s="59">
        <v>344.39</v>
      </c>
      <c r="H63" s="59">
        <v>5.914974034351558</v>
      </c>
      <c r="I63" s="59" t="s">
        <v>1039</v>
      </c>
      <c r="J63" s="425">
        <f t="shared" si="3"/>
        <v>2037.057907690333</v>
      </c>
    </row>
    <row r="64" spans="1:10" x14ac:dyDescent="0.25">
      <c r="I64" s="88"/>
    </row>
    <row r="65" spans="1:5" x14ac:dyDescent="0.25">
      <c r="A65" s="37" t="s">
        <v>1093</v>
      </c>
    </row>
    <row r="66" spans="1:5" x14ac:dyDescent="0.25">
      <c r="A66" s="37" t="s">
        <v>1094</v>
      </c>
    </row>
    <row r="67" spans="1:5" x14ac:dyDescent="0.25">
      <c r="A67" s="37" t="s">
        <v>1095</v>
      </c>
    </row>
    <row r="70" spans="1:5" x14ac:dyDescent="0.25">
      <c r="B70" s="511" t="s">
        <v>733</v>
      </c>
      <c r="C70" s="512" t="s">
        <v>734</v>
      </c>
    </row>
    <row r="71" spans="1:5" x14ac:dyDescent="0.25">
      <c r="B71" s="70"/>
      <c r="C71" s="431" t="s">
        <v>735</v>
      </c>
      <c r="D71" s="21" t="s">
        <v>1266</v>
      </c>
    </row>
    <row r="72" spans="1:5" x14ac:dyDescent="0.25">
      <c r="B72" s="58" t="s">
        <v>8</v>
      </c>
      <c r="C72" s="425">
        <f t="array" ref="C72">AVERAGE(IF($A$23:$A$63=B72,$J$23:$J$63))</f>
        <v>1384.2074360838658</v>
      </c>
      <c r="D72" s="47">
        <f>C72*$G$85</f>
        <v>2530.0543516740895</v>
      </c>
    </row>
    <row r="73" spans="1:5" x14ac:dyDescent="0.25">
      <c r="B73" s="58" t="s">
        <v>9</v>
      </c>
      <c r="C73" s="425">
        <f t="array" ref="C73">AVERAGE(IF($A$23:$A$63=B73,$J$23:$J$63))</f>
        <v>1878.2763447122002</v>
      </c>
      <c r="D73" s="47">
        <f t="shared" ref="D73:D75" si="4">C73*$G$85</f>
        <v>3433.1135028649592</v>
      </c>
      <c r="E73" s="21" t="s">
        <v>1096</v>
      </c>
    </row>
    <row r="74" spans="1:5" x14ac:dyDescent="0.25">
      <c r="B74" s="58" t="s">
        <v>7</v>
      </c>
      <c r="C74" s="425">
        <f t="array" ref="C74">AVERAGE(IF($A$23:$A$63=B74,$J$23:$J$63))</f>
        <v>2261.1181094751337</v>
      </c>
      <c r="D74" s="47">
        <f t="shared" si="4"/>
        <v>4132.8716804986489</v>
      </c>
    </row>
    <row r="75" spans="1:5" x14ac:dyDescent="0.25">
      <c r="B75" s="58" t="s">
        <v>9</v>
      </c>
      <c r="C75" s="425">
        <f>C73*1.2</f>
        <v>2253.9316136546399</v>
      </c>
      <c r="D75" s="47">
        <f t="shared" si="4"/>
        <v>4119.7362034379503</v>
      </c>
      <c r="E75" s="21" t="s">
        <v>1097</v>
      </c>
    </row>
    <row r="83" spans="2:8" x14ac:dyDescent="0.25">
      <c r="B83" s="585" t="s">
        <v>1162</v>
      </c>
      <c r="C83" s="585"/>
      <c r="D83" s="585"/>
      <c r="G83">
        <v>1.3</v>
      </c>
      <c r="H83" t="s">
        <v>1098</v>
      </c>
    </row>
    <row r="84" spans="2:8" x14ac:dyDescent="0.25">
      <c r="B84" s="585" t="s">
        <v>1142</v>
      </c>
      <c r="C84" s="585" t="s">
        <v>1244</v>
      </c>
      <c r="D84" s="585">
        <v>2017</v>
      </c>
      <c r="G84">
        <v>1.4059999999999999</v>
      </c>
      <c r="H84" t="s">
        <v>1189</v>
      </c>
    </row>
    <row r="85" spans="2:8" x14ac:dyDescent="0.25">
      <c r="B85" s="287" t="s">
        <v>515</v>
      </c>
      <c r="C85" s="21" t="s">
        <v>978</v>
      </c>
      <c r="D85" s="88">
        <f>D74</f>
        <v>4132.8716804986489</v>
      </c>
      <c r="G85">
        <f>G83*G84</f>
        <v>1.8277999999999999</v>
      </c>
      <c r="H85"/>
    </row>
    <row r="86" spans="2:8" x14ac:dyDescent="0.25">
      <c r="B86" t="s">
        <v>517</v>
      </c>
      <c r="C86" s="21" t="s">
        <v>978</v>
      </c>
      <c r="D86" s="88">
        <f>D73</f>
        <v>3433.1135028649592</v>
      </c>
    </row>
    <row r="87" spans="2:8" x14ac:dyDescent="0.25">
      <c r="B87" t="s">
        <v>518</v>
      </c>
      <c r="C87" s="21" t="s">
        <v>978</v>
      </c>
      <c r="D87" s="88">
        <f>D72</f>
        <v>2530.0543516740895</v>
      </c>
    </row>
    <row r="89" spans="2:8" x14ac:dyDescent="0.25">
      <c r="B89" s="287"/>
      <c r="D89" s="88"/>
    </row>
  </sheetData>
  <pageMargins left="0.75" right="0.75" top="1" bottom="1" header="0.5" footer="0.5"/>
  <pageSetup paperSize="9"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24"/>
  <sheetViews>
    <sheetView workbookViewId="0">
      <selection activeCell="AA37" sqref="AA37"/>
    </sheetView>
  </sheetViews>
  <sheetFormatPr defaultRowHeight="15" x14ac:dyDescent="0.25"/>
  <sheetData>
    <row r="4" spans="1:3" x14ac:dyDescent="0.25">
      <c r="B4" s="118" t="s">
        <v>569</v>
      </c>
    </row>
    <row r="5" spans="1:3" x14ac:dyDescent="0.25">
      <c r="B5" t="s">
        <v>570</v>
      </c>
      <c r="C5" t="s">
        <v>571</v>
      </c>
    </row>
    <row r="7" spans="1:3" x14ac:dyDescent="0.25">
      <c r="A7" s="18" t="s">
        <v>6</v>
      </c>
    </row>
    <row r="8" spans="1:3" x14ac:dyDescent="0.25">
      <c r="B8" t="s">
        <v>587</v>
      </c>
    </row>
    <row r="9" spans="1:3" x14ac:dyDescent="0.25">
      <c r="B9">
        <v>280</v>
      </c>
      <c r="C9" t="s">
        <v>586</v>
      </c>
    </row>
    <row r="10" spans="1:3" x14ac:dyDescent="0.25">
      <c r="B10">
        <v>120</v>
      </c>
      <c r="C10" t="s">
        <v>588</v>
      </c>
    </row>
    <row r="11" spans="1:3" x14ac:dyDescent="0.25">
      <c r="B11">
        <v>500</v>
      </c>
      <c r="C11" t="s">
        <v>589</v>
      </c>
    </row>
    <row r="12" spans="1:3" x14ac:dyDescent="0.25">
      <c r="B12" t="s">
        <v>196</v>
      </c>
      <c r="C12" t="s">
        <v>590</v>
      </c>
    </row>
    <row r="17" spans="2:3" x14ac:dyDescent="0.25">
      <c r="B17" s="18" t="s">
        <v>1233</v>
      </c>
    </row>
    <row r="18" spans="2:3" x14ac:dyDescent="0.25">
      <c r="B18" t="s">
        <v>1280</v>
      </c>
    </row>
    <row r="19" spans="2:3" x14ac:dyDescent="0.25">
      <c r="B19" t="s">
        <v>1232</v>
      </c>
    </row>
    <row r="20" spans="2:3" x14ac:dyDescent="0.25">
      <c r="B20" t="s">
        <v>1234</v>
      </c>
    </row>
    <row r="21" spans="2:3" x14ac:dyDescent="0.25">
      <c r="B21" s="18" t="s">
        <v>1236</v>
      </c>
      <c r="C21" s="18"/>
    </row>
    <row r="22" spans="2:3" x14ac:dyDescent="0.25">
      <c r="B22" s="18">
        <v>2</v>
      </c>
      <c r="C22" s="18" t="s">
        <v>1235</v>
      </c>
    </row>
    <row r="23" spans="2:3" x14ac:dyDescent="0.25">
      <c r="B23" s="18">
        <f>B22*1000</f>
        <v>2000</v>
      </c>
      <c r="C23" s="18" t="s">
        <v>465</v>
      </c>
    </row>
    <row r="24" spans="2:3" x14ac:dyDescent="0.25">
      <c r="B24" s="18">
        <f>B23</f>
        <v>2000</v>
      </c>
      <c r="C24" s="18" t="s">
        <v>898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18"/>
  <sheetViews>
    <sheetView topLeftCell="A116" zoomScale="85" zoomScaleNormal="85"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41</v>
      </c>
      <c r="C1" s="20"/>
    </row>
    <row r="2" spans="2:11" ht="16.5" thickTop="1" x14ac:dyDescent="0.25"/>
    <row r="3" spans="2:11" ht="18" thickBot="1" x14ac:dyDescent="0.35">
      <c r="B3" s="22" t="s">
        <v>42</v>
      </c>
      <c r="C3" s="22"/>
    </row>
    <row r="4" spans="2:11" ht="16.5" thickTop="1" x14ac:dyDescent="0.25">
      <c r="B4" s="23" t="s">
        <v>43</v>
      </c>
      <c r="C4" s="24"/>
      <c r="D4" s="24" t="s">
        <v>7</v>
      </c>
      <c r="E4" s="24" t="s">
        <v>44</v>
      </c>
      <c r="F4" s="24" t="s">
        <v>45</v>
      </c>
      <c r="G4" s="24" t="s">
        <v>8</v>
      </c>
      <c r="H4" s="24" t="s">
        <v>46</v>
      </c>
      <c r="I4" s="24" t="s">
        <v>10</v>
      </c>
      <c r="J4" s="25" t="s">
        <v>3</v>
      </c>
    </row>
    <row r="5" spans="2:11" x14ac:dyDescent="0.25">
      <c r="B5" s="26" t="s">
        <v>47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48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49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50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51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52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53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54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55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56</v>
      </c>
      <c r="C15" s="22"/>
    </row>
    <row r="16" spans="2:11" ht="16.5" thickTop="1" x14ac:dyDescent="0.25">
      <c r="B16" s="23" t="s">
        <v>43</v>
      </c>
      <c r="C16" s="24"/>
      <c r="D16" s="24" t="s">
        <v>7</v>
      </c>
      <c r="E16" s="24" t="s">
        <v>44</v>
      </c>
      <c r="F16" s="24" t="s">
        <v>45</v>
      </c>
      <c r="G16" s="24" t="s">
        <v>8</v>
      </c>
      <c r="H16" s="24" t="s">
        <v>46</v>
      </c>
      <c r="I16" s="24" t="s">
        <v>10</v>
      </c>
      <c r="J16" s="25" t="s">
        <v>3</v>
      </c>
    </row>
    <row r="17" spans="2:14" x14ac:dyDescent="0.25">
      <c r="B17" s="26" t="s">
        <v>47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48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49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50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51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52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53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54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55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57</v>
      </c>
      <c r="C29" s="22"/>
      <c r="M29" s="37" t="s">
        <v>58</v>
      </c>
    </row>
    <row r="30" spans="2:14" ht="16.5" thickTop="1" x14ac:dyDescent="0.25">
      <c r="B30" s="23" t="s">
        <v>43</v>
      </c>
      <c r="C30" s="24"/>
      <c r="D30" s="24" t="s">
        <v>7</v>
      </c>
      <c r="E30" s="24" t="s">
        <v>44</v>
      </c>
      <c r="F30" s="24" t="s">
        <v>45</v>
      </c>
      <c r="G30" s="24" t="s">
        <v>8</v>
      </c>
      <c r="H30" s="24" t="s">
        <v>46</v>
      </c>
      <c r="I30" s="24" t="s">
        <v>10</v>
      </c>
      <c r="J30" s="25" t="s">
        <v>3</v>
      </c>
      <c r="M30" s="23" t="s">
        <v>59</v>
      </c>
      <c r="N30" s="25" t="s">
        <v>60</v>
      </c>
    </row>
    <row r="31" spans="2:14" x14ac:dyDescent="0.25">
      <c r="B31" s="26" t="s">
        <v>47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48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49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50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51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52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53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54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61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55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62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63</v>
      </c>
      <c r="N41" s="48">
        <f>[8]Production!AO22</f>
        <v>0.18573780613294916</v>
      </c>
    </row>
    <row r="42" spans="2:15" ht="16.5" thickTop="1" x14ac:dyDescent="0.25">
      <c r="B42" s="21" t="s">
        <v>64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65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66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67</v>
      </c>
      <c r="C48" s="22"/>
    </row>
    <row r="49" spans="2:21" ht="16.5" thickTop="1" x14ac:dyDescent="0.25">
      <c r="B49" s="23" t="s">
        <v>68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46</v>
      </c>
      <c r="I49" s="24" t="str">
        <f>I30</f>
        <v>Other-EAF</v>
      </c>
      <c r="J49" s="25" t="s">
        <v>3</v>
      </c>
      <c r="M49" s="23" t="s">
        <v>69</v>
      </c>
      <c r="N49" s="23" t="s">
        <v>70</v>
      </c>
      <c r="O49" s="23" t="s">
        <v>71</v>
      </c>
      <c r="P49" s="23" t="s">
        <v>72</v>
      </c>
      <c r="Q49" s="23" t="s">
        <v>73</v>
      </c>
      <c r="R49" s="23" t="s">
        <v>74</v>
      </c>
      <c r="S49" s="51" t="s">
        <v>75</v>
      </c>
      <c r="T49" s="51" t="s">
        <v>18</v>
      </c>
      <c r="U49" s="25" t="s">
        <v>3</v>
      </c>
    </row>
    <row r="50" spans="2:21" x14ac:dyDescent="0.25">
      <c r="B50" s="26" t="s">
        <v>76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76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77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77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78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78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79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79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80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80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81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81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82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82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83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84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85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86</v>
      </c>
      <c r="C62" s="22"/>
      <c r="K62" s="32"/>
      <c r="M62" s="50"/>
    </row>
    <row r="63" spans="2:21" ht="16.5" thickTop="1" x14ac:dyDescent="0.25">
      <c r="B63" s="23" t="s">
        <v>87</v>
      </c>
      <c r="C63" s="24"/>
      <c r="D63" s="24" t="s">
        <v>7</v>
      </c>
      <c r="E63" s="24" t="s">
        <v>44</v>
      </c>
      <c r="F63" s="24" t="s">
        <v>45</v>
      </c>
      <c r="G63" s="24" t="s">
        <v>8</v>
      </c>
      <c r="H63" s="24" t="s">
        <v>46</v>
      </c>
      <c r="I63" s="24" t="s">
        <v>10</v>
      </c>
      <c r="K63" s="32"/>
      <c r="M63" s="50"/>
    </row>
    <row r="64" spans="2:21" x14ac:dyDescent="0.25">
      <c r="B64" s="26" t="s">
        <v>88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89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90</v>
      </c>
      <c r="C67" s="24"/>
      <c r="D67" s="24" t="s">
        <v>7</v>
      </c>
      <c r="E67" s="24" t="s">
        <v>44</v>
      </c>
      <c r="F67" s="24" t="s">
        <v>45</v>
      </c>
      <c r="G67" s="24" t="s">
        <v>8</v>
      </c>
      <c r="H67" s="24" t="s">
        <v>46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91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92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93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94</v>
      </c>
      <c r="C72" s="24"/>
      <c r="D72" s="24" t="s">
        <v>7</v>
      </c>
      <c r="E72" s="24" t="s">
        <v>44</v>
      </c>
      <c r="F72" s="24" t="s">
        <v>45</v>
      </c>
      <c r="G72" s="24" t="s">
        <v>8</v>
      </c>
      <c r="H72" s="24" t="s">
        <v>46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95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96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97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98</v>
      </c>
      <c r="C79" s="24"/>
      <c r="D79" s="24" t="s">
        <v>27</v>
      </c>
      <c r="E79" s="24" t="s">
        <v>99</v>
      </c>
      <c r="F79" s="24" t="s">
        <v>100</v>
      </c>
      <c r="G79" s="24" t="s">
        <v>46</v>
      </c>
      <c r="H79" s="24" t="s">
        <v>101</v>
      </c>
      <c r="I79" s="25" t="s">
        <v>3</v>
      </c>
      <c r="J79" s="32"/>
      <c r="L79" s="50"/>
    </row>
    <row r="80" spans="2:13" x14ac:dyDescent="0.25">
      <c r="B80" s="26" t="s">
        <v>76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102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78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79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80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81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82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103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104</v>
      </c>
      <c r="C90" s="24"/>
      <c r="D90" s="24" t="s">
        <v>7</v>
      </c>
      <c r="E90" s="24" t="s">
        <v>44</v>
      </c>
      <c r="F90" s="24" t="s">
        <v>45</v>
      </c>
      <c r="G90" s="24" t="s">
        <v>8</v>
      </c>
      <c r="H90" s="24" t="s">
        <v>46</v>
      </c>
      <c r="I90" s="24" t="s">
        <v>10</v>
      </c>
    </row>
    <row r="91" spans="2:13" x14ac:dyDescent="0.25">
      <c r="B91" s="58" t="s">
        <v>105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106</v>
      </c>
      <c r="C93" s="24"/>
      <c r="D93" s="24" t="s">
        <v>7</v>
      </c>
      <c r="E93" s="24" t="s">
        <v>44</v>
      </c>
      <c r="F93" s="24" t="s">
        <v>45</v>
      </c>
      <c r="G93" s="24" t="s">
        <v>8</v>
      </c>
      <c r="H93" s="24" t="s">
        <v>46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107</v>
      </c>
      <c r="C103" s="22"/>
    </row>
    <row r="104" spans="2:10" ht="16.5" thickTop="1" x14ac:dyDescent="0.25">
      <c r="B104" s="37" t="s">
        <v>108</v>
      </c>
    </row>
    <row r="105" spans="2:10" x14ac:dyDescent="0.25">
      <c r="C105" s="24"/>
      <c r="D105" s="24" t="str">
        <f>D49</f>
        <v>BF-BOF</v>
      </c>
      <c r="E105" s="24" t="s">
        <v>44</v>
      </c>
      <c r="F105" s="24" t="s">
        <v>45</v>
      </c>
      <c r="G105" s="24" t="str">
        <f>G49</f>
        <v>Scrap-EAF</v>
      </c>
      <c r="H105" s="24" t="s">
        <v>46</v>
      </c>
      <c r="I105" s="24" t="str">
        <f>I49</f>
        <v>Other-EAF</v>
      </c>
      <c r="J105" s="25" t="s">
        <v>3</v>
      </c>
    </row>
    <row r="106" spans="2:10" x14ac:dyDescent="0.25">
      <c r="B106" s="23" t="s">
        <v>87</v>
      </c>
      <c r="C106" s="26" t="s">
        <v>88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89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90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91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92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93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94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95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96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109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110</v>
      </c>
      <c r="C118" s="26" t="s">
        <v>76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77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78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79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80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81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82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111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112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113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114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115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116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117</v>
      </c>
    </row>
    <row r="135" spans="2:12" ht="18" thickBot="1" x14ac:dyDescent="0.35">
      <c r="B135" s="22" t="s">
        <v>118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45</v>
      </c>
    </row>
    <row r="137" spans="2:12" x14ac:dyDescent="0.25">
      <c r="B137" s="80" t="s">
        <v>119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120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121</v>
      </c>
    </row>
    <row r="142" spans="2:12" ht="16.5" thickTop="1" x14ac:dyDescent="0.25"/>
    <row r="144" spans="2:12" x14ac:dyDescent="0.25">
      <c r="C144" s="80" t="s">
        <v>122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123</v>
      </c>
    </row>
    <row r="145" spans="2:16" x14ac:dyDescent="0.25">
      <c r="C145" s="58" t="s">
        <v>124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125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126</v>
      </c>
      <c r="O146" s="84" t="s">
        <v>127</v>
      </c>
      <c r="P146" s="21" t="s">
        <v>128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129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130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130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131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131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132</v>
      </c>
    </row>
    <row r="153" spans="2:16" x14ac:dyDescent="0.25">
      <c r="C153" s="37" t="s">
        <v>133</v>
      </c>
    </row>
    <row r="154" spans="2:16" x14ac:dyDescent="0.25">
      <c r="C154" s="37" t="s">
        <v>134</v>
      </c>
    </row>
    <row r="155" spans="2:16" x14ac:dyDescent="0.25">
      <c r="C155" s="87" t="s">
        <v>135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136</v>
      </c>
      <c r="I157" s="24" t="s">
        <v>10</v>
      </c>
      <c r="J157" s="25" t="s">
        <v>3</v>
      </c>
    </row>
    <row r="158" spans="2:16" x14ac:dyDescent="0.25">
      <c r="B158" s="23" t="s">
        <v>137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130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138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139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130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138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140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140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140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130</v>
      </c>
      <c r="D177" s="21" t="s">
        <v>140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131</v>
      </c>
      <c r="D178" s="21" t="s">
        <v>140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490</v>
      </c>
    </row>
    <row r="183" spans="2:10" x14ac:dyDescent="0.25">
      <c r="B183" s="359"/>
      <c r="C183" s="360"/>
      <c r="D183" s="360"/>
      <c r="E183" s="360"/>
      <c r="F183" s="360"/>
      <c r="G183" s="360"/>
      <c r="H183" s="360"/>
      <c r="I183" s="360"/>
      <c r="J183" s="361"/>
    </row>
    <row r="184" spans="2:10" x14ac:dyDescent="0.25">
      <c r="B184" s="338" t="s">
        <v>491</v>
      </c>
      <c r="J184" s="362"/>
    </row>
    <row r="185" spans="2:10" x14ac:dyDescent="0.25">
      <c r="B185" s="338"/>
      <c r="C185" s="26" t="s">
        <v>13</v>
      </c>
      <c r="D185" s="363">
        <f>D146*D$130</f>
        <v>4.3302170790299686</v>
      </c>
      <c r="E185" s="363">
        <f t="shared" ref="E185:J185" si="30">E146*E$130</f>
        <v>20.596584135938251</v>
      </c>
      <c r="F185" s="363">
        <f t="shared" si="30"/>
        <v>0</v>
      </c>
      <c r="G185" s="363">
        <f t="shared" si="30"/>
        <v>0</v>
      </c>
      <c r="H185" s="363">
        <f t="shared" si="30"/>
        <v>11.88</v>
      </c>
      <c r="I185" s="363">
        <f t="shared" si="30"/>
        <v>20.61</v>
      </c>
      <c r="J185" s="364">
        <f t="shared" si="30"/>
        <v>5.9756182459967411</v>
      </c>
    </row>
    <row r="186" spans="2:10" x14ac:dyDescent="0.25">
      <c r="B186" s="338"/>
      <c r="C186" s="26" t="s">
        <v>11</v>
      </c>
      <c r="D186" s="363">
        <f t="shared" ref="D186:J186" si="31">D147*D$130</f>
        <v>8.8757836125478331</v>
      </c>
      <c r="E186" s="363">
        <f t="shared" si="31"/>
        <v>0</v>
      </c>
      <c r="F186" s="363">
        <f t="shared" si="31"/>
        <v>0</v>
      </c>
      <c r="G186" s="363">
        <f t="shared" si="31"/>
        <v>0</v>
      </c>
      <c r="H186" s="363">
        <f t="shared" si="31"/>
        <v>4.5900000000000007</v>
      </c>
      <c r="I186" s="363">
        <f t="shared" si="31"/>
        <v>0</v>
      </c>
      <c r="J186" s="364">
        <f t="shared" si="31"/>
        <v>4.4861323109367142</v>
      </c>
    </row>
    <row r="187" spans="2:10" x14ac:dyDescent="0.25">
      <c r="B187" s="338"/>
      <c r="C187" s="26" t="s">
        <v>14</v>
      </c>
      <c r="D187" s="363">
        <f t="shared" ref="D187:J187" si="32">D148*D$130</f>
        <v>5.8326578025314344</v>
      </c>
      <c r="E187" s="363">
        <f t="shared" si="32"/>
        <v>14.230367221193701</v>
      </c>
      <c r="F187" s="363">
        <f>F148*F$130</f>
        <v>0</v>
      </c>
      <c r="G187" s="363">
        <f t="shared" si="32"/>
        <v>7.5</v>
      </c>
      <c r="H187" s="363">
        <f t="shared" si="32"/>
        <v>8.9909999999999997</v>
      </c>
      <c r="I187" s="363">
        <f t="shared" si="32"/>
        <v>20.61</v>
      </c>
      <c r="J187" s="364">
        <f t="shared" si="32"/>
        <v>9.4561456232640211</v>
      </c>
    </row>
    <row r="188" spans="2:10" x14ac:dyDescent="0.25">
      <c r="B188" s="338"/>
      <c r="C188" s="26" t="s">
        <v>130</v>
      </c>
      <c r="D188" s="363">
        <f t="shared" ref="D188:J188" si="33">D149*D$130</f>
        <v>6.2130485287834842</v>
      </c>
      <c r="E188" s="363">
        <f t="shared" si="33"/>
        <v>2.2380324578113369</v>
      </c>
      <c r="F188" s="363">
        <f t="shared" si="33"/>
        <v>0</v>
      </c>
      <c r="G188" s="363">
        <f t="shared" si="33"/>
        <v>2.5</v>
      </c>
      <c r="H188" s="363">
        <f t="shared" si="33"/>
        <v>1.5390000000000001</v>
      </c>
      <c r="I188" s="363">
        <f t="shared" si="33"/>
        <v>3.4349999999999996</v>
      </c>
      <c r="J188" s="364">
        <f t="shared" si="33"/>
        <v>4.546123514757161</v>
      </c>
    </row>
    <row r="189" spans="2:10" x14ac:dyDescent="0.25">
      <c r="B189" s="365"/>
      <c r="C189" s="366" t="s">
        <v>138</v>
      </c>
      <c r="D189" s="367">
        <f t="shared" ref="D189:J189" si="34">D150*D$130</f>
        <v>0.12679690875068336</v>
      </c>
      <c r="E189" s="367">
        <f t="shared" si="34"/>
        <v>0.37448334792615001</v>
      </c>
      <c r="F189" s="367">
        <f t="shared" si="34"/>
        <v>0</v>
      </c>
      <c r="G189" s="367">
        <f t="shared" si="34"/>
        <v>0</v>
      </c>
      <c r="H189" s="367">
        <f t="shared" si="34"/>
        <v>0</v>
      </c>
      <c r="I189" s="367">
        <f t="shared" si="34"/>
        <v>1.145</v>
      </c>
      <c r="J189" s="368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141</v>
      </c>
    </row>
    <row r="195" spans="2:11" x14ac:dyDescent="0.25">
      <c r="C195" s="21" t="s">
        <v>142</v>
      </c>
      <c r="D195" s="21" t="s">
        <v>143</v>
      </c>
      <c r="G195" s="21" t="s">
        <v>144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145</v>
      </c>
      <c r="D196" s="21">
        <v>27.8</v>
      </c>
      <c r="E196" s="21" t="s">
        <v>146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145</v>
      </c>
      <c r="D197" s="21">
        <v>28.2</v>
      </c>
      <c r="E197" s="21" t="s">
        <v>146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147</v>
      </c>
      <c r="D198" s="21">
        <v>3.6</v>
      </c>
      <c r="E198" s="21" t="s">
        <v>148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130</v>
      </c>
      <c r="C199" s="21" t="s">
        <v>149</v>
      </c>
      <c r="D199" s="21">
        <v>1</v>
      </c>
      <c r="E199" s="21" t="s">
        <v>150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151</v>
      </c>
      <c r="C200" s="21" t="s">
        <v>149</v>
      </c>
      <c r="D200" s="21">
        <v>1</v>
      </c>
      <c r="E200" s="21" t="s">
        <v>150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152</v>
      </c>
      <c r="C201" s="21" t="s">
        <v>153</v>
      </c>
      <c r="D201" s="21">
        <v>41.716000000000001</v>
      </c>
      <c r="E201" s="21" t="s">
        <v>154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123</v>
      </c>
      <c r="I203" s="21" t="s">
        <v>0</v>
      </c>
      <c r="J203" s="21" t="s">
        <v>155</v>
      </c>
      <c r="K203" s="21" t="s">
        <v>156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130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151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152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130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151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152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topLeftCell="A22" workbookViewId="0">
      <selection activeCell="I40" sqref="I40"/>
    </sheetView>
  </sheetViews>
  <sheetFormatPr defaultRowHeight="15" x14ac:dyDescent="0.25"/>
  <sheetData>
    <row r="2" spans="3:25" x14ac:dyDescent="0.25">
      <c r="C2" t="s">
        <v>492</v>
      </c>
      <c r="M2" t="s">
        <v>492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636</v>
      </c>
    </row>
    <row r="5" spans="3:25" x14ac:dyDescent="0.25">
      <c r="C5" s="4" t="s">
        <v>389</v>
      </c>
      <c r="D5">
        <v>2.33</v>
      </c>
      <c r="E5">
        <v>2.34</v>
      </c>
      <c r="F5">
        <v>2.3199999999999998</v>
      </c>
      <c r="G5" t="s">
        <v>393</v>
      </c>
      <c r="I5" s="5"/>
      <c r="M5" s="6" t="s">
        <v>411</v>
      </c>
      <c r="V5" s="5"/>
      <c r="Y5" s="118" t="s">
        <v>637</v>
      </c>
    </row>
    <row r="6" spans="3:25" x14ac:dyDescent="0.25">
      <c r="C6" s="4" t="s">
        <v>389</v>
      </c>
      <c r="D6">
        <v>2.91</v>
      </c>
      <c r="E6">
        <v>3.01</v>
      </c>
      <c r="F6">
        <v>3</v>
      </c>
      <c r="G6" t="s">
        <v>391</v>
      </c>
      <c r="I6" s="5"/>
      <c r="M6" s="4"/>
      <c r="O6" t="s">
        <v>933</v>
      </c>
      <c r="V6" s="5"/>
    </row>
    <row r="7" spans="3:25" x14ac:dyDescent="0.25">
      <c r="C7" s="4" t="s">
        <v>390</v>
      </c>
      <c r="D7">
        <v>14.84</v>
      </c>
      <c r="E7">
        <v>14.71</v>
      </c>
      <c r="F7">
        <v>14.3</v>
      </c>
      <c r="G7" t="s">
        <v>396</v>
      </c>
      <c r="I7" s="5"/>
      <c r="M7" s="4" t="s">
        <v>934</v>
      </c>
      <c r="O7">
        <v>4493</v>
      </c>
      <c r="Q7" t="s">
        <v>935</v>
      </c>
      <c r="V7" s="5"/>
    </row>
    <row r="8" spans="3:25" x14ac:dyDescent="0.25">
      <c r="C8" s="4"/>
      <c r="I8" s="5"/>
      <c r="M8" s="4"/>
      <c r="O8" t="s">
        <v>410</v>
      </c>
      <c r="V8" s="5"/>
    </row>
    <row r="9" spans="3:25" x14ac:dyDescent="0.25">
      <c r="C9" s="4" t="s">
        <v>395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392</v>
      </c>
      <c r="I9" s="5"/>
      <c r="M9" s="4" t="s">
        <v>936</v>
      </c>
      <c r="O9">
        <v>3098</v>
      </c>
      <c r="P9" t="s">
        <v>937</v>
      </c>
      <c r="Q9" t="s">
        <v>938</v>
      </c>
      <c r="V9" s="5"/>
    </row>
    <row r="10" spans="3:25" x14ac:dyDescent="0.25">
      <c r="C10" s="4"/>
      <c r="D10" s="268"/>
      <c r="E10" s="268"/>
      <c r="F10" s="268"/>
      <c r="I10" s="5"/>
      <c r="M10" s="4" t="s">
        <v>939</v>
      </c>
      <c r="O10">
        <v>1393</v>
      </c>
      <c r="P10" t="s">
        <v>937</v>
      </c>
      <c r="Q10" t="s">
        <v>938</v>
      </c>
      <c r="V10" s="5"/>
    </row>
    <row r="11" spans="3:25" x14ac:dyDescent="0.25">
      <c r="C11" s="4"/>
      <c r="D11" s="326">
        <f>D9*D5</f>
        <v>11.882199312714777</v>
      </c>
      <c r="E11" s="326">
        <f>E9*E5</f>
        <v>11.435681063122924</v>
      </c>
      <c r="F11" s="326">
        <f>F9*F5</f>
        <v>11.058666666666666</v>
      </c>
      <c r="G11" t="s">
        <v>394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940</v>
      </c>
      <c r="N13" s="18"/>
      <c r="O13" s="476">
        <f>O7*1000000/(O9*1000)</f>
        <v>1450.2905100064559</v>
      </c>
      <c r="P13" s="18" t="s">
        <v>941</v>
      </c>
      <c r="Q13" s="18" t="s">
        <v>942</v>
      </c>
      <c r="V13" s="5"/>
    </row>
    <row r="14" spans="3:25" x14ac:dyDescent="0.25">
      <c r="M14" s="4"/>
      <c r="V14" s="5"/>
    </row>
    <row r="15" spans="3:25" x14ac:dyDescent="0.25">
      <c r="C15" t="s">
        <v>493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495</v>
      </c>
      <c r="I17" s="5"/>
      <c r="M17" s="4"/>
      <c r="V17" s="5"/>
    </row>
    <row r="18" spans="3:22" x14ac:dyDescent="0.25">
      <c r="C18" s="4">
        <v>2017</v>
      </c>
      <c r="D18" s="356">
        <v>7581</v>
      </c>
      <c r="E18" t="s">
        <v>494</v>
      </c>
      <c r="I18" s="5"/>
      <c r="M18" s="4" t="s">
        <v>943</v>
      </c>
      <c r="V18" s="5"/>
    </row>
    <row r="19" spans="3:22" x14ac:dyDescent="0.25">
      <c r="C19" s="4">
        <v>2016</v>
      </c>
      <c r="D19" s="356">
        <v>6544</v>
      </c>
      <c r="E19" t="s">
        <v>494</v>
      </c>
      <c r="I19" s="5"/>
      <c r="M19" s="4"/>
      <c r="V19" s="5"/>
    </row>
    <row r="20" spans="3:22" x14ac:dyDescent="0.25">
      <c r="C20" s="4"/>
      <c r="I20" s="5"/>
      <c r="M20" s="4" t="s">
        <v>944</v>
      </c>
      <c r="P20">
        <v>16</v>
      </c>
      <c r="V20" s="5"/>
    </row>
    <row r="21" spans="3:22" x14ac:dyDescent="0.25">
      <c r="C21" s="4"/>
      <c r="I21" s="5"/>
      <c r="M21" s="117"/>
      <c r="N21" s="117" t="s">
        <v>941</v>
      </c>
      <c r="P21" t="s">
        <v>945</v>
      </c>
      <c r="V21" s="5"/>
    </row>
    <row r="22" spans="3:22" x14ac:dyDescent="0.25">
      <c r="C22" s="4" t="s">
        <v>496</v>
      </c>
      <c r="I22" s="5"/>
      <c r="M22" s="117" t="s">
        <v>946</v>
      </c>
      <c r="N22" s="462">
        <v>10250</v>
      </c>
      <c r="P22" s="321">
        <f>N22/$P$20</f>
        <v>640.625</v>
      </c>
      <c r="V22" s="5"/>
    </row>
    <row r="23" spans="3:22" x14ac:dyDescent="0.25">
      <c r="C23" s="4">
        <v>515</v>
      </c>
      <c r="D23" t="s">
        <v>497</v>
      </c>
      <c r="I23" s="5"/>
      <c r="M23" s="117" t="s">
        <v>136</v>
      </c>
      <c r="N23" s="462">
        <v>8036</v>
      </c>
      <c r="P23" s="321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57">
        <v>0.74270000000000003</v>
      </c>
      <c r="D26" t="s">
        <v>498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716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713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714</v>
      </c>
    </row>
    <row r="38" spans="3:17" x14ac:dyDescent="0.25">
      <c r="C38" s="4"/>
      <c r="I38" t="s">
        <v>717</v>
      </c>
      <c r="M38" s="5"/>
      <c r="P38">
        <v>1.4</v>
      </c>
      <c r="Q38" t="s">
        <v>715</v>
      </c>
    </row>
    <row r="39" spans="3:17" x14ac:dyDescent="0.25">
      <c r="C39" s="4"/>
      <c r="I39" t="s">
        <v>718</v>
      </c>
      <c r="M39" s="5"/>
    </row>
    <row r="40" spans="3:17" x14ac:dyDescent="0.25">
      <c r="C40" s="4"/>
      <c r="I40" t="s">
        <v>719</v>
      </c>
      <c r="M40" s="5"/>
    </row>
    <row r="41" spans="3:17" x14ac:dyDescent="0.25">
      <c r="C41" s="4"/>
      <c r="I41" t="s">
        <v>720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1025</v>
      </c>
    </row>
    <row r="79" spans="3:13" x14ac:dyDescent="0.25">
      <c r="D79" t="s">
        <v>634</v>
      </c>
    </row>
    <row r="94" spans="21:23" x14ac:dyDescent="0.25">
      <c r="V94" t="s">
        <v>638</v>
      </c>
    </row>
    <row r="95" spans="21:23" x14ac:dyDescent="0.25">
      <c r="U95" t="s">
        <v>326</v>
      </c>
      <c r="V95">
        <v>1072</v>
      </c>
      <c r="W95" t="s">
        <v>410</v>
      </c>
    </row>
    <row r="96" spans="21:23" x14ac:dyDescent="0.25">
      <c r="U96" t="s">
        <v>639</v>
      </c>
      <c r="V96">
        <v>1406</v>
      </c>
    </row>
    <row r="124" spans="3:3" x14ac:dyDescent="0.25">
      <c r="C124" t="s">
        <v>635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221</v>
      </c>
    </row>
    <row r="2" spans="1:46" x14ac:dyDescent="0.2">
      <c r="A2" s="13" t="s">
        <v>222</v>
      </c>
    </row>
    <row r="4" spans="1:46" ht="13.5" thickBot="1" x14ac:dyDescent="0.25">
      <c r="A4" s="13" t="s">
        <v>223</v>
      </c>
    </row>
    <row r="5" spans="1:46" x14ac:dyDescent="0.2">
      <c r="A5" s="613" t="s">
        <v>224</v>
      </c>
      <c r="B5" s="616" t="s">
        <v>225</v>
      </c>
      <c r="C5" s="605"/>
      <c r="D5" s="605"/>
      <c r="E5" s="606"/>
      <c r="F5" s="607" t="s">
        <v>226</v>
      </c>
      <c r="G5" s="605"/>
      <c r="H5" s="606"/>
      <c r="I5" s="605" t="s">
        <v>227</v>
      </c>
      <c r="J5" s="605"/>
      <c r="K5" s="605"/>
      <c r="L5" s="605"/>
      <c r="M5" s="605"/>
      <c r="N5" s="605"/>
      <c r="O5" s="605"/>
      <c r="P5" s="606"/>
      <c r="Q5" s="607" t="s">
        <v>228</v>
      </c>
      <c r="R5" s="605"/>
      <c r="S5" s="605"/>
      <c r="T5" s="605"/>
      <c r="U5" s="605"/>
      <c r="V5" s="605"/>
      <c r="W5" s="605"/>
      <c r="X5" s="606"/>
      <c r="Y5" s="605" t="s">
        <v>229</v>
      </c>
      <c r="Z5" s="605"/>
      <c r="AA5" s="605"/>
      <c r="AB5" s="608"/>
      <c r="AC5" s="616" t="s">
        <v>230</v>
      </c>
      <c r="AD5" s="605"/>
      <c r="AE5" s="605"/>
      <c r="AF5" s="605"/>
      <c r="AG5" s="137"/>
      <c r="AH5" s="137"/>
      <c r="AI5" s="138" t="s">
        <v>231</v>
      </c>
      <c r="AJ5" s="608" t="s">
        <v>232</v>
      </c>
      <c r="AK5" s="618"/>
      <c r="AL5" s="618"/>
      <c r="AM5" s="618"/>
      <c r="AN5" s="618"/>
      <c r="AO5" s="618"/>
      <c r="AP5" s="618"/>
      <c r="AQ5" s="618"/>
      <c r="AR5" s="618"/>
      <c r="AS5" s="618"/>
      <c r="AT5" s="612"/>
    </row>
    <row r="6" spans="1:46" s="151" customFormat="1" ht="26.25" customHeight="1" x14ac:dyDescent="0.2">
      <c r="A6" s="614"/>
      <c r="B6" s="139" t="s">
        <v>6</v>
      </c>
      <c r="C6" s="140" t="s">
        <v>233</v>
      </c>
      <c r="D6" s="139" t="s">
        <v>234</v>
      </c>
      <c r="E6" s="141" t="s">
        <v>235</v>
      </c>
      <c r="F6" s="142" t="s">
        <v>236</v>
      </c>
      <c r="G6" s="139" t="s">
        <v>237</v>
      </c>
      <c r="H6" s="143" t="s">
        <v>238</v>
      </c>
      <c r="I6" s="144" t="s">
        <v>6</v>
      </c>
      <c r="J6" s="145" t="s">
        <v>233</v>
      </c>
      <c r="K6" s="139" t="s">
        <v>239</v>
      </c>
      <c r="L6" s="139" t="s">
        <v>136</v>
      </c>
      <c r="M6" s="139" t="s">
        <v>235</v>
      </c>
      <c r="N6" s="139" t="s">
        <v>234</v>
      </c>
      <c r="O6" s="139" t="s">
        <v>240</v>
      </c>
      <c r="P6" s="146" t="s">
        <v>241</v>
      </c>
      <c r="Q6" s="142" t="s">
        <v>6</v>
      </c>
      <c r="R6" s="140" t="s">
        <v>233</v>
      </c>
      <c r="S6" s="139" t="s">
        <v>242</v>
      </c>
      <c r="T6" s="139" t="s">
        <v>243</v>
      </c>
      <c r="U6" s="139" t="s">
        <v>235</v>
      </c>
      <c r="V6" s="139" t="s">
        <v>234</v>
      </c>
      <c r="W6" s="139" t="s">
        <v>240</v>
      </c>
      <c r="X6" s="144" t="s">
        <v>241</v>
      </c>
      <c r="Y6" s="147" t="s">
        <v>244</v>
      </c>
      <c r="Z6" s="140" t="s">
        <v>13</v>
      </c>
      <c r="AA6" s="139" t="s">
        <v>245</v>
      </c>
      <c r="AB6" s="139" t="s">
        <v>246</v>
      </c>
      <c r="AC6" s="619" t="s">
        <v>247</v>
      </c>
      <c r="AD6" s="620"/>
      <c r="AE6" s="140" t="s">
        <v>248</v>
      </c>
      <c r="AF6" s="148" t="s">
        <v>249</v>
      </c>
      <c r="AG6" s="149" t="s">
        <v>250</v>
      </c>
      <c r="AH6" s="141" t="s">
        <v>251</v>
      </c>
      <c r="AI6" s="150" t="s">
        <v>231</v>
      </c>
      <c r="AJ6" s="147" t="s">
        <v>252</v>
      </c>
      <c r="AK6" s="139" t="s">
        <v>253</v>
      </c>
      <c r="AL6" s="139" t="s">
        <v>254</v>
      </c>
      <c r="AM6" s="139" t="s">
        <v>14</v>
      </c>
      <c r="AN6" s="139" t="s">
        <v>255</v>
      </c>
      <c r="AO6" s="139" t="s">
        <v>256</v>
      </c>
      <c r="AP6" s="139" t="s">
        <v>257</v>
      </c>
      <c r="AQ6" s="139" t="s">
        <v>258</v>
      </c>
      <c r="AR6" s="139" t="s">
        <v>259</v>
      </c>
      <c r="AS6" s="139" t="s">
        <v>3</v>
      </c>
      <c r="AT6" s="141" t="s">
        <v>260</v>
      </c>
    </row>
    <row r="7" spans="1:46" x14ac:dyDescent="0.2">
      <c r="A7" s="615"/>
      <c r="B7" s="152" t="s">
        <v>261</v>
      </c>
      <c r="C7" s="152" t="s">
        <v>261</v>
      </c>
      <c r="D7" s="152" t="s">
        <v>262</v>
      </c>
      <c r="E7" s="153" t="s">
        <v>261</v>
      </c>
      <c r="F7" s="154"/>
      <c r="G7" s="152"/>
      <c r="H7" s="153"/>
      <c r="I7" s="155" t="s">
        <v>261</v>
      </c>
      <c r="J7" s="156" t="s">
        <v>261</v>
      </c>
      <c r="K7" s="152" t="s">
        <v>261</v>
      </c>
      <c r="L7" s="152" t="s">
        <v>261</v>
      </c>
      <c r="M7" s="152" t="s">
        <v>261</v>
      </c>
      <c r="N7" s="152" t="s">
        <v>263</v>
      </c>
      <c r="O7" s="152" t="s">
        <v>264</v>
      </c>
      <c r="P7" s="157" t="s">
        <v>265</v>
      </c>
      <c r="Q7" s="154" t="s">
        <v>261</v>
      </c>
      <c r="R7" s="152" t="s">
        <v>261</v>
      </c>
      <c r="S7" s="152" t="s">
        <v>261</v>
      </c>
      <c r="T7" s="152" t="s">
        <v>261</v>
      </c>
      <c r="U7" s="152" t="s">
        <v>261</v>
      </c>
      <c r="V7" s="152" t="s">
        <v>263</v>
      </c>
      <c r="W7" s="152" t="s">
        <v>264</v>
      </c>
      <c r="X7" s="155" t="s">
        <v>265</v>
      </c>
      <c r="Y7" s="156" t="s">
        <v>266</v>
      </c>
      <c r="Z7" s="152" t="s">
        <v>266</v>
      </c>
      <c r="AA7" s="152" t="s">
        <v>266</v>
      </c>
      <c r="AB7" s="152" t="s">
        <v>266</v>
      </c>
      <c r="AC7" s="152" t="s">
        <v>267</v>
      </c>
      <c r="AD7" s="152" t="s">
        <v>268</v>
      </c>
      <c r="AE7" s="152" t="s">
        <v>268</v>
      </c>
      <c r="AF7" s="158" t="s">
        <v>268</v>
      </c>
      <c r="AG7" s="159" t="s">
        <v>269</v>
      </c>
      <c r="AH7" s="160" t="s">
        <v>270</v>
      </c>
      <c r="AI7" s="161" t="s">
        <v>271</v>
      </c>
      <c r="AJ7" s="156" t="s">
        <v>272</v>
      </c>
      <c r="AK7" s="152" t="s">
        <v>272</v>
      </c>
      <c r="AL7" s="152" t="s">
        <v>272</v>
      </c>
      <c r="AM7" s="152" t="s">
        <v>272</v>
      </c>
      <c r="AN7" s="152" t="s">
        <v>272</v>
      </c>
      <c r="AO7" s="152" t="s">
        <v>272</v>
      </c>
      <c r="AP7" s="152" t="s">
        <v>272</v>
      </c>
      <c r="AQ7" s="152" t="s">
        <v>272</v>
      </c>
      <c r="AR7" s="152" t="s">
        <v>272</v>
      </c>
      <c r="AS7" s="152" t="s">
        <v>272</v>
      </c>
      <c r="AT7" s="160" t="s">
        <v>273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274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609" t="s">
        <v>224</v>
      </c>
      <c r="B21" s="611" t="s">
        <v>275</v>
      </c>
      <c r="C21" s="612"/>
      <c r="D21" s="607" t="s">
        <v>276</v>
      </c>
      <c r="E21" s="605"/>
      <c r="F21" s="606"/>
      <c r="G21" s="607" t="s">
        <v>277</v>
      </c>
      <c r="H21" s="606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10"/>
      <c r="B22" s="162" t="s">
        <v>278</v>
      </c>
      <c r="C22" s="221" t="s">
        <v>279</v>
      </c>
      <c r="D22" s="162" t="s">
        <v>280</v>
      </c>
      <c r="E22" s="222" t="s">
        <v>281</v>
      </c>
      <c r="F22" s="221" t="s">
        <v>282</v>
      </c>
      <c r="G22" s="162" t="s">
        <v>283</v>
      </c>
      <c r="H22" s="221" t="s">
        <v>284</v>
      </c>
      <c r="AE22" s="238"/>
    </row>
    <row r="23" spans="1:47" x14ac:dyDescent="0.2">
      <c r="A23" s="610"/>
      <c r="B23" s="154" t="s">
        <v>264</v>
      </c>
      <c r="C23" s="153" t="s">
        <v>264</v>
      </c>
      <c r="D23" s="154" t="s">
        <v>264</v>
      </c>
      <c r="E23" s="152" t="s">
        <v>264</v>
      </c>
      <c r="F23" s="153" t="s">
        <v>264</v>
      </c>
      <c r="G23" s="154" t="s">
        <v>264</v>
      </c>
      <c r="H23" s="153" t="s">
        <v>264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617"/>
      <c r="T26" s="617"/>
      <c r="U26" s="617"/>
      <c r="V26" s="617"/>
      <c r="W26" s="617"/>
      <c r="X26" s="617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245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285</v>
      </c>
      <c r="F40" s="13" t="s">
        <v>286</v>
      </c>
      <c r="G40" s="13" t="s">
        <v>286</v>
      </c>
      <c r="H40" s="13" t="s">
        <v>287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288</v>
      </c>
      <c r="D41" s="227">
        <f>J14*K15/J15</f>
        <v>2311.3657479095696</v>
      </c>
      <c r="K41" s="13" t="s">
        <v>136</v>
      </c>
      <c r="L41" s="13" t="s">
        <v>577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136</v>
      </c>
      <c r="D42" s="227">
        <f>J14-D41</f>
        <v>1242.6342520904304</v>
      </c>
      <c r="K42" s="13" t="s">
        <v>291</v>
      </c>
      <c r="L42" s="13" t="s">
        <v>577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289</v>
      </c>
      <c r="D43" s="228">
        <f>R14*(S15/R15)</f>
        <v>1290.0096411355116</v>
      </c>
      <c r="K43" s="13" t="s">
        <v>242</v>
      </c>
      <c r="L43" s="13" t="s">
        <v>500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290</v>
      </c>
      <c r="D44" s="227">
        <f>R14-D43</f>
        <v>245.99035886448837</v>
      </c>
      <c r="K44" s="13" t="s">
        <v>243</v>
      </c>
      <c r="L44" s="13" t="s">
        <v>500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9">
        <f>H45*3.6/1000</f>
        <v>14.112</v>
      </c>
      <c r="I46" s="13" t="s">
        <v>140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S26:T26"/>
    <mergeCell ref="U26:X26"/>
    <mergeCell ref="AC5:AF5"/>
    <mergeCell ref="AJ5:AT5"/>
    <mergeCell ref="AC6:AD6"/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0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190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21" t="s">
        <v>200</v>
      </c>
      <c r="F40" s="621"/>
      <c r="G40" s="621"/>
      <c r="H40" s="621"/>
      <c r="I40" s="621"/>
      <c r="J40" s="621"/>
      <c r="K40" s="621"/>
      <c r="L40" s="15"/>
      <c r="M40" s="621" t="s">
        <v>201</v>
      </c>
      <c r="N40" s="621"/>
      <c r="O40" s="622"/>
    </row>
    <row r="41" spans="3:17" x14ac:dyDescent="0.25">
      <c r="C41" s="4"/>
      <c r="E41" s="18" t="s">
        <v>13</v>
      </c>
      <c r="F41" s="18" t="s">
        <v>11</v>
      </c>
      <c r="G41" s="18" t="s">
        <v>192</v>
      </c>
      <c r="H41" s="18" t="s">
        <v>194</v>
      </c>
      <c r="I41" s="18" t="s">
        <v>199</v>
      </c>
      <c r="J41" s="18" t="s">
        <v>195</v>
      </c>
      <c r="K41" s="18" t="s">
        <v>193</v>
      </c>
      <c r="M41" s="18" t="s">
        <v>193</v>
      </c>
      <c r="N41" s="18" t="s">
        <v>198</v>
      </c>
      <c r="O41" s="131" t="s">
        <v>203</v>
      </c>
    </row>
    <row r="42" spans="3:17" x14ac:dyDescent="0.25">
      <c r="C42" s="623" t="s">
        <v>90</v>
      </c>
      <c r="D42" s="18" t="s">
        <v>191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196</v>
      </c>
      <c r="O42" s="5"/>
    </row>
    <row r="43" spans="3:17" x14ac:dyDescent="0.25">
      <c r="C43" s="623"/>
      <c r="D43" s="18" t="s">
        <v>197</v>
      </c>
      <c r="E43" s="1"/>
      <c r="F43" s="1"/>
      <c r="G43" s="1">
        <v>596000</v>
      </c>
      <c r="H43" s="1"/>
      <c r="I43" s="1">
        <v>297000</v>
      </c>
      <c r="J43" s="1" t="s">
        <v>196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202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339</v>
      </c>
      <c r="H51" s="19">
        <f>SUM(G42:G43,I42:I43)</f>
        <v>2010000</v>
      </c>
    </row>
    <row r="52" spans="2:21" x14ac:dyDescent="0.25">
      <c r="G52" t="s">
        <v>193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370</v>
      </c>
      <c r="G54" t="s">
        <v>191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371</v>
      </c>
      <c r="G55" t="s">
        <v>372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399</v>
      </c>
    </row>
    <row r="60" spans="2:21" x14ac:dyDescent="0.25">
      <c r="C60" t="s">
        <v>13</v>
      </c>
      <c r="D60" s="336">
        <f>E42/O47</f>
        <v>0.54441454869243722</v>
      </c>
      <c r="E60" t="s">
        <v>400</v>
      </c>
      <c r="H60" s="321">
        <f>D60*24</f>
        <v>13.065949168618493</v>
      </c>
      <c r="I60" s="321"/>
      <c r="J60" s="321"/>
      <c r="K60" s="321"/>
      <c r="L60" s="321"/>
      <c r="M60" s="321"/>
      <c r="N60" s="321"/>
      <c r="O60" s="321"/>
      <c r="P60" s="321"/>
      <c r="Q60" s="321"/>
      <c r="R60" s="321"/>
      <c r="S60" s="321"/>
      <c r="T60" s="321"/>
      <c r="U60" s="321">
        <f>$D$60*U59</f>
        <v>0</v>
      </c>
    </row>
    <row r="61" spans="2:21" x14ac:dyDescent="0.25">
      <c r="C61" t="s">
        <v>11</v>
      </c>
      <c r="D61" s="336">
        <f>F42/O47</f>
        <v>8.0654007213694409E-2</v>
      </c>
      <c r="E61" t="s">
        <v>400</v>
      </c>
      <c r="H61" s="321">
        <f>D61*30</f>
        <v>2.4196202164108325</v>
      </c>
    </row>
    <row r="63" spans="2:21" x14ac:dyDescent="0.25">
      <c r="H63" s="321">
        <f>SUM(H60:H61)</f>
        <v>15.485569385029326</v>
      </c>
    </row>
    <row r="66" spans="1:14" ht="21" x14ac:dyDescent="0.35">
      <c r="A66" s="344" t="s">
        <v>151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418</v>
      </c>
    </row>
    <row r="69" spans="1:14" x14ac:dyDescent="0.25">
      <c r="B69" s="18" t="s">
        <v>425</v>
      </c>
    </row>
    <row r="70" spans="1:14" x14ac:dyDescent="0.25">
      <c r="B70" t="s">
        <v>427</v>
      </c>
    </row>
    <row r="72" spans="1:14" x14ac:dyDescent="0.25">
      <c r="B72" s="285">
        <v>0.26</v>
      </c>
      <c r="C72" t="s">
        <v>419</v>
      </c>
    </row>
    <row r="73" spans="1:14" x14ac:dyDescent="0.25">
      <c r="B73">
        <v>1.5</v>
      </c>
      <c r="C73" t="s">
        <v>422</v>
      </c>
      <c r="H73">
        <v>12.3</v>
      </c>
      <c r="I73" t="s">
        <v>421</v>
      </c>
    </row>
    <row r="74" spans="1:14" x14ac:dyDescent="0.25">
      <c r="B74">
        <v>949570</v>
      </c>
      <c r="C74" t="s">
        <v>420</v>
      </c>
    </row>
    <row r="75" spans="1:14" x14ac:dyDescent="0.25">
      <c r="A75" t="s">
        <v>426</v>
      </c>
    </row>
    <row r="76" spans="1:14" x14ac:dyDescent="0.25">
      <c r="B76">
        <f>B73*B74</f>
        <v>1424355</v>
      </c>
      <c r="C76" t="s">
        <v>568</v>
      </c>
    </row>
    <row r="77" spans="1:14" x14ac:dyDescent="0.25">
      <c r="B77" s="119">
        <f>B76/B72</f>
        <v>5478288.461538461</v>
      </c>
      <c r="C77" t="s">
        <v>424</v>
      </c>
    </row>
    <row r="79" spans="1:14" x14ac:dyDescent="0.25">
      <c r="B79" s="321">
        <f>B77*H73/1000</f>
        <v>67382.948076923072</v>
      </c>
      <c r="C79" t="s">
        <v>423</v>
      </c>
    </row>
    <row r="81" spans="2:3" x14ac:dyDescent="0.25">
      <c r="B81" s="321">
        <f>B79*3.6/1000</f>
        <v>242.57861307692306</v>
      </c>
      <c r="C81" t="s">
        <v>321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AC43"/>
  <sheetViews>
    <sheetView workbookViewId="0">
      <selection activeCell="AC40" sqref="AC40"/>
    </sheetView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  <row r="39" spans="27:29" x14ac:dyDescent="0.25">
      <c r="AA39">
        <v>110</v>
      </c>
    </row>
    <row r="40" spans="27:29" x14ac:dyDescent="0.25">
      <c r="AA40">
        <v>150</v>
      </c>
      <c r="AC40">
        <f>SUM(AA39:AA40)</f>
        <v>260</v>
      </c>
    </row>
    <row r="41" spans="27:29" x14ac:dyDescent="0.25">
      <c r="AA41">
        <v>87.5</v>
      </c>
    </row>
    <row r="42" spans="27:29" x14ac:dyDescent="0.25">
      <c r="AA42">
        <v>29</v>
      </c>
    </row>
    <row r="43" spans="27:29" x14ac:dyDescent="0.25">
      <c r="AA43">
        <f>SUM(AA39:AA42)</f>
        <v>376.5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336</v>
      </c>
    </row>
    <row r="3" spans="2:9" x14ac:dyDescent="0.25">
      <c r="B3" t="s">
        <v>337</v>
      </c>
    </row>
    <row r="6" spans="2:9" x14ac:dyDescent="0.25">
      <c r="B6" t="s">
        <v>567</v>
      </c>
    </row>
    <row r="7" spans="2:9" x14ac:dyDescent="0.25">
      <c r="B7" t="s">
        <v>338</v>
      </c>
    </row>
    <row r="8" spans="2:9" x14ac:dyDescent="0.25">
      <c r="E8" t="s">
        <v>325</v>
      </c>
    </row>
    <row r="9" spans="2:9" x14ac:dyDescent="0.25">
      <c r="C9" s="18" t="s">
        <v>322</v>
      </c>
    </row>
    <row r="10" spans="2:9" x14ac:dyDescent="0.25">
      <c r="C10" t="s">
        <v>323</v>
      </c>
      <c r="D10">
        <v>1600</v>
      </c>
      <c r="E10" t="s">
        <v>324</v>
      </c>
      <c r="I10" t="s">
        <v>486</v>
      </c>
    </row>
    <row r="11" spans="2:9" x14ac:dyDescent="0.25">
      <c r="C11" t="s">
        <v>326</v>
      </c>
      <c r="D11">
        <v>275</v>
      </c>
      <c r="E11" t="s">
        <v>327</v>
      </c>
      <c r="H11">
        <v>30</v>
      </c>
      <c r="I11">
        <f>H11*D11/1000</f>
        <v>8.25</v>
      </c>
    </row>
    <row r="12" spans="2:9" x14ac:dyDescent="0.25">
      <c r="C12" t="s">
        <v>328</v>
      </c>
      <c r="D12">
        <v>205</v>
      </c>
      <c r="E12" t="s">
        <v>327</v>
      </c>
      <c r="H12">
        <v>24</v>
      </c>
      <c r="I12">
        <f>H12*D12/1000</f>
        <v>4.92</v>
      </c>
    </row>
    <row r="13" spans="2:9" x14ac:dyDescent="0.25">
      <c r="C13" t="s">
        <v>329</v>
      </c>
      <c r="D13">
        <v>1000</v>
      </c>
      <c r="E13" t="s">
        <v>330</v>
      </c>
    </row>
    <row r="15" spans="2:9" x14ac:dyDescent="0.25">
      <c r="C15" s="18" t="s">
        <v>331</v>
      </c>
    </row>
    <row r="16" spans="2:9" x14ac:dyDescent="0.25">
      <c r="C16" t="s">
        <v>332</v>
      </c>
      <c r="D16">
        <v>12000</v>
      </c>
      <c r="E16" t="s">
        <v>333</v>
      </c>
    </row>
    <row r="17" spans="3:5" x14ac:dyDescent="0.25">
      <c r="C17" t="s">
        <v>334</v>
      </c>
      <c r="D17">
        <v>320</v>
      </c>
      <c r="E17" t="s">
        <v>335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1138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55" workbookViewId="0">
      <selection activeCell="AC31" sqref="AC31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208</v>
      </c>
    </row>
    <row r="3" spans="2:10" x14ac:dyDescent="0.25">
      <c r="B3" t="s">
        <v>207</v>
      </c>
    </row>
    <row r="4" spans="2:10" x14ac:dyDescent="0.25">
      <c r="B4" s="132" t="s">
        <v>566</v>
      </c>
    </row>
    <row r="5" spans="2:10" x14ac:dyDescent="0.25">
      <c r="B5" t="s">
        <v>209</v>
      </c>
    </row>
    <row r="6" spans="2:10" x14ac:dyDescent="0.25">
      <c r="J6" t="s">
        <v>215</v>
      </c>
    </row>
    <row r="8" spans="2:10" x14ac:dyDescent="0.25">
      <c r="B8" s="134" t="s">
        <v>211</v>
      </c>
    </row>
    <row r="9" spans="2:10" x14ac:dyDescent="0.25">
      <c r="B9" t="s">
        <v>210</v>
      </c>
    </row>
    <row r="11" spans="2:10" x14ac:dyDescent="0.25">
      <c r="B11" s="133" t="s">
        <v>217</v>
      </c>
    </row>
    <row r="12" spans="2:10" x14ac:dyDescent="0.25">
      <c r="C12" t="s">
        <v>218</v>
      </c>
    </row>
    <row r="13" spans="2:10" x14ac:dyDescent="0.25">
      <c r="C13" t="s">
        <v>216</v>
      </c>
    </row>
    <row r="15" spans="2:10" x14ac:dyDescent="0.25">
      <c r="B15" s="133" t="s">
        <v>219</v>
      </c>
    </row>
    <row r="16" spans="2:10" x14ac:dyDescent="0.25">
      <c r="C16" t="s">
        <v>214</v>
      </c>
    </row>
    <row r="19" spans="2:3" x14ac:dyDescent="0.25">
      <c r="B19" s="134" t="s">
        <v>212</v>
      </c>
    </row>
    <row r="21" spans="2:3" x14ac:dyDescent="0.25">
      <c r="B21" s="119">
        <v>900000</v>
      </c>
      <c r="C21" t="s">
        <v>213</v>
      </c>
    </row>
    <row r="25" spans="2:3" x14ac:dyDescent="0.25">
      <c r="B25" s="18" t="s">
        <v>343</v>
      </c>
    </row>
    <row r="26" spans="2:3" x14ac:dyDescent="0.25">
      <c r="B26">
        <v>1915</v>
      </c>
      <c r="C26" t="s">
        <v>341</v>
      </c>
    </row>
    <row r="27" spans="2:3" x14ac:dyDescent="0.25">
      <c r="B27">
        <v>478</v>
      </c>
      <c r="C27" t="s">
        <v>342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Log</vt:lpstr>
      <vt:lpstr>HDRI scenarios</vt:lpstr>
      <vt:lpstr>INPUT GreenSteel</vt:lpstr>
      <vt:lpstr>Summary Hydrogen DRI old</vt:lpstr>
      <vt:lpstr>INPUT Energy and Emissions</vt:lpstr>
      <vt:lpstr>INPUT Emissions</vt:lpstr>
      <vt:lpstr>INPUT Capacity &amp; Production</vt:lpstr>
      <vt:lpstr>INPUT Coke</vt:lpstr>
      <vt:lpstr>INPUT opex costs TNapp</vt:lpstr>
      <vt:lpstr>INPUT Capex costs TNapp</vt:lpstr>
      <vt:lpstr>Scrap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 Call</cp:lastModifiedBy>
  <dcterms:created xsi:type="dcterms:W3CDTF">2019-12-05T07:41:15Z</dcterms:created>
  <dcterms:modified xsi:type="dcterms:W3CDTF">2023-10-02T10:00:17Z</dcterms:modified>
</cp:coreProperties>
</file>