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5906E6E4-AD93-48D1-A078-D00FE8A38E2A}" xr6:coauthVersionLast="47" xr6:coauthVersionMax="47" xr10:uidLastSave="{00000000-0000-0000-0000-000000000000}"/>
  <bookViews>
    <workbookView xWindow="-120" yWindow="-120" windowWidth="38640" windowHeight="21240" tabRatio="793" firstSheet="1" activeTab="12" xr2:uid="{8E1A42FA-0499-49B0-BB74-20CC93AC9051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new" sheetId="34" r:id="rId5"/>
    <sheet name="HDRI-TSData" sheetId="31" r:id="rId6"/>
    <sheet name="HDRI-TIDData" sheetId="32" r:id="rId7"/>
    <sheet name="IS-Items" sheetId="39" r:id="rId8"/>
    <sheet name="IS-TSData" sheetId="40" r:id="rId9"/>
    <sheet name="IS-TIDData" sheetId="41" r:id="rId10"/>
    <sheet name="Iron &amp; Steel" sheetId="42" r:id="rId11"/>
    <sheet name="veda Process def" sheetId="46" r:id="rId12"/>
    <sheet name="I&amp;S SATIM input" sheetId="13" r:id="rId13"/>
    <sheet name="Energy Intensity" sheetId="10" r:id="rId14"/>
    <sheet name="Methodology Cap &amp; Prod" sheetId="2" r:id="rId15"/>
    <sheet name="Coke" sheetId="11" r:id="rId16"/>
    <sheet name="Energy and Emissions" sheetId="1" r:id="rId17"/>
    <sheet name="Scrap" sheetId="15" r:id="rId18"/>
    <sheet name="TNapp - Opex sheet" sheetId="23" r:id="rId19"/>
    <sheet name="TNapp - Capex sheet" sheetId="37" r:id="rId20"/>
    <sheet name="TNapp - I&amp;S intensity" sheetId="4" r:id="rId21"/>
    <sheet name="AMSA reports" sheetId="9" r:id="rId22"/>
    <sheet name="AcelorMittal sus report data" sheetId="7" r:id="rId23"/>
    <sheet name="AMSA - Saldanha" sheetId="5" r:id="rId24"/>
    <sheet name="AMSA - Vndbjl park" sheetId="17" r:id="rId25"/>
    <sheet name="Blast furnace JPN info" sheetId="8" r:id="rId26"/>
    <sheet name="Vereeniging" sheetId="45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6" hidden="1">'HDRI-TIDData'!$A$1:$I$62</definedName>
    <definedName name="_xlnm._FilterDatabase" localSheetId="5" hidden="1">'HDRI-TSData'!$A$1:$J$61</definedName>
    <definedName name="_xlnm._FilterDatabase" localSheetId="9" hidden="1">'IS-TIDData'!$A$1:$I$231</definedName>
    <definedName name="_xlnm._FilterDatabase" localSheetId="8" hidden="1">'IS-TSData'!$B$2:$J$301</definedName>
    <definedName name="ALswitch">[2]IND!$M$13</definedName>
    <definedName name="Cars_12" localSheetId="1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2">'[5]Financial Indicators'!$Y$9</definedName>
    <definedName name="CPI.2011" localSheetId="19">'[6]Financial Indicators'!$Y$9</definedName>
    <definedName name="CPI.2011" localSheetId="1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2">'[5]Financial Indicators'!$C$25:$Z$28</definedName>
    <definedName name="Deflator" localSheetId="19">'[6]Financial Indicators'!$C$25:$Z$28</definedName>
    <definedName name="Deflator" localSheetId="18">'[7]Financial Indicators'!$C$25:$Z$28</definedName>
    <definedName name="Deflator">'[8]Financial Indicators'!$C$25:$Z$28</definedName>
    <definedName name="DISCRATE" localSheetId="19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22">'[5]Financial Indicators'!$C$12:$Y$15</definedName>
    <definedName name="EXCH" localSheetId="19">'[6]Financial Indicators'!$C$12:$Y$15</definedName>
    <definedName name="EXCH" localSheetId="18">'[7]Financial Indicators'!$C$12:$Y$15</definedName>
    <definedName name="EXCH">'[8]Financial Indicators'!$C$12:$Y$15</definedName>
    <definedName name="EXCH.year" localSheetId="22">'[5]Financial Indicators'!$D$3:$Y$3</definedName>
    <definedName name="EXCH.year" localSheetId="19">'[6]Financial Indicators'!$D$3:$Y$3</definedName>
    <definedName name="EXCH.year" localSheetId="1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19">'[3]TechRep-Doc'!#REF!</definedName>
    <definedName name="GROWTH">'[3]TechRep-Doc'!#REF!</definedName>
    <definedName name="GROWTH_TID" localSheetId="19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19">'[3]TechRep-Doc'!#REF!</definedName>
    <definedName name="INVCOST">'[3]TechRep-Doc'!#REF!</definedName>
    <definedName name="IS_EE_switch">[2]IND!#REF!</definedName>
    <definedName name="LIFE" localSheetId="19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2">#REF!</definedName>
    <definedName name="SASApp_GDPDATA_DISCREPANCY_TABLE" localSheetId="19">#REF!</definedName>
    <definedName name="SASApp_GDPDATA_DISCREPANCY_TABLE" localSheetId="20">#REF!</definedName>
    <definedName name="SASApp_GDPDATA_DISCREPANCY_TABLE" localSheetId="18">#REF!</definedName>
    <definedName name="SASApp_GDPDATA_DISCREPANCY_TABLE">#REF!</definedName>
    <definedName name="SASApp_GDPDATA_SUPPLY_TABLE_FIRST" localSheetId="22">#REF!</definedName>
    <definedName name="SASApp_GDPDATA_SUPPLY_TABLE_FIRST" localSheetId="19">#REF!</definedName>
    <definedName name="SASApp_GDPDATA_SUPPLY_TABLE_FIRST" localSheetId="20">#REF!</definedName>
    <definedName name="SASApp_GDPDATA_SUPPLY_TABLE_FIRST" localSheetId="18">#REF!</definedName>
    <definedName name="SASApp_GDPDATA_SUPPLY_TABLE_FIRST">#REF!</definedName>
    <definedName name="SASApp_GDPDATA_SUPPLY_TABLE_SECOND" localSheetId="22">#REF!</definedName>
    <definedName name="SASApp_GDPDATA_SUPPLY_TABLE_SECOND" localSheetId="19">#REF!</definedName>
    <definedName name="SASApp_GDPDATA_SUPPLY_TABLE_SECOND" localSheetId="20">#REF!</definedName>
    <definedName name="SASApp_GDPDATA_SUPPLY_TABLE_SECOND" localSheetId="18">#REF!</definedName>
    <definedName name="SASApp_GDPDATA_SUPPLY_TABLE_SECOND">#REF!</definedName>
    <definedName name="SASApp_GDPDATA_USE_TABLE_FIRST" localSheetId="22">#REF!</definedName>
    <definedName name="SASApp_GDPDATA_USE_TABLE_FIRST" localSheetId="19">#REF!</definedName>
    <definedName name="SASApp_GDPDATA_USE_TABLE_FIRST" localSheetId="20">#REF!</definedName>
    <definedName name="SASApp_GDPDATA_USE_TABLE_FIRST" localSheetId="18">#REF!</definedName>
    <definedName name="SASApp_GDPDATA_USE_TABLE_FIRST">#REF!</definedName>
    <definedName name="SASApp_GDPDATA_USE_TABLE_SECOND" localSheetId="22">#REF!</definedName>
    <definedName name="SASApp_GDPDATA_USE_TABLE_SECOND" localSheetId="19">#REF!</definedName>
    <definedName name="SASApp_GDPDATA_USE_TABLE_SECOND" localSheetId="20">#REF!</definedName>
    <definedName name="SASApp_GDPDATA_USE_TABLE_SECOND" localSheetId="18">#REF!</definedName>
    <definedName name="SASApp_GDPDATA_USE_TABLE_SECOND">#REF!</definedName>
    <definedName name="SETS" localSheetId="19">'[3]TechRep-Doc'!#REF!</definedName>
    <definedName name="SETS">'[3]TechRep-Doc'!#REF!</definedName>
    <definedName name="TRTGAB005" localSheetId="19">'[3]TechRep-Doc'!#REF!</definedName>
    <definedName name="TRTGAB005">'[3]TechRep-Doc'!#REF!</definedName>
    <definedName name="TRTGAC005" localSheetId="19">'[3]TechRep-Doc'!#REF!</definedName>
    <definedName name="TRTGAC005">'[3]TechRep-Doc'!#REF!</definedName>
    <definedName name="Trucks_15" localSheetId="1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2">'[5]Unit conversion'!$E$7</definedName>
    <definedName name="Unit.GJ" localSheetId="19">'[6]Unit conversion'!$E$7</definedName>
    <definedName name="Unit.GJ" localSheetId="18">'[7]Unit conversion'!$E$7</definedName>
    <definedName name="Unit.GJ">'[8]Unit conversion'!$E$7</definedName>
    <definedName name="Unit.GWh" localSheetId="22">'[5]Unit conversion'!$E$13</definedName>
    <definedName name="Unit.GWh" localSheetId="19">'[6]Unit conversion'!$E$13</definedName>
    <definedName name="Unit.GWh" localSheetId="1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2">'[5]Unit conversion'!$E$22</definedName>
    <definedName name="Unit.kgce" localSheetId="19">'[6]Unit conversion'!$E$22</definedName>
    <definedName name="Unit.kgce" localSheetId="18">'[7]Unit conversion'!$E$22</definedName>
    <definedName name="Unit.kgce">'[8]Unit conversion'!$E$22</definedName>
    <definedName name="Unit.minute">'[4]Unit conversion'!$F$45</definedName>
    <definedName name="Unit.TJ" localSheetId="22">'[5]Unit conversion'!$E$6</definedName>
    <definedName name="Unit.TJ" localSheetId="19">'[6]Unit conversion'!$E$6</definedName>
    <definedName name="Unit.TJ" localSheetId="1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1" i="11" l="1"/>
  <c r="M54" i="11"/>
  <c r="H109" i="11" l="1"/>
  <c r="G109" i="11"/>
  <c r="E109" i="11"/>
  <c r="J27" i="11"/>
  <c r="J26" i="11"/>
  <c r="J23" i="11"/>
  <c r="D109" i="11"/>
  <c r="H108" i="11"/>
  <c r="R282" i="2"/>
  <c r="P282" i="2"/>
  <c r="K80" i="35"/>
  <c r="J80" i="35"/>
  <c r="I80" i="35"/>
  <c r="E74" i="35"/>
  <c r="H74" i="35"/>
  <c r="G60" i="35"/>
  <c r="I81" i="35" s="1"/>
  <c r="J81" i="35"/>
  <c r="K81" i="35"/>
  <c r="F81" i="35"/>
  <c r="E81" i="35"/>
  <c r="J73" i="35" l="1"/>
  <c r="I73" i="35"/>
  <c r="H73" i="35"/>
  <c r="G73" i="35"/>
  <c r="F73" i="35"/>
  <c r="E73" i="35"/>
  <c r="L152" i="35"/>
  <c r="D135" i="35"/>
  <c r="H152" i="35" s="1"/>
  <c r="D123" i="35"/>
  <c r="H149" i="35" s="1"/>
  <c r="K152" i="35"/>
  <c r="K149" i="35"/>
  <c r="C177" i="35"/>
  <c r="C178" i="35"/>
  <c r="C179" i="35"/>
  <c r="C180" i="35"/>
  <c r="C181" i="35"/>
  <c r="C182" i="35"/>
  <c r="C183" i="35"/>
  <c r="C184" i="35"/>
  <c r="C185" i="35"/>
  <c r="C186" i="35"/>
  <c r="E193" i="35"/>
  <c r="E194" i="35"/>
  <c r="E195" i="35"/>
  <c r="E196" i="35"/>
  <c r="E197" i="35"/>
  <c r="E198" i="35"/>
  <c r="F166" i="35"/>
  <c r="M156" i="13"/>
  <c r="T121" i="13"/>
  <c r="D137" i="35" l="1"/>
  <c r="Q171" i="13" l="1"/>
  <c r="Q167" i="13"/>
  <c r="Q162" i="13"/>
  <c r="C72" i="13" l="1"/>
  <c r="O171" i="13" s="1"/>
  <c r="C71" i="13"/>
  <c r="O167" i="13" s="1"/>
  <c r="C70" i="13"/>
  <c r="C69" i="13"/>
  <c r="O162" i="13" s="1"/>
  <c r="C67" i="13"/>
  <c r="C66" i="13"/>
  <c r="P171" i="13" s="1"/>
  <c r="G64" i="13"/>
  <c r="C64" i="13" s="1"/>
  <c r="P167" i="13" s="1"/>
  <c r="C62" i="13" l="1"/>
  <c r="C63" i="13"/>
  <c r="P162" i="13" s="1"/>
  <c r="H121" i="13"/>
  <c r="I121" i="13"/>
  <c r="J121" i="13"/>
  <c r="G121" i="13"/>
  <c r="AE109" i="13"/>
  <c r="AE108" i="13"/>
  <c r="AE107" i="13"/>
  <c r="AE106" i="13"/>
  <c r="AE105" i="13"/>
  <c r="AE104" i="13"/>
  <c r="AE103" i="13"/>
  <c r="R104" i="13"/>
  <c r="N122" i="13" s="1"/>
  <c r="D27" i="2" l="1"/>
  <c r="D28" i="2"/>
  <c r="D29" i="2"/>
  <c r="D30" i="2"/>
  <c r="D31" i="2"/>
  <c r="M52" i="2"/>
  <c r="J8" i="46"/>
  <c r="H8" i="46"/>
  <c r="J7" i="46"/>
  <c r="H7" i="46"/>
  <c r="M50" i="2"/>
  <c r="B4" i="43" l="1" a="1"/>
  <c r="B4" i="43" s="1"/>
  <c r="B9" i="29"/>
  <c r="H11" i="2" l="1"/>
  <c r="Z16" i="42" l="1"/>
  <c r="J12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E159" i="35" l="1"/>
  <c r="AA241" i="35"/>
  <c r="D159" i="35" s="1"/>
  <c r="D160" i="35" s="1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AC28" i="42"/>
  <c r="AD28" i="42"/>
  <c r="L29" i="42"/>
  <c r="M29" i="42"/>
  <c r="O29" i="42" s="1"/>
  <c r="J57" i="40" s="1"/>
  <c r="AC29" i="42"/>
  <c r="AD29" i="42"/>
  <c r="L30" i="42"/>
  <c r="O30" i="42" s="1"/>
  <c r="J58" i="40" s="1"/>
  <c r="M30" i="42"/>
  <c r="AC30" i="42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AD47" i="42"/>
  <c r="L48" i="42"/>
  <c r="M48" i="42"/>
  <c r="O48" i="42"/>
  <c r="AC48" i="42"/>
  <c r="L49" i="42"/>
  <c r="O49" i="42" s="1"/>
  <c r="J77" i="40" s="1"/>
  <c r="M49" i="42"/>
  <c r="AC49" i="42"/>
  <c r="M50" i="42"/>
  <c r="AC50" i="42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M69" i="42"/>
  <c r="O69" i="42" s="1"/>
  <c r="J97" i="40" s="1"/>
  <c r="N69" i="42"/>
  <c r="AC69" i="42"/>
  <c r="L70" i="42"/>
  <c r="M70" i="42"/>
  <c r="O70" i="42"/>
  <c r="AC70" i="42"/>
  <c r="L71" i="42"/>
  <c r="M71" i="42"/>
  <c r="O71" i="42"/>
  <c r="AC71" i="42"/>
  <c r="L72" i="42"/>
  <c r="M72" i="42"/>
  <c r="O72" i="42"/>
  <c r="AC72" i="42"/>
  <c r="L73" i="42"/>
  <c r="L74" i="42" s="1"/>
  <c r="O74" i="42" s="1"/>
  <c r="J102" i="40" s="1"/>
  <c r="M73" i="42"/>
  <c r="O73" i="42"/>
  <c r="AC73" i="42"/>
  <c r="M74" i="42"/>
  <c r="AC74" i="42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J44" i="40"/>
  <c r="J47" i="40"/>
  <c r="J50" i="40"/>
  <c r="J51" i="40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J307" i="40" s="1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 s="1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 s="1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 s="1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 s="1"/>
  <c r="M227" i="40" s="1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 s="1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 s="1"/>
  <c r="M228" i="40" s="1"/>
  <c r="N228" i="40" s="1"/>
  <c r="O228" i="40" s="1"/>
  <c r="P228" i="40" s="1"/>
  <c r="Q228" i="40" s="1"/>
  <c r="R228" i="40" s="1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 s="1"/>
  <c r="M230" i="40" s="1"/>
  <c r="N230" i="40" s="1"/>
  <c r="O230" i="40" s="1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 s="1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 s="1"/>
  <c r="AL230" i="40" s="1"/>
  <c r="AM230" i="40" s="1"/>
  <c r="AN230" i="40" s="1"/>
  <c r="AO230" i="40" s="1"/>
  <c r="K231" i="40"/>
  <c r="L231" i="40" s="1"/>
  <c r="M231" i="40" s="1"/>
  <c r="N231" i="40" s="1"/>
  <c r="O231" i="40" s="1"/>
  <c r="P231" i="40" s="1"/>
  <c r="Q231" i="40" s="1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 s="1"/>
  <c r="M233" i="40" s="1"/>
  <c r="N233" i="40" s="1"/>
  <c r="O233" i="40" s="1"/>
  <c r="P233" i="40" s="1"/>
  <c r="Q233" i="40" s="1"/>
  <c r="R233" i="40" s="1"/>
  <c r="S233" i="40" s="1"/>
  <c r="T233" i="40" s="1"/>
  <c r="U233" i="40" s="1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 s="1"/>
  <c r="M234" i="40" s="1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 s="1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 s="1"/>
  <c r="N236" i="40" s="1"/>
  <c r="O236" i="40" s="1"/>
  <c r="P236" i="40" s="1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 s="1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 s="1"/>
  <c r="N237" i="40" s="1"/>
  <c r="O237" i="40" s="1"/>
  <c r="P237" i="40" s="1"/>
  <c r="Q237" i="40" s="1"/>
  <c r="R237" i="40" s="1"/>
  <c r="S237" i="40" s="1"/>
  <c r="T237" i="40" s="1"/>
  <c r="U237" i="40" s="1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 s="1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 s="1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 s="1"/>
  <c r="M259" i="40" s="1"/>
  <c r="N259" i="40" s="1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 s="1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 s="1"/>
  <c r="M264" i="40" s="1"/>
  <c r="N264" i="40" s="1"/>
  <c r="O264" i="40" s="1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 s="1"/>
  <c r="M265" i="40" s="1"/>
  <c r="N265" i="40" s="1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 s="1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 s="1"/>
  <c r="M268" i="40" s="1"/>
  <c r="N268" i="40" s="1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N40" i="43" l="1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N42" i="43"/>
  <c r="O90" i="42"/>
  <c r="J4" i="40" s="1"/>
  <c r="W256" i="40"/>
  <c r="X256" i="40" s="1"/>
  <c r="Y256" i="40" s="1"/>
  <c r="Z256" i="40" s="1"/>
  <c r="AA256" i="40" s="1"/>
  <c r="AI18" i="42"/>
  <c r="M24" i="40" s="1"/>
  <c r="AH18" i="42"/>
  <c r="L24" i="40" s="1"/>
  <c r="O116" i="42"/>
  <c r="J15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J305" i="40" s="1"/>
  <c r="R62" i="42"/>
  <c r="O90" i="40" s="1"/>
  <c r="K252" i="40"/>
  <c r="L252" i="40" s="1"/>
  <c r="J112" i="40"/>
  <c r="U13" i="42"/>
  <c r="J117" i="40" s="1"/>
  <c r="V13" i="42"/>
  <c r="L26" i="42"/>
  <c r="O26" i="42" s="1"/>
  <c r="J54" i="40" s="1"/>
  <c r="O25" i="42"/>
  <c r="J53" i="40" s="1"/>
  <c r="R16" i="42"/>
  <c r="S16" i="42" s="1"/>
  <c r="J113" i="40" s="1"/>
  <c r="T16" i="42"/>
  <c r="O27" i="42"/>
  <c r="J55" i="40" s="1"/>
  <c r="L28" i="42"/>
  <c r="O28" i="42" s="1"/>
  <c r="J56" i="40" s="1"/>
  <c r="R63" i="42"/>
  <c r="O91" i="40" s="1"/>
  <c r="J91" i="40"/>
  <c r="J306" i="40" s="1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K17" i="42"/>
  <c r="O121" i="42"/>
  <c r="J160" i="40" s="1"/>
  <c r="O107" i="42"/>
  <c r="J21" i="40" s="1"/>
  <c r="F100" i="13"/>
  <c r="K100" i="13" s="1"/>
  <c r="E123" i="23"/>
  <c r="G100" i="13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06" i="13"/>
  <c r="H106" i="13" s="1"/>
  <c r="S104" i="13"/>
  <c r="T104" i="13"/>
  <c r="U104" i="13"/>
  <c r="V104" i="13"/>
  <c r="Q125" i="13" s="1"/>
  <c r="J160" i="13" s="1"/>
  <c r="X104" i="13"/>
  <c r="T105" i="13"/>
  <c r="E104" i="13" s="1"/>
  <c r="I104" i="13" s="1"/>
  <c r="U105" i="13"/>
  <c r="V105" i="13"/>
  <c r="E106" i="13" s="1"/>
  <c r="I106" i="13" s="1"/>
  <c r="X105" i="13"/>
  <c r="S106" i="13"/>
  <c r="T106" i="13"/>
  <c r="F104" i="13" s="1"/>
  <c r="K104" i="13" s="1"/>
  <c r="U106" i="13"/>
  <c r="V106" i="13"/>
  <c r="W106" i="13"/>
  <c r="X106" i="13"/>
  <c r="S107" i="13"/>
  <c r="T107" i="13"/>
  <c r="U107" i="13"/>
  <c r="W107" i="13"/>
  <c r="X107" i="13"/>
  <c r="S108" i="13"/>
  <c r="O140" i="13" s="1"/>
  <c r="T108" i="13"/>
  <c r="U108" i="13"/>
  <c r="V108" i="13"/>
  <c r="W108" i="13"/>
  <c r="P141" i="13" s="1"/>
  <c r="X108" i="13"/>
  <c r="R105" i="13"/>
  <c r="R106" i="13"/>
  <c r="F103" i="13" s="1"/>
  <c r="K103" i="13" s="1"/>
  <c r="R107" i="13"/>
  <c r="R108" i="13"/>
  <c r="N139" i="13" s="1"/>
  <c r="D103" i="13"/>
  <c r="H103" i="13" s="1"/>
  <c r="D104" i="13" l="1"/>
  <c r="H104" i="13" s="1"/>
  <c r="P124" i="13"/>
  <c r="D107" i="13"/>
  <c r="H107" i="13" s="1"/>
  <c r="O123" i="13"/>
  <c r="F107" i="13"/>
  <c r="K107" i="13" s="1"/>
  <c r="N143" i="13"/>
  <c r="G168" i="13" s="1"/>
  <c r="F106" i="13"/>
  <c r="K106" i="13" s="1"/>
  <c r="O144" i="13"/>
  <c r="H169" i="13" s="1"/>
  <c r="F105" i="13"/>
  <c r="K105" i="13" s="1"/>
  <c r="P145" i="13"/>
  <c r="I170" i="13" s="1"/>
  <c r="E103" i="13"/>
  <c r="I103" i="13" s="1"/>
  <c r="N129" i="13"/>
  <c r="G105" i="13"/>
  <c r="R137" i="13"/>
  <c r="G103" i="13"/>
  <c r="N133" i="13"/>
  <c r="G104" i="13"/>
  <c r="P135" i="13"/>
  <c r="G107" i="13"/>
  <c r="O134" i="13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R17" i="42"/>
  <c r="S17" i="42" s="1"/>
  <c r="T17" i="42"/>
  <c r="K18" i="42"/>
  <c r="U16" i="42"/>
  <c r="J118" i="40" s="1"/>
  <c r="V16" i="42"/>
  <c r="S123" i="40" s="1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K108" i="13" l="1"/>
  <c r="F108" i="13"/>
  <c r="AH260" i="40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H99" i="13" s="1"/>
  <c r="C73" i="37" a="1"/>
  <c r="C73" i="37" s="1"/>
  <c r="C72" i="37" a="1"/>
  <c r="C72" i="37" s="1"/>
  <c r="K9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I99" i="13" s="1"/>
  <c r="J99" i="13"/>
  <c r="G58" i="23"/>
  <c r="H96" i="23" l="1"/>
  <c r="Q85" i="1"/>
  <c r="J152" i="35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4" i="35" s="1"/>
  <c r="H66" i="35"/>
  <c r="I74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G148" i="35" s="1"/>
  <c r="Z225" i="35"/>
  <c r="Z230" i="35"/>
  <c r="Z232" i="35" s="1"/>
  <c r="AH61" i="35"/>
  <c r="AG61" i="35"/>
  <c r="AF61" i="35"/>
  <c r="AH64" i="35"/>
  <c r="I63" i="35" s="1"/>
  <c r="G74" i="35" s="1"/>
  <c r="AG64" i="35"/>
  <c r="H63" i="35" s="1"/>
  <c r="F74" i="35" s="1"/>
  <c r="AF64" i="35"/>
  <c r="G63" i="35" s="1"/>
  <c r="AH67" i="35"/>
  <c r="G71" i="34" s="1"/>
  <c r="AG67" i="35"/>
  <c r="F71" i="34" s="1"/>
  <c r="AF67" i="35"/>
  <c r="C71" i="34" s="1"/>
  <c r="AE67" i="35"/>
  <c r="G46" i="34" s="1"/>
  <c r="AD67" i="35"/>
  <c r="F46" i="34" s="1"/>
  <c r="AC67" i="35"/>
  <c r="C46" i="34" s="1"/>
  <c r="AE61" i="35"/>
  <c r="AD61" i="35"/>
  <c r="AC61" i="35"/>
  <c r="AE64" i="35"/>
  <c r="F63" i="35" s="1"/>
  <c r="AD64" i="35"/>
  <c r="E63" i="35" s="1"/>
  <c r="AC64" i="35"/>
  <c r="D63" i="35" s="1"/>
  <c r="C129" i="34"/>
  <c r="C130" i="34" s="1"/>
  <c r="C121" i="34"/>
  <c r="C122" i="34" s="1"/>
  <c r="C115" i="34"/>
  <c r="C116" i="34" s="1"/>
  <c r="C117" i="34" s="1"/>
  <c r="C118" i="34" s="1"/>
  <c r="C111" i="34"/>
  <c r="C109" i="34"/>
  <c r="G98" i="34"/>
  <c r="F98" i="34"/>
  <c r="E98" i="34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F82" i="34"/>
  <c r="F83" i="34" s="1"/>
  <c r="C82" i="34"/>
  <c r="C78" i="34"/>
  <c r="C86" i="34" s="1"/>
  <c r="G72" i="34"/>
  <c r="F72" i="34"/>
  <c r="E72" i="34"/>
  <c r="G69" i="34"/>
  <c r="G70" i="34" s="1"/>
  <c r="F69" i="34"/>
  <c r="F70" i="34" s="1"/>
  <c r="C69" i="34"/>
  <c r="C70" i="34" s="1"/>
  <c r="E70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8" i="29"/>
  <c r="AB49" i="31" s="1"/>
  <c r="S8" i="29"/>
  <c r="AN49" i="31" s="1"/>
  <c r="J9" i="29"/>
  <c r="Q6" i="29" s="1"/>
  <c r="Q9" i="29" s="1"/>
  <c r="R38" i="31" s="1"/>
  <c r="K9" i="29"/>
  <c r="R6" i="29" s="1"/>
  <c r="R9" i="29" s="1"/>
  <c r="AB38" i="31" s="1"/>
  <c r="L9" i="29"/>
  <c r="S6" i="29" s="1"/>
  <c r="S9" i="29" s="1"/>
  <c r="AN38" i="31" s="1"/>
  <c r="J16" i="29"/>
  <c r="Q7" i="29" s="1"/>
  <c r="R7" i="31" s="1"/>
  <c r="K16" i="29"/>
  <c r="R7" i="29" s="1"/>
  <c r="AB7" i="31" s="1"/>
  <c r="L16" i="29"/>
  <c r="S7" i="29" s="1"/>
  <c r="AN7" i="31" s="1"/>
  <c r="J22" i="29"/>
  <c r="Q8" i="29" s="1"/>
  <c r="R49" i="31" s="1"/>
  <c r="K22" i="29"/>
  <c r="L22" i="29"/>
  <c r="G47" i="34" l="1"/>
  <c r="AN30" i="31"/>
  <c r="AB30" i="31"/>
  <c r="R30" i="31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C97" i="34"/>
  <c r="C99" i="34" s="1"/>
  <c r="E99" i="34" s="1"/>
  <c r="E68" i="34"/>
  <c r="G68" i="34"/>
  <c r="F68" i="34"/>
  <c r="C53" i="34"/>
  <c r="C83" i="34"/>
  <c r="F97" i="34"/>
  <c r="F99" i="34" s="1"/>
  <c r="G97" i="34"/>
  <c r="G99" i="34" s="1"/>
  <c r="G83" i="34"/>
  <c r="P23" i="9"/>
  <c r="P22" i="9"/>
  <c r="O13" i="9"/>
  <c r="AN145" i="35" l="1"/>
  <c r="AN146" i="35" s="1"/>
  <c r="D140" i="35"/>
  <c r="F151" i="35" s="1"/>
  <c r="C84" i="34"/>
  <c r="G84" i="34" s="1"/>
  <c r="G85" i="34" s="1"/>
  <c r="D124" i="35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C110" i="34"/>
  <c r="C108" i="34"/>
  <c r="D136" i="35" l="1"/>
  <c r="I152" i="35" s="1"/>
  <c r="I149" i="35"/>
  <c r="F84" i="34"/>
  <c r="F85" i="34" s="1"/>
  <c r="C9" i="34"/>
  <c r="D128" i="35"/>
  <c r="G37" i="34"/>
  <c r="F37" i="34"/>
  <c r="G58" i="34"/>
  <c r="G59" i="34" s="1"/>
  <c r="F58" i="34"/>
  <c r="F59" i="34" s="1"/>
  <c r="AA107" i="35" l="1"/>
  <c r="AA109" i="35" s="1"/>
  <c r="C108" i="35"/>
  <c r="C13" i="34"/>
  <c r="C14" i="34" s="1"/>
  <c r="C106" i="35" l="1"/>
  <c r="C109" i="35" s="1"/>
  <c r="AB109" i="35"/>
  <c r="C15" i="34"/>
  <c r="D106" i="35" l="1"/>
  <c r="D109" i="35" s="1"/>
  <c r="AF107" i="35"/>
  <c r="E106" i="35"/>
  <c r="E109" i="35" s="1"/>
  <c r="C18" i="13" l="1"/>
  <c r="V17" i="13"/>
  <c r="L142" i="13" s="1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C79" i="13"/>
  <c r="C83" i="13" s="1"/>
  <c r="C14" i="13" s="1"/>
  <c r="C123" i="23"/>
  <c r="H53" i="23"/>
  <c r="D100" i="13" l="1"/>
  <c r="H100" i="13" s="1"/>
  <c r="X18" i="13"/>
  <c r="Z14" i="13"/>
  <c r="AD14" i="13"/>
  <c r="AJ14" i="13"/>
  <c r="C16" i="13"/>
  <c r="AO16" i="13" s="1"/>
  <c r="AK14" i="13"/>
  <c r="AP14" i="13"/>
  <c r="AV14" i="13"/>
  <c r="AW14" i="13"/>
  <c r="C15" i="13"/>
  <c r="AF15" i="13" s="1"/>
  <c r="AT18" i="13"/>
  <c r="AH18" i="13"/>
  <c r="AR18" i="13"/>
  <c r="AF18" i="13"/>
  <c r="AE18" i="13"/>
  <c r="AP18" i="13"/>
  <c r="AD18" i="13"/>
  <c r="AC18" i="13"/>
  <c r="AZ18" i="13"/>
  <c r="AN18" i="13"/>
  <c r="AB18" i="13"/>
  <c r="AQ18" i="13"/>
  <c r="AY18" i="13"/>
  <c r="AM18" i="13"/>
  <c r="AA18" i="13"/>
  <c r="AI18" i="13"/>
  <c r="AS18" i="13"/>
  <c r="AO18" i="13"/>
  <c r="AX18" i="13"/>
  <c r="AL18" i="13"/>
  <c r="Z18" i="13"/>
  <c r="AU18" i="13"/>
  <c r="AG18" i="13"/>
  <c r="AW18" i="13"/>
  <c r="AK18" i="13"/>
  <c r="Y18" i="13"/>
  <c r="AV18" i="13"/>
  <c r="AJ18" i="13"/>
  <c r="AT14" i="13"/>
  <c r="AH14" i="13"/>
  <c r="AI14" i="13"/>
  <c r="AS14" i="13"/>
  <c r="AG14" i="13"/>
  <c r="AR14" i="13"/>
  <c r="AF14" i="13"/>
  <c r="AU14" i="13"/>
  <c r="AQ14" i="13"/>
  <c r="AE14" i="13"/>
  <c r="AO14" i="13"/>
  <c r="AZ14" i="13"/>
  <c r="AN14" i="13"/>
  <c r="AY14" i="13"/>
  <c r="AM14" i="13"/>
  <c r="AA14" i="13"/>
  <c r="AC14" i="13"/>
  <c r="AB14" i="13"/>
  <c r="AX14" i="13"/>
  <c r="AL14" i="13"/>
  <c r="AM16" i="13" l="1"/>
  <c r="AA16" i="13"/>
  <c r="AT16" i="13"/>
  <c r="AS16" i="13"/>
  <c r="AB16" i="13"/>
  <c r="AD16" i="13"/>
  <c r="AF16" i="13"/>
  <c r="AG16" i="13"/>
  <c r="AC16" i="13"/>
  <c r="AH16" i="13"/>
  <c r="AL16" i="13"/>
  <c r="Z16" i="13"/>
  <c r="M132" i="13" s="1"/>
  <c r="AY16" i="13"/>
  <c r="AQ16" i="13"/>
  <c r="AJ16" i="13"/>
  <c r="AX16" i="13"/>
  <c r="AR16" i="13"/>
  <c r="AV16" i="13"/>
  <c r="AP16" i="13"/>
  <c r="AD15" i="13"/>
  <c r="AK16" i="13"/>
  <c r="AN16" i="13"/>
  <c r="AI16" i="13"/>
  <c r="AW16" i="13"/>
  <c r="AO15" i="13"/>
  <c r="AE16" i="13"/>
  <c r="AU16" i="13"/>
  <c r="AI15" i="13"/>
  <c r="AC15" i="13"/>
  <c r="AK15" i="13"/>
  <c r="AU15" i="13"/>
  <c r="AN15" i="13"/>
  <c r="AE15" i="13"/>
  <c r="AW15" i="13"/>
  <c r="AA15" i="13"/>
  <c r="AZ15" i="13"/>
  <c r="AQ15" i="13"/>
  <c r="AR15" i="13"/>
  <c r="AS15" i="13"/>
  <c r="AG15" i="13"/>
  <c r="AP15" i="13"/>
  <c r="AB15" i="13"/>
  <c r="AM15" i="13"/>
  <c r="Z15" i="13"/>
  <c r="M138" i="13" s="1"/>
  <c r="AY15" i="13"/>
  <c r="AL15" i="13"/>
  <c r="AJ15" i="13"/>
  <c r="AX15" i="13"/>
  <c r="AV15" i="13"/>
  <c r="AH15" i="13"/>
  <c r="AZ16" i="13"/>
  <c r="AT15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G99" i="10"/>
  <c r="H74" i="23" l="1"/>
  <c r="H52" i="23"/>
  <c r="E122" i="23"/>
  <c r="H118" i="23"/>
  <c r="F122" i="23" s="1"/>
  <c r="D122" i="23" l="1"/>
  <c r="H75" i="23"/>
  <c r="D123" i="23" s="1"/>
  <c r="C65" i="13" l="1"/>
  <c r="E100" i="13"/>
  <c r="I100" i="13" s="1"/>
  <c r="J100" i="13" s="1"/>
  <c r="Q26" i="10"/>
  <c r="J52" i="11"/>
  <c r="J51" i="11"/>
  <c r="G101" i="11"/>
  <c r="G100" i="11"/>
  <c r="J94" i="1" l="1"/>
  <c r="C95" i="1" s="1"/>
  <c r="J93" i="1"/>
  <c r="Q194" i="2" l="1"/>
  <c r="R207" i="2"/>
  <c r="S207" i="2"/>
  <c r="Q207" i="2"/>
  <c r="S179" i="2"/>
  <c r="S194" i="2"/>
  <c r="R194" i="2"/>
  <c r="R156" i="2" l="1"/>
  <c r="R189" i="2" s="1"/>
  <c r="R154" i="2"/>
  <c r="Q196" i="2"/>
  <c r="W29" i="17"/>
  <c r="W28" i="17"/>
  <c r="S198" i="2"/>
  <c r="R198" i="2"/>
  <c r="Q198" i="2"/>
  <c r="S196" i="2"/>
  <c r="S193" i="2" s="1"/>
  <c r="R196" i="2"/>
  <c r="R193" i="2" s="1"/>
  <c r="Q193" i="2" l="1"/>
  <c r="Q211" i="2"/>
  <c r="Q206" i="2" s="1"/>
  <c r="Q210" i="2"/>
  <c r="R211" i="2"/>
  <c r="R206" i="2" s="1"/>
  <c r="R210" i="2"/>
  <c r="S210" i="2"/>
  <c r="S211" i="2"/>
  <c r="S206" i="2" s="1"/>
  <c r="S184" i="2"/>
  <c r="Q209" i="2" l="1"/>
  <c r="Q199" i="2" s="1"/>
  <c r="Q224" i="2" s="1"/>
  <c r="R209" i="2"/>
  <c r="R200" i="2" s="1"/>
  <c r="S209" i="2"/>
  <c r="S199" i="2" s="1"/>
  <c r="S224" i="2" s="1"/>
  <c r="S222" i="2"/>
  <c r="S205" i="2"/>
  <c r="S221" i="2" s="1"/>
  <c r="R205" i="2"/>
  <c r="R221" i="2" s="1"/>
  <c r="R222" i="2"/>
  <c r="Q222" i="2"/>
  <c r="Q205" i="2"/>
  <c r="Q221" i="2" s="1"/>
  <c r="Q223" i="2" s="1"/>
  <c r="J11" i="2"/>
  <c r="J10" i="2"/>
  <c r="H10" i="2"/>
  <c r="R151" i="2"/>
  <c r="V41" i="7"/>
  <c r="V42" i="7"/>
  <c r="V43" i="7"/>
  <c r="V44" i="7"/>
  <c r="S186" i="2"/>
  <c r="S187" i="2" s="1"/>
  <c r="R179" i="2"/>
  <c r="Q179" i="2"/>
  <c r="P179" i="2"/>
  <c r="O179" i="2"/>
  <c r="N179" i="2"/>
  <c r="Q184" i="2"/>
  <c r="R184" i="2"/>
  <c r="M179" i="2"/>
  <c r="S223" i="2" l="1"/>
  <c r="R223" i="2"/>
  <c r="R186" i="2"/>
  <c r="R187" i="2" s="1"/>
  <c r="R190" i="2"/>
  <c r="Q200" i="2"/>
  <c r="Q186" i="2"/>
  <c r="Q187" i="2" s="1"/>
  <c r="Q218" i="2"/>
  <c r="Q225" i="2" s="1"/>
  <c r="S200" i="2"/>
  <c r="R199" i="2"/>
  <c r="R224" i="2" s="1"/>
  <c r="S204" i="2"/>
  <c r="Q204" i="2"/>
  <c r="R204" i="2"/>
  <c r="S218" i="2"/>
  <c r="B76" i="5"/>
  <c r="R218" i="2" l="1"/>
  <c r="R225" i="2" s="1"/>
  <c r="R226" i="2" s="1"/>
  <c r="Q227" i="2"/>
  <c r="Q228" i="2" s="1"/>
  <c r="Q226" i="2"/>
  <c r="S225" i="2"/>
  <c r="M54" i="2"/>
  <c r="R227" i="2" l="1"/>
  <c r="R228" i="2" s="1"/>
  <c r="S227" i="2"/>
  <c r="S228" i="2" s="1"/>
  <c r="S226" i="2"/>
  <c r="C92" i="1"/>
  <c r="C91" i="1"/>
  <c r="M52" i="11" l="1"/>
  <c r="U117" i="1" l="1"/>
  <c r="U118" i="1"/>
  <c r="H118" i="1"/>
  <c r="Z37" i="42" l="1"/>
  <c r="Z42" i="42"/>
  <c r="E122" i="10"/>
  <c r="F122" i="10"/>
  <c r="G122" i="10"/>
  <c r="H122" i="10"/>
  <c r="I122" i="10"/>
  <c r="J122" i="10"/>
  <c r="K122" i="10"/>
  <c r="Z17" i="42"/>
  <c r="O50" i="40" s="1"/>
  <c r="I24" i="43" s="1"/>
  <c r="L103" i="10"/>
  <c r="J103" i="10"/>
  <c r="F103" i="10"/>
  <c r="E103" i="10"/>
  <c r="I100" i="10"/>
  <c r="I101" i="10"/>
  <c r="I99" i="10"/>
  <c r="N115" i="10"/>
  <c r="J101" i="10"/>
  <c r="J102" i="10"/>
  <c r="AA47" i="42" l="1"/>
  <c r="R68" i="42" s="1" a="1"/>
  <c r="R68" i="42" s="1"/>
  <c r="O96" i="40" s="1"/>
  <c r="Z47" i="42"/>
  <c r="AA32" i="42"/>
  <c r="R67" i="42" s="1" a="1"/>
  <c r="R67" i="42" s="1"/>
  <c r="O95" i="40" s="1"/>
  <c r="Z32" i="42"/>
  <c r="AA27" i="42"/>
  <c r="R66" i="42" s="1" a="1"/>
  <c r="R66" i="42" s="1"/>
  <c r="O94" i="40" s="1"/>
  <c r="Z27" i="42"/>
  <c r="AA42" i="42"/>
  <c r="AA37" i="42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L101" i="10" l="1"/>
  <c r="F120" i="10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AA30" i="42" l="1"/>
  <c r="R72" i="42" s="1" a="1"/>
  <c r="R72" i="42" s="1"/>
  <c r="Z30" i="42"/>
  <c r="E120" i="10"/>
  <c r="G120" i="10"/>
  <c r="H120" i="10"/>
  <c r="I120" i="10"/>
  <c r="K120" i="10"/>
  <c r="E53" i="10"/>
  <c r="C39" i="13"/>
  <c r="C40" i="13"/>
  <c r="C51" i="13" s="1"/>
  <c r="T142" i="13" s="1"/>
  <c r="C41" i="13"/>
  <c r="C38" i="13"/>
  <c r="C37" i="13"/>
  <c r="Z19" i="42" l="1"/>
  <c r="O52" i="40" s="1"/>
  <c r="I19" i="43" s="1"/>
  <c r="Z18" i="42"/>
  <c r="O51" i="40" s="1"/>
  <c r="I25" i="43" s="1"/>
  <c r="AA25" i="42"/>
  <c r="R71" i="42" s="1" a="1"/>
  <c r="R71" i="42" s="1"/>
  <c r="Z25" i="42"/>
  <c r="R70" i="42" s="1" a="1"/>
  <c r="R70" i="42" s="1"/>
  <c r="AA45" i="42"/>
  <c r="R74" i="42" s="1" a="1"/>
  <c r="R74" i="42" s="1"/>
  <c r="Z45" i="42"/>
  <c r="R73" i="42" s="1" a="1"/>
  <c r="R73" i="42" s="1"/>
  <c r="AA40" i="42"/>
  <c r="Z40" i="42"/>
  <c r="AA35" i="42"/>
  <c r="Z35" i="42"/>
  <c r="R79" i="42"/>
  <c r="O107" i="40" s="1"/>
  <c r="O100" i="40"/>
  <c r="C52" i="13"/>
  <c r="F110" i="13"/>
  <c r="K110" i="13" s="1"/>
  <c r="C47" i="13"/>
  <c r="T138" i="13" s="1"/>
  <c r="G110" i="13"/>
  <c r="C48" i="13"/>
  <c r="E110" i="13"/>
  <c r="C45" i="13"/>
  <c r="D110" i="13"/>
  <c r="H11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C46" i="13" l="1"/>
  <c r="T127" i="13"/>
  <c r="M162" i="13" s="1"/>
  <c r="C49" i="13"/>
  <c r="C50" i="13" s="1"/>
  <c r="T131" i="13"/>
  <c r="C53" i="13"/>
  <c r="T146" i="13"/>
  <c r="M171" i="13" s="1"/>
  <c r="R80" i="42"/>
  <c r="O108" i="40" s="1"/>
  <c r="O101" i="40"/>
  <c r="R81" i="42"/>
  <c r="O109" i="40" s="1"/>
  <c r="O102" i="40"/>
  <c r="R77" i="42"/>
  <c r="O105" i="40" s="1"/>
  <c r="O98" i="40"/>
  <c r="O99" i="40"/>
  <c r="R78" i="42"/>
  <c r="O106" i="40" s="1"/>
  <c r="J110" i="13"/>
  <c r="I11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121" i="2" l="1"/>
  <c r="M269" i="2"/>
  <c r="Z29" i="10" l="1"/>
  <c r="D27" i="13"/>
  <c r="C106" i="1"/>
  <c r="C116" i="1" s="1"/>
  <c r="S167" i="2"/>
  <c r="Q165" i="2"/>
  <c r="N271" i="2"/>
  <c r="E20" i="13" s="1"/>
  <c r="U37" i="10" l="1"/>
  <c r="Q37" i="10"/>
  <c r="S37" i="10"/>
  <c r="T37" i="10"/>
  <c r="R37" i="10"/>
  <c r="V37" i="10"/>
  <c r="W37" i="10"/>
  <c r="M266" i="2"/>
  <c r="Q148" i="2"/>
  <c r="D24" i="13" l="1"/>
  <c r="Z26" i="10"/>
  <c r="C101" i="1"/>
  <c r="O271" i="2"/>
  <c r="F20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54" i="2"/>
  <c r="U267" i="2"/>
  <c r="L25" i="13" s="1"/>
  <c r="J138" i="13" s="1"/>
  <c r="M270" i="2"/>
  <c r="U269" i="2"/>
  <c r="L27" i="13" s="1"/>
  <c r="J142" i="13" s="1"/>
  <c r="T269" i="2"/>
  <c r="K27" i="13" s="1"/>
  <c r="I142" i="13" s="1"/>
  <c r="S269" i="2"/>
  <c r="J27" i="13" s="1"/>
  <c r="H142" i="13" s="1"/>
  <c r="R269" i="2"/>
  <c r="I27" i="13" s="1"/>
  <c r="G142" i="13" s="1"/>
  <c r="Q269" i="2"/>
  <c r="H27" i="13" s="1"/>
  <c r="H25" i="1"/>
  <c r="H58" i="1" s="1"/>
  <c r="M268" i="2"/>
  <c r="M267" i="2"/>
  <c r="R242" i="2"/>
  <c r="R243" i="2" s="1"/>
  <c r="S242" i="2"/>
  <c r="S243" i="2" s="1"/>
  <c r="R244" i="2"/>
  <c r="T244" i="2" s="1"/>
  <c r="U244" i="2" s="1"/>
  <c r="S244" i="2"/>
  <c r="Q244" i="2"/>
  <c r="Q242" i="2"/>
  <c r="Q243" i="2" s="1"/>
  <c r="S156" i="2"/>
  <c r="S189" i="2" s="1"/>
  <c r="S190" i="2" s="1"/>
  <c r="Q156" i="2"/>
  <c r="Q189" i="2" s="1"/>
  <c r="Q190" i="2" s="1"/>
  <c r="P165" i="2"/>
  <c r="R165" i="2"/>
  <c r="S165" i="2"/>
  <c r="R167" i="2"/>
  <c r="R168" i="2" s="1"/>
  <c r="S168" i="2"/>
  <c r="T258" i="2" s="1"/>
  <c r="Q167" i="2"/>
  <c r="S154" i="2"/>
  <c r="S148" i="2"/>
  <c r="R148" i="2"/>
  <c r="S151" i="2"/>
  <c r="Q151" i="2"/>
  <c r="M51" i="2"/>
  <c r="D6" i="13" s="1"/>
  <c r="D15" i="13" s="1"/>
  <c r="D7" i="13"/>
  <c r="D16" i="13" s="1"/>
  <c r="M53" i="2"/>
  <c r="D8" i="13" s="1"/>
  <c r="D17" i="13" s="1"/>
  <c r="D9" i="13"/>
  <c r="D18" i="13" s="1"/>
  <c r="D5" i="13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06" i="2"/>
  <c r="I106" i="2"/>
  <c r="J106" i="2"/>
  <c r="K106" i="2"/>
  <c r="L106" i="2"/>
  <c r="M106" i="2"/>
  <c r="N106" i="2"/>
  <c r="O106" i="2"/>
  <c r="P106" i="2"/>
  <c r="G106" i="2"/>
  <c r="H90" i="2"/>
  <c r="H88" i="2" s="1"/>
  <c r="I90" i="2"/>
  <c r="I88" i="2" s="1"/>
  <c r="I100" i="2" s="1"/>
  <c r="J90" i="2"/>
  <c r="J88" i="2" s="1"/>
  <c r="K90" i="2"/>
  <c r="K88" i="2" s="1"/>
  <c r="L90" i="2"/>
  <c r="L88" i="2" s="1"/>
  <c r="M90" i="2"/>
  <c r="M88" i="2" s="1"/>
  <c r="M100" i="2" s="1"/>
  <c r="N90" i="2"/>
  <c r="N88" i="2" s="1"/>
  <c r="O90" i="2"/>
  <c r="O88" i="2" s="1"/>
  <c r="P90" i="2"/>
  <c r="P88" i="2" s="1"/>
  <c r="H92" i="2"/>
  <c r="I92" i="2"/>
  <c r="J92" i="2"/>
  <c r="K92" i="2"/>
  <c r="L92" i="2"/>
  <c r="M92" i="2"/>
  <c r="N92" i="2"/>
  <c r="O92" i="2"/>
  <c r="P92" i="2"/>
  <c r="H93" i="2"/>
  <c r="H89" i="2" s="1"/>
  <c r="I93" i="2"/>
  <c r="I89" i="2" s="1"/>
  <c r="J93" i="2"/>
  <c r="J89" i="2" s="1"/>
  <c r="K93" i="2"/>
  <c r="K89" i="2" s="1"/>
  <c r="L93" i="2"/>
  <c r="L89" i="2" s="1"/>
  <c r="M93" i="2"/>
  <c r="M89" i="2" s="1"/>
  <c r="N93" i="2"/>
  <c r="N89" i="2" s="1"/>
  <c r="O93" i="2"/>
  <c r="O89" i="2" s="1"/>
  <c r="P93" i="2"/>
  <c r="P89" i="2" s="1"/>
  <c r="H94" i="2"/>
  <c r="I94" i="2"/>
  <c r="J94" i="2"/>
  <c r="K94" i="2"/>
  <c r="L94" i="2"/>
  <c r="M94" i="2"/>
  <c r="N94" i="2"/>
  <c r="O94" i="2"/>
  <c r="P94" i="2"/>
  <c r="G94" i="2"/>
  <c r="G90" i="2"/>
  <c r="G88" i="2" s="1"/>
  <c r="G93" i="2"/>
  <c r="G89" i="2" s="1"/>
  <c r="G92" i="2"/>
  <c r="S41" i="7"/>
  <c r="T41" i="7"/>
  <c r="U41" i="7"/>
  <c r="P104" i="2" s="1"/>
  <c r="P105" i="2" s="1"/>
  <c r="P168" i="2" s="1"/>
  <c r="S42" i="7"/>
  <c r="T42" i="7"/>
  <c r="U42" i="7"/>
  <c r="S43" i="7"/>
  <c r="N102" i="2" s="1"/>
  <c r="T43" i="7"/>
  <c r="O102" i="2" s="1"/>
  <c r="U43" i="7"/>
  <c r="P102" i="2" s="1"/>
  <c r="S44" i="7"/>
  <c r="N103" i="2" s="1"/>
  <c r="T44" i="7"/>
  <c r="O103" i="2" s="1"/>
  <c r="U44" i="7"/>
  <c r="P103" i="2" s="1"/>
  <c r="P166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4" i="13" l="1"/>
  <c r="D10" i="13"/>
  <c r="D28" i="13"/>
  <c r="D25" i="13"/>
  <c r="Z27" i="10"/>
  <c r="Z28" i="10"/>
  <c r="D26" i="13"/>
  <c r="N51" i="2"/>
  <c r="E6" i="13" s="1"/>
  <c r="E15" i="13" s="1"/>
  <c r="H38" i="1"/>
  <c r="H106" i="1"/>
  <c r="H116" i="1" s="1"/>
  <c r="AT18" i="7"/>
  <c r="F25" i="1"/>
  <c r="F58" i="1" s="1"/>
  <c r="C104" i="1"/>
  <c r="C114" i="1" s="1"/>
  <c r="N54" i="2"/>
  <c r="E9" i="13" s="1"/>
  <c r="E18" i="13" s="1"/>
  <c r="T255" i="2"/>
  <c r="U255" i="2" s="1"/>
  <c r="O11" i="2"/>
  <c r="P11" i="2" s="1"/>
  <c r="N52" i="2"/>
  <c r="E7" i="13" s="1"/>
  <c r="E16" i="13" s="1"/>
  <c r="G25" i="1"/>
  <c r="G58" i="1" s="1"/>
  <c r="C105" i="1"/>
  <c r="C115" i="1" s="1"/>
  <c r="M300" i="2"/>
  <c r="C102" i="1"/>
  <c r="D25" i="1"/>
  <c r="S157" i="2"/>
  <c r="S158" i="2" s="1"/>
  <c r="G106" i="1"/>
  <c r="G116" i="1" s="1"/>
  <c r="H29" i="1"/>
  <c r="H33" i="1"/>
  <c r="H30" i="1"/>
  <c r="H31" i="1"/>
  <c r="H32" i="1"/>
  <c r="AT17" i="7"/>
  <c r="T242" i="2"/>
  <c r="U242" i="2" s="1"/>
  <c r="Q157" i="2"/>
  <c r="Q158" i="2" s="1"/>
  <c r="M299" i="2"/>
  <c r="C25" i="1"/>
  <c r="C58" i="1" s="1"/>
  <c r="O97" i="2"/>
  <c r="K97" i="2"/>
  <c r="I102" i="2"/>
  <c r="I109" i="2" s="1"/>
  <c r="R157" i="2"/>
  <c r="R158" i="2" s="1"/>
  <c r="P167" i="2"/>
  <c r="P267" i="2" s="1"/>
  <c r="G25" i="13" s="1"/>
  <c r="P169" i="2"/>
  <c r="P269" i="2" s="1"/>
  <c r="G27" i="13" s="1"/>
  <c r="P97" i="2"/>
  <c r="P100" i="2"/>
  <c r="P109" i="2" s="1"/>
  <c r="M102" i="2"/>
  <c r="M109" i="2" s="1"/>
  <c r="G100" i="2"/>
  <c r="G97" i="2"/>
  <c r="O53" i="2"/>
  <c r="F8" i="13" s="1"/>
  <c r="F17" i="13" s="1"/>
  <c r="P16" i="2"/>
  <c r="L97" i="2"/>
  <c r="L100" i="2"/>
  <c r="L102" i="2" s="1"/>
  <c r="L109" i="2" s="1"/>
  <c r="H97" i="2"/>
  <c r="H100" i="2"/>
  <c r="H102" i="2" s="1"/>
  <c r="H109" i="2" s="1"/>
  <c r="N53" i="2"/>
  <c r="E8" i="13" s="1"/>
  <c r="E17" i="13" s="1"/>
  <c r="T257" i="2"/>
  <c r="T267" i="2" s="1"/>
  <c r="K25" i="13" s="1"/>
  <c r="I138" i="13" s="1"/>
  <c r="O100" i="2"/>
  <c r="O109" i="2" s="1"/>
  <c r="K100" i="2"/>
  <c r="K102" i="2" s="1"/>
  <c r="K109" i="2" s="1"/>
  <c r="N97" i="2"/>
  <c r="J97" i="2"/>
  <c r="N100" i="2"/>
  <c r="N109" i="2" s="1"/>
  <c r="J100" i="2"/>
  <c r="J102" i="2" s="1"/>
  <c r="J109" i="2" s="1"/>
  <c r="Q168" i="2"/>
  <c r="Q267" i="2" s="1"/>
  <c r="H25" i="13" s="1"/>
  <c r="S267" i="2"/>
  <c r="J25" i="13" s="1"/>
  <c r="H138" i="13" s="1"/>
  <c r="R267" i="2"/>
  <c r="N50" i="2"/>
  <c r="O13" i="2"/>
  <c r="O10" i="2"/>
  <c r="O14" i="2"/>
  <c r="I97" i="2"/>
  <c r="M97" i="2"/>
  <c r="M271" i="2"/>
  <c r="N270" i="2" s="1"/>
  <c r="AT16" i="7"/>
  <c r="N18" i="7"/>
  <c r="D45" i="7"/>
  <c r="M44" i="5"/>
  <c r="O270" i="2" l="1"/>
  <c r="E28" i="13"/>
  <c r="E29" i="13" s="1"/>
  <c r="D104" i="1"/>
  <c r="R36" i="10"/>
  <c r="W36" i="10"/>
  <c r="Q36" i="10"/>
  <c r="S36" i="10"/>
  <c r="T36" i="10"/>
  <c r="V36" i="10"/>
  <c r="U36" i="10"/>
  <c r="N268" i="2"/>
  <c r="T35" i="10"/>
  <c r="Q35" i="10"/>
  <c r="S35" i="10"/>
  <c r="U35" i="10"/>
  <c r="V35" i="10"/>
  <c r="W35" i="10"/>
  <c r="W38" i="10" s="1"/>
  <c r="R35" i="10"/>
  <c r="N267" i="2"/>
  <c r="M304" i="2"/>
  <c r="N269" i="2"/>
  <c r="N266" i="2"/>
  <c r="I25" i="13"/>
  <c r="G138" i="13" s="1"/>
  <c r="AA29" i="10"/>
  <c r="M294" i="2"/>
  <c r="M296" i="2" s="1"/>
  <c r="D20" i="13"/>
  <c r="D29" i="13" s="1"/>
  <c r="F29" i="1"/>
  <c r="N55" i="2"/>
  <c r="N293" i="2" s="1"/>
  <c r="E5" i="13"/>
  <c r="F33" i="1"/>
  <c r="F30" i="1"/>
  <c r="F31" i="1"/>
  <c r="G31" i="1"/>
  <c r="G30" i="1"/>
  <c r="O52" i="2"/>
  <c r="F7" i="13" s="1"/>
  <c r="F16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53" i="2"/>
  <c r="G8" i="13" s="1"/>
  <c r="G17" i="13" s="1"/>
  <c r="G102" i="2"/>
  <c r="G109" i="2" s="1"/>
  <c r="P10" i="2"/>
  <c r="O50" i="2"/>
  <c r="F5" i="13" s="1"/>
  <c r="P13" i="2"/>
  <c r="O54" i="2"/>
  <c r="F9" i="13" s="1"/>
  <c r="F18" i="13" s="1"/>
  <c r="P14" i="2"/>
  <c r="O51" i="2"/>
  <c r="F6" i="13" s="1"/>
  <c r="F15" i="13" s="1"/>
  <c r="Q11" i="2"/>
  <c r="P52" i="2"/>
  <c r="G7" i="13" s="1"/>
  <c r="G16" i="13" s="1"/>
  <c r="M140" i="2"/>
  <c r="O122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P54" i="2" l="1"/>
  <c r="G9" i="13" s="1"/>
  <c r="G18" i="13" s="1"/>
  <c r="Q13" i="2"/>
  <c r="E14" i="13"/>
  <c r="E10" i="13"/>
  <c r="F14" i="13"/>
  <c r="F10" i="13"/>
  <c r="O38" i="4"/>
  <c r="H116" i="4"/>
  <c r="R38" i="10"/>
  <c r="O266" i="2"/>
  <c r="E24" i="13"/>
  <c r="D101" i="1"/>
  <c r="E26" i="13"/>
  <c r="O268" i="2"/>
  <c r="D102" i="1"/>
  <c r="O269" i="2"/>
  <c r="E27" i="13"/>
  <c r="D106" i="1"/>
  <c r="E25" i="13"/>
  <c r="O267" i="2"/>
  <c r="D105" i="1"/>
  <c r="D32" i="13"/>
  <c r="D31" i="13"/>
  <c r="V38" i="10"/>
  <c r="U38" i="10"/>
  <c r="S38" i="10"/>
  <c r="Q38" i="10"/>
  <c r="E31" i="13"/>
  <c r="E32" i="13"/>
  <c r="T38" i="10"/>
  <c r="F28" i="13"/>
  <c r="F29" i="13" s="1"/>
  <c r="E104" i="1"/>
  <c r="E76" i="10"/>
  <c r="W45" i="10"/>
  <c r="T45" i="10"/>
  <c r="V45" i="10"/>
  <c r="Q45" i="10"/>
  <c r="R45" i="10"/>
  <c r="U45" i="10"/>
  <c r="S45" i="10"/>
  <c r="G35" i="1"/>
  <c r="M301" i="2"/>
  <c r="M302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53" i="2"/>
  <c r="H8" i="13" s="1"/>
  <c r="H17" i="13" s="1"/>
  <c r="R16" i="2"/>
  <c r="O55" i="2"/>
  <c r="O293" i="2" s="1"/>
  <c r="R11" i="2"/>
  <c r="Q52" i="2"/>
  <c r="H7" i="13" s="1"/>
  <c r="H16" i="13" s="1"/>
  <c r="Q14" i="2"/>
  <c r="P51" i="2"/>
  <c r="G6" i="13" s="1"/>
  <c r="G15" i="13" s="1"/>
  <c r="Q10" i="2"/>
  <c r="Q164" i="2" s="1"/>
  <c r="Q163" i="2" s="1"/>
  <c r="P50" i="2"/>
  <c r="G5" i="13" s="1"/>
  <c r="M55" i="2"/>
  <c r="M293" i="2" s="1"/>
  <c r="M295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R13" i="2" l="1"/>
  <c r="Q54" i="2"/>
  <c r="H9" i="13" s="1"/>
  <c r="H18" i="13" s="1"/>
  <c r="P163" i="2"/>
  <c r="P266" i="2" s="1"/>
  <c r="C50" i="1" s="1"/>
  <c r="C55" i="1" s="1"/>
  <c r="Q266" i="2"/>
  <c r="G14" i="13"/>
  <c r="G10" i="13"/>
  <c r="F25" i="13"/>
  <c r="E105" i="1"/>
  <c r="F27" i="13"/>
  <c r="E106" i="1"/>
  <c r="F31" i="13"/>
  <c r="F32" i="13"/>
  <c r="F26" i="13"/>
  <c r="E102" i="1"/>
  <c r="F24" i="13"/>
  <c r="E101" i="1"/>
  <c r="I102" i="10"/>
  <c r="F111" i="10"/>
  <c r="H111" i="10"/>
  <c r="J111" i="10"/>
  <c r="G111" i="10"/>
  <c r="E111" i="10"/>
  <c r="K111" i="10"/>
  <c r="Q268" i="2"/>
  <c r="H26" i="13" s="1"/>
  <c r="P164" i="2"/>
  <c r="P268" i="2" s="1"/>
  <c r="G26" i="13" s="1"/>
  <c r="Q170" i="2"/>
  <c r="Q270" i="2" s="1"/>
  <c r="H28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53" i="2"/>
  <c r="I8" i="13" s="1"/>
  <c r="I17" i="13" s="1"/>
  <c r="K142" i="13" s="1"/>
  <c r="S16" i="2"/>
  <c r="P55" i="2"/>
  <c r="P293" i="2" s="1"/>
  <c r="R14" i="2"/>
  <c r="Q51" i="2"/>
  <c r="H6" i="13" s="1"/>
  <c r="H15" i="13" s="1"/>
  <c r="R10" i="2"/>
  <c r="Q50" i="2"/>
  <c r="H5" i="13" s="1"/>
  <c r="S11" i="2"/>
  <c r="R52" i="2"/>
  <c r="I7" i="13" s="1"/>
  <c r="I16" i="13" s="1"/>
  <c r="K132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I111" i="10" l="1"/>
  <c r="V107" i="13"/>
  <c r="S13" i="2"/>
  <c r="R54" i="2"/>
  <c r="I9" i="13" s="1"/>
  <c r="I18" i="13" s="1"/>
  <c r="H14" i="13"/>
  <c r="H10" i="13"/>
  <c r="R164" i="2"/>
  <c r="R163" i="2" s="1"/>
  <c r="R170" i="2" s="1"/>
  <c r="L102" i="10"/>
  <c r="I39" i="4"/>
  <c r="I114" i="4" s="1"/>
  <c r="G171" i="4"/>
  <c r="P170" i="2"/>
  <c r="H24" i="13"/>
  <c r="D50" i="1"/>
  <c r="F102" i="1"/>
  <c r="F112" i="1" s="1"/>
  <c r="G102" i="1"/>
  <c r="G112" i="1" s="1"/>
  <c r="I171" i="4"/>
  <c r="K217" i="4"/>
  <c r="E39" i="4"/>
  <c r="E116" i="4" s="1"/>
  <c r="T16" i="2"/>
  <c r="S53" i="2"/>
  <c r="J8" i="13" s="1"/>
  <c r="J17" i="13" s="1"/>
  <c r="Q55" i="2"/>
  <c r="Q293" i="2" s="1"/>
  <c r="S10" i="2"/>
  <c r="S164" i="2" s="1"/>
  <c r="T254" i="2" s="1"/>
  <c r="U254" i="2" s="1"/>
  <c r="R50" i="2"/>
  <c r="I5" i="13" s="1"/>
  <c r="T11" i="2"/>
  <c r="S52" i="2"/>
  <c r="J7" i="13" s="1"/>
  <c r="J16" i="13" s="1"/>
  <c r="S14" i="2"/>
  <c r="R51" i="2"/>
  <c r="I6" i="13" s="1"/>
  <c r="I15" i="13" s="1"/>
  <c r="K138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K146" i="13" l="1"/>
  <c r="G146" i="13"/>
  <c r="G106" i="13"/>
  <c r="G108" i="13" s="1"/>
  <c r="Q136" i="13"/>
  <c r="T13" i="2"/>
  <c r="S54" i="2"/>
  <c r="J9" i="13" s="1"/>
  <c r="J18" i="13" s="1"/>
  <c r="H146" i="13" s="1"/>
  <c r="R75" i="10"/>
  <c r="F100" i="10"/>
  <c r="I14" i="13"/>
  <c r="K127" i="13" s="1"/>
  <c r="I10" i="13"/>
  <c r="R268" i="2"/>
  <c r="F121" i="10"/>
  <c r="E121" i="10"/>
  <c r="G121" i="10"/>
  <c r="Z13" i="42"/>
  <c r="O44" i="40" s="1"/>
  <c r="I22" i="43" s="1"/>
  <c r="H121" i="10"/>
  <c r="K121" i="10"/>
  <c r="J121" i="10"/>
  <c r="I121" i="10"/>
  <c r="S163" i="2"/>
  <c r="S268" i="2"/>
  <c r="J26" i="13" s="1"/>
  <c r="H132" i="13" s="1"/>
  <c r="I107" i="4"/>
  <c r="D56" i="1"/>
  <c r="D54" i="1"/>
  <c r="D55" i="1"/>
  <c r="D57" i="1"/>
  <c r="I116" i="4"/>
  <c r="I145" i="4"/>
  <c r="I109" i="4"/>
  <c r="I112" i="4"/>
  <c r="R266" i="2"/>
  <c r="R270" i="2"/>
  <c r="AA28" i="10" s="1"/>
  <c r="I106" i="4"/>
  <c r="G104" i="1"/>
  <c r="G114" i="1" s="1"/>
  <c r="Q299" i="2"/>
  <c r="G101" i="1"/>
  <c r="Q271" i="2"/>
  <c r="Q304" i="2" s="1"/>
  <c r="E113" i="4"/>
  <c r="I110" i="4"/>
  <c r="G24" i="13"/>
  <c r="P270" i="2"/>
  <c r="Q300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53" i="2" s="1"/>
  <c r="L8" i="13" s="1"/>
  <c r="T53" i="2"/>
  <c r="K8" i="13" s="1"/>
  <c r="K17" i="13" s="1"/>
  <c r="R55" i="2"/>
  <c r="R293" i="2" s="1"/>
  <c r="U11" i="2"/>
  <c r="U52" i="2" s="1"/>
  <c r="L7" i="13" s="1"/>
  <c r="T52" i="2"/>
  <c r="K7" i="13" s="1"/>
  <c r="K16" i="13" s="1"/>
  <c r="T14" i="2"/>
  <c r="S51" i="2"/>
  <c r="J6" i="13" s="1"/>
  <c r="J15" i="13" s="1"/>
  <c r="T10" i="2"/>
  <c r="S50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AA36" i="42" l="1"/>
  <c r="R43" i="42" s="1" a="1"/>
  <c r="R43" i="42" s="1"/>
  <c r="O71" i="40" s="1"/>
  <c r="Z36" i="42"/>
  <c r="AA31" i="42"/>
  <c r="R45" i="42" s="1" a="1"/>
  <c r="R45" i="42" s="1"/>
  <c r="O73" i="40" s="1"/>
  <c r="Z31" i="42"/>
  <c r="AA41" i="42"/>
  <c r="R47" i="42" s="1" a="1"/>
  <c r="R47" i="42" s="1"/>
  <c r="O75" i="40" s="1"/>
  <c r="Z41" i="42"/>
  <c r="AA46" i="42"/>
  <c r="R46" i="42" s="1" a="1"/>
  <c r="R46" i="42" s="1"/>
  <c r="O74" i="40" s="1"/>
  <c r="Z46" i="42"/>
  <c r="U13" i="2"/>
  <c r="U54" i="2" s="1"/>
  <c r="L9" i="13" s="1"/>
  <c r="T54" i="2"/>
  <c r="K9" i="13" s="1"/>
  <c r="K18" i="13" s="1"/>
  <c r="I146" i="13" s="1"/>
  <c r="S105" i="13"/>
  <c r="L16" i="13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E96" i="13"/>
  <c r="J14" i="13"/>
  <c r="J10" i="13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6" i="13"/>
  <c r="G132" i="13" s="1"/>
  <c r="T253" i="2"/>
  <c r="U253" i="2" s="1"/>
  <c r="S170" i="2"/>
  <c r="L17" i="13"/>
  <c r="M17" i="13" s="1"/>
  <c r="N17" i="13" s="1"/>
  <c r="O17" i="13" s="1"/>
  <c r="P17" i="13" s="1"/>
  <c r="Q17" i="13" s="1"/>
  <c r="R17" i="13" s="1"/>
  <c r="S17" i="13" s="1"/>
  <c r="T17" i="13" s="1"/>
  <c r="U17" i="13" s="1"/>
  <c r="C27" i="13" a="1"/>
  <c r="C27" i="13" s="1"/>
  <c r="E75" i="10"/>
  <c r="J110" i="10" s="1"/>
  <c r="R111" i="10" s="1"/>
  <c r="R44" i="10"/>
  <c r="T44" i="10"/>
  <c r="Q44" i="10"/>
  <c r="V44" i="10"/>
  <c r="U44" i="10"/>
  <c r="S44" i="10"/>
  <c r="W44" i="10"/>
  <c r="I24" i="13"/>
  <c r="G127" i="13" s="1"/>
  <c r="AA26" i="10"/>
  <c r="I28" i="13"/>
  <c r="G28" i="13"/>
  <c r="Q294" i="2"/>
  <c r="Q301" i="2" s="1"/>
  <c r="Q302" i="2" s="1"/>
  <c r="H20" i="13"/>
  <c r="H29" i="13" s="1"/>
  <c r="H32" i="13" s="1"/>
  <c r="G111" i="1"/>
  <c r="G117" i="1" s="1"/>
  <c r="G107" i="1"/>
  <c r="D60" i="1"/>
  <c r="R300" i="2"/>
  <c r="F38" i="1"/>
  <c r="H104" i="1"/>
  <c r="H114" i="1" s="1"/>
  <c r="C38" i="1"/>
  <c r="H101" i="1"/>
  <c r="H111" i="1" s="1"/>
  <c r="R299" i="2"/>
  <c r="R271" i="2"/>
  <c r="R304" i="2" s="1"/>
  <c r="F101" i="1"/>
  <c r="P299" i="2"/>
  <c r="P271" i="2"/>
  <c r="P304" i="2" s="1"/>
  <c r="U268" i="2"/>
  <c r="L26" i="13" s="1"/>
  <c r="J132" i="13" s="1"/>
  <c r="T268" i="2"/>
  <c r="K26" i="13" s="1"/>
  <c r="I132" i="13" s="1"/>
  <c r="F104" i="1"/>
  <c r="F114" i="1" s="1"/>
  <c r="F50" i="1"/>
  <c r="P300" i="2"/>
  <c r="E117" i="4"/>
  <c r="E126" i="4" s="1"/>
  <c r="E127" i="4" s="1"/>
  <c r="E138" i="4" s="1"/>
  <c r="S266" i="2"/>
  <c r="J24" i="13" s="1"/>
  <c r="H127" i="13" s="1"/>
  <c r="J116" i="4"/>
  <c r="G117" i="4"/>
  <c r="J109" i="4"/>
  <c r="U14" i="2"/>
  <c r="U51" i="2" s="1"/>
  <c r="L6" i="13" s="1"/>
  <c r="G96" i="13" s="1"/>
  <c r="T51" i="2"/>
  <c r="K6" i="13" s="1"/>
  <c r="K15" i="13" s="1"/>
  <c r="S55" i="2"/>
  <c r="S293" i="2" s="1"/>
  <c r="U10" i="2"/>
  <c r="U50" i="2" s="1"/>
  <c r="L5" i="13" s="1"/>
  <c r="D96" i="13" s="1"/>
  <c r="T50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W16" i="13" l="1"/>
  <c r="X16" i="13" s="1"/>
  <c r="Y16" i="13" s="1"/>
  <c r="L132" i="13"/>
  <c r="E107" i="13"/>
  <c r="J107" i="13" s="1"/>
  <c r="J108" i="13" s="1"/>
  <c r="O130" i="13"/>
  <c r="L18" i="13"/>
  <c r="F96" i="13"/>
  <c r="AA26" i="42"/>
  <c r="R44" i="42" s="1" a="1"/>
  <c r="R44" i="42" s="1"/>
  <c r="O72" i="40" s="1"/>
  <c r="Z26" i="42"/>
  <c r="K14" i="13"/>
  <c r="K10" i="13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L10" i="13"/>
  <c r="C25" i="13" a="1"/>
  <c r="C25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6" i="13" a="1"/>
  <c r="C26" i="13" s="1"/>
  <c r="W43" i="10"/>
  <c r="S43" i="10"/>
  <c r="T43" i="10"/>
  <c r="E74" i="10"/>
  <c r="F109" i="10" s="1"/>
  <c r="U43" i="10"/>
  <c r="Q43" i="10"/>
  <c r="V43" i="10"/>
  <c r="H117" i="1"/>
  <c r="H119" i="1" s="1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V15" i="13" s="1"/>
  <c r="E73" i="10"/>
  <c r="V42" i="10"/>
  <c r="U42" i="10"/>
  <c r="S42" i="10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31" i="13"/>
  <c r="G122" i="1"/>
  <c r="P294" i="2"/>
  <c r="P301" i="2" s="1"/>
  <c r="P302" i="2" s="1"/>
  <c r="G20" i="13"/>
  <c r="G29" i="13" s="1"/>
  <c r="G32" i="13" s="1"/>
  <c r="S270" i="2"/>
  <c r="T260" i="2"/>
  <c r="U260" i="2" s="1"/>
  <c r="R294" i="2"/>
  <c r="R296" i="2" s="1"/>
  <c r="I20" i="13"/>
  <c r="Q296" i="2"/>
  <c r="Q295" i="2"/>
  <c r="S299" i="2"/>
  <c r="C57" i="1"/>
  <c r="C56" i="1"/>
  <c r="C54" i="1"/>
  <c r="F55" i="1"/>
  <c r="J55" i="1" s="1"/>
  <c r="F56" i="1"/>
  <c r="F57" i="1"/>
  <c r="F54" i="1"/>
  <c r="T270" i="2"/>
  <c r="T266" i="2"/>
  <c r="K24" i="13" s="1"/>
  <c r="I127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55" i="2"/>
  <c r="U293" i="2" s="1"/>
  <c r="T55" i="2"/>
  <c r="T293" i="2" s="1"/>
  <c r="N147" i="4"/>
  <c r="N151" i="4" s="1"/>
  <c r="J151" i="4"/>
  <c r="J117" i="4"/>
  <c r="D126" i="4"/>
  <c r="D127" i="4" s="1"/>
  <c r="D130" i="4" s="1"/>
  <c r="E130" i="4"/>
  <c r="I29" i="13" l="1"/>
  <c r="I32" i="13" s="1"/>
  <c r="I107" i="13"/>
  <c r="M18" i="13"/>
  <c r="N18" i="13" s="1"/>
  <c r="O18" i="13" s="1"/>
  <c r="P18" i="13" s="1"/>
  <c r="Q18" i="13" s="1"/>
  <c r="R18" i="13" s="1"/>
  <c r="S18" i="13" s="1"/>
  <c r="T18" i="13" s="1"/>
  <c r="U18" i="13" s="1"/>
  <c r="V18" i="13" s="1"/>
  <c r="J146" i="13"/>
  <c r="W15" i="13"/>
  <c r="X15" i="13" s="1"/>
  <c r="Y15" i="13" s="1"/>
  <c r="L138" i="13"/>
  <c r="S46" i="10"/>
  <c r="R112" i="10"/>
  <c r="R113" i="10" s="1"/>
  <c r="J99" i="10" s="1"/>
  <c r="J108" i="10" s="1"/>
  <c r="G73" i="10"/>
  <c r="G74" i="10" s="1"/>
  <c r="E168" i="4"/>
  <c r="E186" i="4"/>
  <c r="E189" i="4"/>
  <c r="E188" i="4"/>
  <c r="E185" i="4"/>
  <c r="E187" i="4"/>
  <c r="T46" i="10"/>
  <c r="I109" i="10"/>
  <c r="H109" i="10"/>
  <c r="P295" i="2"/>
  <c r="E109" i="10"/>
  <c r="P296" i="2"/>
  <c r="K109" i="10"/>
  <c r="U46" i="10"/>
  <c r="G109" i="10"/>
  <c r="V46" i="10"/>
  <c r="Q46" i="10"/>
  <c r="R53" i="10" s="1"/>
  <c r="W46" i="10"/>
  <c r="J69" i="1"/>
  <c r="R127" i="10"/>
  <c r="I108" i="10"/>
  <c r="E108" i="10"/>
  <c r="F108" i="10"/>
  <c r="F113" i="10" s="1"/>
  <c r="F114" i="10" s="1"/>
  <c r="H108" i="10"/>
  <c r="G108" i="10"/>
  <c r="K108" i="10"/>
  <c r="K113" i="10" s="1"/>
  <c r="K114" i="10" s="1"/>
  <c r="D185" i="4"/>
  <c r="C62" i="10" s="1"/>
  <c r="C68" i="10" s="1"/>
  <c r="D189" i="4"/>
  <c r="D187" i="4"/>
  <c r="D188" i="4"/>
  <c r="D186" i="4"/>
  <c r="D62" i="10" s="1"/>
  <c r="I31" i="13"/>
  <c r="S271" i="2"/>
  <c r="S304" i="2" s="1"/>
  <c r="G31" i="13"/>
  <c r="F122" i="1"/>
  <c r="R301" i="2"/>
  <c r="R302" i="2" s="1"/>
  <c r="S300" i="2"/>
  <c r="J28" i="13"/>
  <c r="R295" i="2"/>
  <c r="J57" i="1"/>
  <c r="J66" i="1"/>
  <c r="T300" i="2"/>
  <c r="K28" i="13"/>
  <c r="J56" i="1"/>
  <c r="D131" i="4"/>
  <c r="J131" i="4" s="1"/>
  <c r="D138" i="4"/>
  <c r="H122" i="1"/>
  <c r="U270" i="2"/>
  <c r="U266" i="2"/>
  <c r="T299" i="2"/>
  <c r="T271" i="2"/>
  <c r="T304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I113" i="10" l="1"/>
  <c r="I114" i="10" s="1"/>
  <c r="S97" i="10"/>
  <c r="U97" i="10" s="1"/>
  <c r="V97" i="10" s="1"/>
  <c r="W18" i="13"/>
  <c r="L146" i="13"/>
  <c r="H113" i="10"/>
  <c r="H114" i="10" s="1"/>
  <c r="L24" i="13"/>
  <c r="J100" i="10"/>
  <c r="W104" i="13"/>
  <c r="L99" i="10"/>
  <c r="J118" i="10" s="1"/>
  <c r="E113" i="10"/>
  <c r="E114" i="10" s="1"/>
  <c r="S100" i="10" s="1"/>
  <c r="U100" i="10" s="1"/>
  <c r="V100" i="10" s="1"/>
  <c r="G113" i="10"/>
  <c r="G114" i="10" s="1"/>
  <c r="J20" i="13"/>
  <c r="J29" i="13" s="1"/>
  <c r="J32" i="13" s="1"/>
  <c r="S294" i="2"/>
  <c r="S301" i="2" s="1"/>
  <c r="S302" i="2" s="1"/>
  <c r="E62" i="10"/>
  <c r="D68" i="10"/>
  <c r="E68" i="10" s="1"/>
  <c r="T294" i="2"/>
  <c r="T296" i="2" s="1"/>
  <c r="K20" i="13"/>
  <c r="K29" i="13" s="1"/>
  <c r="K32" i="13" s="1"/>
  <c r="U300" i="2"/>
  <c r="L28" i="13"/>
  <c r="C28" i="13" s="1" a="1"/>
  <c r="C28" i="13" s="1"/>
  <c r="J71" i="1"/>
  <c r="J60" i="1"/>
  <c r="D169" i="4"/>
  <c r="U271" i="2"/>
  <c r="U299" i="2"/>
  <c r="D35" i="1"/>
  <c r="E171" i="4"/>
  <c r="J132" i="4"/>
  <c r="J127" i="4"/>
  <c r="G132" i="4"/>
  <c r="H132" i="4"/>
  <c r="E132" i="4"/>
  <c r="I132" i="4"/>
  <c r="D132" i="4"/>
  <c r="C24" i="13" l="1" a="1"/>
  <c r="C24" i="13" s="1"/>
  <c r="J127" i="13"/>
  <c r="D105" i="13"/>
  <c r="H105" i="13" s="1"/>
  <c r="H108" i="13" s="1"/>
  <c r="R126" i="13"/>
  <c r="K161" i="13" s="1"/>
  <c r="G118" i="10"/>
  <c r="I118" i="10"/>
  <c r="K118" i="10"/>
  <c r="F118" i="10"/>
  <c r="H118" i="10"/>
  <c r="E118" i="10"/>
  <c r="D108" i="13"/>
  <c r="W105" i="13"/>
  <c r="L100" i="10"/>
  <c r="J109" i="10"/>
  <c r="J113" i="10" s="1"/>
  <c r="J114" i="10" s="1"/>
  <c r="S109" i="10" s="1"/>
  <c r="U109" i="10" s="1"/>
  <c r="V109" i="10" s="1"/>
  <c r="AA43" i="42"/>
  <c r="R31" i="42" s="1" a="1"/>
  <c r="R31" i="42" s="1"/>
  <c r="Z43" i="42"/>
  <c r="R30" i="42" s="1" a="1"/>
  <c r="R30" i="42" s="1"/>
  <c r="S296" i="2"/>
  <c r="S295" i="2"/>
  <c r="G115" i="10"/>
  <c r="S107" i="10" s="1"/>
  <c r="U107" i="10" s="1"/>
  <c r="V107" i="10" s="1"/>
  <c r="T301" i="2"/>
  <c r="T302" i="2" s="1"/>
  <c r="U304" i="2"/>
  <c r="L20" i="13"/>
  <c r="L29" i="13" s="1"/>
  <c r="L32" i="13" s="1"/>
  <c r="T295" i="2"/>
  <c r="K31" i="13"/>
  <c r="J31" i="13"/>
  <c r="U294" i="2"/>
  <c r="U296" i="2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E105" i="13" l="1"/>
  <c r="E108" i="13" s="1"/>
  <c r="R131" i="13"/>
  <c r="F119" i="10"/>
  <c r="E119" i="10"/>
  <c r="K119" i="10"/>
  <c r="G119" i="10"/>
  <c r="H119" i="10"/>
  <c r="I119" i="10"/>
  <c r="AA23" i="42"/>
  <c r="R28" i="42" s="1" a="1"/>
  <c r="R28" i="42" s="1"/>
  <c r="Z23" i="42"/>
  <c r="R27" i="42" s="1" a="1"/>
  <c r="R27" i="42" s="1"/>
  <c r="J119" i="10"/>
  <c r="AA28" i="42"/>
  <c r="Z28" i="42"/>
  <c r="R29" i="42" s="1" a="1"/>
  <c r="R29" i="42" s="1"/>
  <c r="R39" i="42"/>
  <c r="O67" i="40" s="1"/>
  <c r="O58" i="40"/>
  <c r="AA38" i="42"/>
  <c r="Z38" i="42"/>
  <c r="R40" i="42"/>
  <c r="O68" i="40" s="1"/>
  <c r="O59" i="40"/>
  <c r="Z12" i="42"/>
  <c r="Z11" i="42"/>
  <c r="O42" i="40" s="1"/>
  <c r="AA33" i="42"/>
  <c r="R26" i="42" s="1" a="1"/>
  <c r="R26" i="42" s="1"/>
  <c r="Z33" i="42"/>
  <c r="R25" i="42" s="1" a="1"/>
  <c r="R25" i="42" s="1"/>
  <c r="J186" i="4"/>
  <c r="J189" i="4"/>
  <c r="J188" i="4"/>
  <c r="J185" i="4"/>
  <c r="J187" i="4"/>
  <c r="L31" i="13"/>
  <c r="U301" i="2"/>
  <c r="U302" i="2" s="1"/>
  <c r="U295" i="2"/>
  <c r="J46" i="1"/>
  <c r="J29" i="1"/>
  <c r="C35" i="1"/>
  <c r="D171" i="4"/>
  <c r="J171" i="4" s="1"/>
  <c r="J166" i="4"/>
  <c r="I105" i="13" l="1"/>
  <c r="I108" i="13" s="1"/>
  <c r="AA44" i="42"/>
  <c r="R52" i="42" s="1" a="1"/>
  <c r="R52" i="42" s="1"/>
  <c r="Z44" i="42"/>
  <c r="R51" i="42" s="1" a="1"/>
  <c r="R51" i="42" s="1"/>
  <c r="R36" i="42"/>
  <c r="O64" i="40" s="1"/>
  <c r="O55" i="40"/>
  <c r="R37" i="42"/>
  <c r="O65" i="40" s="1"/>
  <c r="O56" i="40"/>
  <c r="AA39" i="42"/>
  <c r="Z39" i="42"/>
  <c r="O43" i="40"/>
  <c r="I16" i="43" s="1"/>
  <c r="I21" i="43"/>
  <c r="AA34" i="42"/>
  <c r="Z34" i="42"/>
  <c r="R34" i="42"/>
  <c r="O62" i="40" s="1"/>
  <c r="O53" i="40"/>
  <c r="Z24" i="42"/>
  <c r="R48" i="42" s="1" a="1"/>
  <c r="R48" i="42" s="1"/>
  <c r="R35" i="42"/>
  <c r="O63" i="40" s="1"/>
  <c r="O54" i="40"/>
  <c r="Z15" i="42"/>
  <c r="Z14" i="42"/>
  <c r="O47" i="40" s="1"/>
  <c r="O57" i="40"/>
  <c r="R38" i="42"/>
  <c r="O66" i="40" s="1"/>
  <c r="AA29" i="42"/>
  <c r="R50" i="42" s="1" a="1"/>
  <c r="R50" i="42" s="1"/>
  <c r="Z29" i="42"/>
  <c r="J35" i="1"/>
  <c r="P122" i="2"/>
  <c r="N122" i="2"/>
  <c r="M122" i="2"/>
  <c r="P121" i="2"/>
  <c r="O121" i="2"/>
  <c r="N121" i="2"/>
  <c r="P69" i="2"/>
  <c r="P72" i="2" s="1"/>
  <c r="O69" i="2"/>
  <c r="O72" i="2" s="1"/>
  <c r="N69" i="2"/>
  <c r="N72" i="2" s="1"/>
  <c r="M69" i="2"/>
  <c r="M72" i="2" s="1"/>
  <c r="L69" i="2"/>
  <c r="L72" i="2" s="1"/>
  <c r="K69" i="2"/>
  <c r="K72" i="2" s="1"/>
  <c r="J69" i="2"/>
  <c r="J72" i="2" s="1"/>
  <c r="I69" i="2"/>
  <c r="I72" i="2" s="1"/>
  <c r="H69" i="2"/>
  <c r="H72" i="2" s="1"/>
  <c r="G69" i="2"/>
  <c r="G72" i="2" s="1"/>
  <c r="P80" i="2"/>
  <c r="O80" i="2"/>
  <c r="N80" i="2"/>
  <c r="M80" i="2"/>
  <c r="L80" i="2"/>
  <c r="K80" i="2"/>
  <c r="J80" i="2"/>
  <c r="I80" i="2"/>
  <c r="H80" i="2"/>
  <c r="G80" i="2"/>
  <c r="P76" i="2"/>
  <c r="O76" i="2"/>
  <c r="N76" i="2"/>
  <c r="M76" i="2"/>
  <c r="L76" i="2"/>
  <c r="K76" i="2"/>
  <c r="J76" i="2"/>
  <c r="I76" i="2"/>
  <c r="H76" i="2"/>
  <c r="G76" i="2"/>
  <c r="O48" i="40" l="1"/>
  <c r="I23" i="43"/>
  <c r="M23" i="43" s="1"/>
  <c r="AB47" i="40" s="1"/>
  <c r="R55" i="42"/>
  <c r="O83" i="40" s="1"/>
  <c r="O76" i="40"/>
  <c r="R57" i="42"/>
  <c r="O85" i="40" s="1"/>
  <c r="O78" i="40"/>
  <c r="AA24" i="42"/>
  <c r="R49" i="42" s="1" a="1"/>
  <c r="R49" i="42" s="1"/>
  <c r="R58" i="42"/>
  <c r="O86" i="40" s="1"/>
  <c r="O79" i="40"/>
  <c r="R59" i="42"/>
  <c r="O87" i="40" s="1"/>
  <c r="O80" i="40"/>
  <c r="M82" i="2"/>
  <c r="M83" i="2" s="1"/>
  <c r="G82" i="2"/>
  <c r="G83" i="2" s="1"/>
  <c r="J82" i="2"/>
  <c r="J83" i="2" s="1"/>
  <c r="N82" i="2"/>
  <c r="N83" i="2" s="1"/>
  <c r="K82" i="2"/>
  <c r="K83" i="2" s="1"/>
  <c r="O82" i="2"/>
  <c r="O83" i="2" s="1"/>
  <c r="H82" i="2"/>
  <c r="H83" i="2" s="1"/>
  <c r="L82" i="2"/>
  <c r="L83" i="2" s="1"/>
  <c r="P82" i="2"/>
  <c r="P83" i="2" s="1"/>
  <c r="I82" i="2"/>
  <c r="I83" i="2" s="1"/>
  <c r="R56" i="42" l="1"/>
  <c r="O84" i="40" s="1"/>
  <c r="O77" i="40"/>
  <c r="O49" i="40"/>
  <c r="I18" i="43" s="1"/>
  <c r="M18" i="43" s="1"/>
  <c r="AB49" i="40" s="1"/>
  <c r="I17" i="43"/>
  <c r="M17" i="43" s="1"/>
  <c r="AB48" i="40" s="1"/>
  <c r="I48" i="40"/>
  <c r="I52" i="40"/>
  <c r="I43" i="40"/>
  <c r="M52" i="40"/>
  <c r="F65" i="43"/>
  <c r="M48" i="40"/>
  <c r="I49" i="40"/>
  <c r="M49" i="40"/>
  <c r="AB52" i="40"/>
  <c r="AB43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tc={AF20959E-C097-422A-A52E-DF34743C7886}</author>
  </authors>
  <commentList>
    <comment ref="G7" authorId="0" shapeId="0" xr:uid="{AF20959E-C097-422A-A52E-DF34743C78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AB10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G10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H10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I10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J10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<sst xmlns="http://schemas.openxmlformats.org/spreadsheetml/2006/main" count="9428" uniqueCount="1611">
  <si>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</si>
  <si>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</si>
  <si>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</si>
  <si>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</si>
  <si>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</si>
  <si>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</si>
  <si>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</si>
  <si>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</si>
  <si>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</si>
  <si>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</si>
  <si>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</si>
  <si>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</si>
  <si>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</si>
  <si>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</si>
  <si>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</si>
  <si>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</si>
  <si>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</si>
  <si>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</si>
  <si>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</si>
  <si>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</si>
  <si>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</si>
  <si>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</si>
  <si>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</si>
  <si>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</si>
  <si>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</si>
  <si>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</si>
  <si>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</si>
  <si>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</si>
  <si>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</si>
  <si>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</si>
  <si>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</si>
  <si>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</si>
  <si>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</si>
  <si>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</si>
  <si>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</si>
  <si>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</si>
  <si>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</si>
  <si>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</si>
  <si>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</si>
  <si>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</si>
  <si>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</si>
  <si>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</si>
  <si>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</si>
  <si>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</si>
  <si>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</si>
  <si>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</si>
  <si>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</si>
  <si>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</si>
  <si>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</si>
  <si>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</si>
  <si>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</si>
  <si>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</si>
  <si>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</si>
  <si>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</si>
  <si>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</si>
  <si>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</si>
  <si>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</si>
  <si>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</si>
  <si>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</si>
  <si>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</si>
  <si>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</si>
  <si>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</si>
  <si>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</si>
  <si>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</si>
  <si>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</si>
  <si>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</si>
  <si>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</si>
  <si>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</si>
  <si>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</si>
  <si>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</si>
  <si>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</si>
  <si>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</si>
  <si>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</si>
  <si>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</si>
  <si>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</si>
  <si>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</si>
  <si>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</si>
  <si>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</si>
  <si>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</si>
  <si>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</si>
  <si>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</si>
  <si>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</si>
  <si>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</si>
  <si>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</si>
  <si>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</si>
  <si>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</si>
  <si>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</si>
  <si>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</si>
  <si>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</si>
  <si>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</si>
  <si>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</si>
  <si>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</si>
  <si>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</si>
  <si>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</si>
  <si>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</si>
  <si>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</si>
  <si>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</si>
  <si>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</si>
  <si>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</si>
  <si>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</si>
  <si>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</si>
  <si>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</si>
  <si>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</si>
  <si>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</si>
  <si>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</si>
  <si>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</si>
  <si>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</si>
  <si>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</si>
  <si>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</si>
  <si>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</si>
  <si>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</si>
  <si>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</si>
  <si>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</si>
  <si>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</si>
  <si>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</si>
  <si>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</si>
  <si>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</si>
  <si>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</si>
  <si>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</si>
  <si>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</si>
  <si>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</si>
  <si>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</si>
  <si>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</si>
  <si>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</si>
  <si>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</si>
  <si>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</si>
  <si>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</si>
  <si>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</si>
  <si>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</si>
  <si>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</si>
  <si>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</si>
  <si>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</si>
  <si>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</si>
  <si>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</si>
  <si>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</si>
  <si>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</si>
  <si>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</si>
  <si>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</si>
  <si>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</si>
  <si>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</si>
  <si>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</si>
  <si>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</si>
  <si>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</si>
  <si>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</si>
  <si>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</si>
  <si>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</si>
  <si>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</si>
  <si>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</si>
  <si>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</si>
  <si>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</si>
  <si>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</si>
  <si>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</si>
  <si>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</si>
  <si>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</si>
  <si>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</si>
  <si>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</si>
  <si>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</si>
  <si>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</si>
  <si>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</si>
  <si>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</si>
  <si>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</si>
  <si>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</si>
  <si>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</si>
  <si>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</si>
  <si>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</si>
  <si>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</si>
  <si>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</si>
  <si>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</si>
  <si>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</si>
  <si>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</si>
  <si>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</si>
  <si>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</si>
  <si>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</si>
  <si>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</si>
  <si>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</si>
  <si>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</si>
  <si>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</si>
  <si>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</si>
  <si>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</si>
  <si>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</si>
  <si>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</si>
  <si>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</si>
  <si>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</si>
  <si>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</si>
  <si>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</si>
  <si>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</si>
  <si>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</si>
  <si>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</si>
  <si>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</si>
  <si>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</si>
  <si>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</si>
  <si>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</si>
  <si>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</si>
  <si>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</si>
  <si>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</si>
  <si>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</si>
  <si>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</si>
  <si>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</si>
  <si>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</si>
  <si>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</si>
  <si>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</si>
  <si>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</si>
  <si>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</si>
  <si>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</si>
  <si>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</si>
  <si>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</si>
  <si>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</si>
  <si>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</si>
  <si>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</si>
  <si>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</si>
  <si>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</si>
  <si>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</si>
  <si>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</si>
  <si>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</si>
  <si>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</si>
  <si>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</si>
  <si>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</si>
  <si>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</si>
  <si>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</si>
  <si>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</si>
  <si>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</si>
  <si>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</si>
  <si>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</si>
  <si>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</si>
  <si>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</si>
  <si>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</si>
  <si>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</si>
  <si>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</si>
  <si>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</si>
  <si>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</si>
  <si>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</si>
  <si>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</si>
  <si>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</si>
  <si>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</si>
  <si>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</si>
  <si>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</si>
  <si>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</si>
  <si>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</si>
  <si>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</si>
  <si>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</si>
  <si>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</si>
  <si>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</si>
  <si>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</si>
  <si>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</si>
  <si>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</si>
  <si>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</si>
  <si>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</si>
  <si>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</si>
  <si>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</si>
  <si>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</si>
  <si>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</si>
  <si>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</si>
  <si>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</si>
  <si>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</si>
  <si>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</si>
  <si>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</si>
  <si>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</si>
  <si>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</si>
  <si>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</si>
  <si>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</si>
  <si>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</si>
  <si>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</si>
  <si>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</si>
  <si>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</si>
  <si>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</si>
  <si>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</si>
  <si>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</si>
  <si>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</si>
  <si>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</si>
  <si>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</si>
  <si>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</si>
  <si>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</si>
  <si>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</si>
  <si>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</si>
  <si>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</si>
  <si>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</si>
  <si>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</si>
  <si>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</si>
  <si>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</si>
  <si>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</si>
  <si>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</si>
  <si>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</si>
  <si>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</si>
  <si>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</si>
  <si>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</si>
  <si>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</si>
  <si>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</si>
  <si>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</si>
  <si>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</si>
  <si>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</si>
  <si>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</si>
  <si>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</si>
  <si>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</si>
  <si>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</si>
  <si>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</si>
  <si>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</si>
  <si>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</si>
  <si>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</si>
  <si>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</si>
  <si>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</si>
  <si>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</si>
  <si>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</si>
  <si>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</si>
  <si>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</si>
  <si>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</si>
  <si>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</si>
  <si>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</si>
  <si>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</si>
  <si>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</si>
  <si>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</si>
  <si>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</si>
  <si>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</si>
  <si>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</si>
  <si>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</si>
  <si>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</si>
  <si>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</si>
  <si>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</si>
  <si>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</si>
  <si>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</si>
  <si>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</si>
  <si>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</si>
  <si>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</si>
  <si>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</si>
  <si>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</si>
  <si>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</si>
  <si>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</si>
  <si>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</si>
  <si>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</si>
  <si>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</si>
  <si>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</si>
  <si>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</si>
  <si>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</si>
  <si>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</si>
  <si>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</si>
  <si>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</si>
  <si>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</si>
  <si>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</si>
  <si>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</si>
  <si>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</si>
  <si>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</si>
  <si>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</si>
  <si>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</si>
  <si>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</si>
  <si>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</si>
  <si>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</si>
  <si>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</si>
  <si>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</si>
  <si>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</si>
  <si>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</si>
  <si>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</si>
  <si>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</si>
  <si>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</si>
  <si>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</si>
  <si>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</si>
  <si>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</si>
  <si>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</si>
  <si>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</si>
  <si>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</si>
  <si>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</si>
  <si>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</si>
  <si>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</si>
  <si>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</si>
  <si>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</si>
  <si>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</si>
  <si>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</si>
  <si>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</si>
  <si>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</si>
  <si>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</si>
  <si>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</si>
  <si>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</si>
  <si>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</si>
  <si>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</si>
  <si>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</si>
  <si>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</si>
  <si>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</si>
  <si>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</si>
  <si>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</si>
  <si>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</si>
  <si>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</si>
  <si>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</si>
  <si>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</si>
  <si>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</si>
  <si>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</si>
  <si>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</si>
  <si>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</si>
  <si>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</si>
  <si>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</si>
  <si>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</si>
  <si>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</si>
  <si>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</si>
  <si>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</si>
  <si>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</si>
  <si>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</si>
  <si>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</si>
  <si>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</si>
  <si>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</si>
  <si>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</si>
  <si>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</si>
  <si>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</si>
  <si>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</si>
  <si>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</si>
  <si>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</si>
  <si>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</si>
  <si>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</si>
  <si>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</si>
  <si>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</si>
  <si>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</si>
  <si>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</si>
  <si>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</si>
  <si>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</si>
  <si>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</si>
  <si>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</si>
  <si>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</si>
  <si>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</si>
  <si>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</si>
  <si>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</si>
  <si>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</si>
  <si>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</si>
  <si>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</si>
  <si>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</si>
  <si>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</si>
  <si>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</si>
  <si>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</si>
  <si>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</si>
  <si>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</si>
  <si>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</si>
  <si>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</si>
  <si>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</si>
  <si>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</si>
  <si>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</si>
  <si>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</si>
  <si>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</si>
  <si>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</si>
  <si>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</si>
  <si>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</si>
  <si>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</si>
  <si>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</si>
  <si>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</si>
  <si>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</si>
  <si>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</si>
  <si>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</si>
  <si>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</si>
  <si>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</si>
  <si>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</si>
  <si>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</si>
  <si>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</si>
  <si>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</si>
  <si>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</si>
  <si>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</si>
  <si>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</si>
  <si>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</si>
  <si>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</si>
  <si>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</si>
  <si>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</si>
  <si>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</si>
  <si>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</si>
  <si>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</si>
  <si>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</si>
  <si>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</si>
  <si>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</si>
  <si>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</si>
  <si>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</si>
  <si>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</si>
  <si>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</si>
  <si>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</si>
  <si>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</si>
  <si>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</si>
  <si>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</si>
  <si>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</si>
  <si>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</si>
  <si>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</si>
  <si>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</si>
  <si>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</si>
  <si>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</si>
  <si>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</si>
  <si>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</si>
  <si>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</si>
  <si>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</si>
  <si>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</si>
  <si>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</si>
  <si>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</si>
  <si>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</si>
  <si>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</si>
  <si>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</si>
  <si>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</si>
  <si>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</si>
  <si>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</si>
  <si>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</si>
  <si>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</si>
  <si>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</si>
  <si>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</si>
  <si>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</si>
  <si>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</si>
  <si>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</si>
  <si>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</si>
  <si>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</si>
  <si>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</si>
  <si>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</si>
  <si>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</si>
  <si>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</si>
  <si>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</si>
  <si>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</si>
  <si>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</si>
  <si>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</si>
  <si>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</si>
  <si>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</si>
  <si>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</si>
  <si>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</si>
  <si>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</si>
  <si>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</si>
  <si>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</si>
  <si>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</si>
  <si>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</si>
  <si>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</si>
  <si>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</si>
  <si>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</si>
  <si>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</si>
  <si>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</si>
  <si>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</si>
  <si>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</si>
  <si>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</si>
  <si>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</si>
  <si>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</si>
  <si>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</si>
  <si>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</si>
  <si>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</si>
  <si>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</si>
  <si>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</si>
  <si>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</si>
  <si>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</si>
  <si>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</si>
  <si>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</si>
  <si>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</si>
  <si>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</si>
  <si>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</si>
  <si>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</si>
  <si>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</si>
  <si>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</si>
  <si>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</si>
  <si>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</si>
  <si>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</si>
  <si>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</si>
  <si>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</si>
  <si>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</si>
  <si>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</si>
  <si>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</si>
  <si>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</si>
  <si>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</si>
  <si>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</si>
  <si>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</si>
  <si>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</si>
  <si>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</si>
  <si>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</si>
  <si>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</si>
  <si>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</si>
  <si>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</si>
  <si>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</si>
  <si>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</si>
  <si>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</si>
  <si>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</si>
  <si>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</si>
  <si>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</si>
  <si>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</si>
  <si>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</si>
  <si>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</si>
  <si>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</si>
  <si>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</si>
  <si>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</si>
  <si>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</si>
  <si>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</si>
  <si>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</si>
  <si>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</si>
  <si>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</si>
  <si>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</si>
  <si>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</si>
  <si>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</si>
  <si>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</si>
  <si>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</si>
  <si>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</si>
  <si>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</si>
  <si>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</si>
  <si>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</si>
  <si>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</si>
  <si>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</si>
  <si>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</si>
  <si>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</si>
  <si>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</si>
  <si>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</si>
  <si>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</si>
  <si>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</si>
  <si>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</si>
  <si>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</si>
  <si>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</si>
  <si>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</si>
  <si>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</si>
  <si>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</si>
  <si>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</si>
  <si>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</si>
  <si>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</si>
  <si>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</si>
  <si>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</si>
  <si>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</si>
  <si>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</si>
  <si>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</si>
  <si>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</si>
  <si>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</si>
  <si>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</si>
  <si>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</si>
  <si>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</si>
  <si>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</si>
  <si>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</si>
  <si>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</si>
  <si>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</si>
  <si>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</si>
  <si>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</si>
  <si>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</si>
  <si>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</si>
  <si>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</si>
  <si>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</si>
  <si>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</si>
  <si>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</si>
  <si>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</si>
  <si>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</si>
  <si>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</si>
  <si>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</si>
  <si>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</si>
  <si>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</si>
  <si>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</si>
  <si>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</si>
  <si>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</si>
  <si>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</si>
  <si>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</si>
  <si>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</si>
  <si>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</si>
  <si>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</si>
  <si>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</si>
  <si>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</si>
  <si>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</si>
  <si>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</si>
  <si>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</si>
  <si>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</si>
  <si>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</si>
  <si>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</si>
  <si>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</si>
  <si>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</si>
  <si>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</si>
  <si>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</si>
  <si>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</si>
  <si>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</si>
  <si>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</si>
  <si>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</si>
  <si>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</si>
  <si>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</si>
  <si>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</si>
  <si>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</si>
  <si>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</si>
  <si>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</si>
  <si>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</si>
  <si>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</si>
  <si>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</si>
  <si>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</si>
  <si>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</si>
  <si>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</si>
  <si>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</si>
  <si>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</si>
  <si>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</si>
  <si>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</si>
  <si>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</si>
  <si>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</si>
  <si>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</si>
  <si>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</si>
  <si>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</si>
  <si>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</si>
  <si>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</si>
  <si>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</si>
  <si>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</si>
  <si>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</si>
  <si>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</si>
  <si>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</si>
  <si>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</si>
  <si>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</si>
  <si>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</si>
  <si>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</si>
  <si>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</si>
  <si>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</si>
  <si>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</si>
  <si>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</si>
  <si>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</si>
  <si>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</si>
  <si>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</si>
  <si>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</si>
  <si>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</si>
  <si>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</si>
  <si>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</si>
  <si>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</si>
  <si>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</si>
  <si>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</si>
  <si>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</si>
  <si>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</si>
  <si>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</si>
  <si>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</si>
  <si>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</si>
  <si>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</si>
  <si>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</si>
  <si>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</si>
  <si>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</si>
  <si>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</si>
  <si>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</si>
  <si>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</si>
  <si>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</si>
  <si>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</si>
  <si>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</si>
  <si>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</si>
  <si>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</si>
  <si>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</si>
  <si>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</si>
  <si>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</si>
  <si>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</si>
  <si>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</si>
  <si>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</si>
  <si>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</si>
  <si>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</si>
  <si>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</si>
  <si>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</si>
  <si>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</si>
  <si>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</si>
  <si>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</si>
  <si>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</si>
  <si>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</si>
  <si>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</si>
  <si>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</si>
  <si>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</si>
  <si>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</si>
  <si>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</si>
  <si>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</si>
  <si>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</si>
  <si>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</si>
  <si>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</si>
  <si>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</si>
  <si>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</si>
  <si>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</si>
  <si>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</si>
  <si>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</si>
  <si>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</si>
  <si>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</si>
  <si>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</si>
  <si>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</si>
  <si>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</si>
  <si>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</si>
  <si>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</si>
  <si>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</si>
  <si>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</si>
  <si>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</si>
  <si>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</si>
  <si>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</si>
  <si>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</si>
  <si>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</si>
  <si>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</si>
  <si>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</si>
  <si>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</si>
  <si>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</si>
  <si>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</si>
  <si>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</si>
  <si>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</si>
  <si>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</si>
  <si>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</si>
  <si>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</si>
  <si>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</si>
  <si>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</si>
  <si>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</si>
  <si>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</si>
  <si>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</si>
  <si>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</si>
  <si>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</si>
  <si>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</si>
  <si>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</si>
  <si>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</si>
  <si>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</si>
  <si>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</si>
  <si>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</si>
  <si>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</si>
  <si>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</si>
  <si>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</si>
  <si>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</si>
  <si>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</si>
  <si>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</si>
  <si>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</si>
  <si>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</si>
  <si>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</si>
  <si>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</si>
  <si>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</si>
  <si>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</si>
  <si>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</si>
  <si>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</si>
  <si>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</si>
  <si>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</si>
  <si>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</si>
  <si>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</si>
  <si>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</si>
  <si>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</si>
  <si>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</si>
  <si>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</si>
  <si>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</si>
  <si>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</si>
  <si>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</si>
  <si>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</si>
  <si>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</si>
  <si>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</si>
  <si>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</si>
  <si>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</si>
  <si>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</si>
  <si>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</si>
  <si>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</si>
  <si>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</si>
  <si>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</si>
  <si>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</si>
  <si>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</si>
  <si>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</si>
  <si>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</si>
  <si>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</si>
  <si>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</si>
  <si>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</si>
  <si>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</si>
  <si>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</si>
  <si>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</si>
  <si>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</si>
  <si>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</si>
  <si>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</si>
  <si>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</si>
  <si>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</si>
  <si>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</si>
  <si>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</si>
  <si>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</si>
  <si>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</si>
  <si>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</si>
  <si>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</si>
  <si>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</si>
  <si>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</si>
  <si>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</si>
  <si>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</si>
  <si>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</si>
  <si>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</si>
  <si>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</si>
  <si>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</si>
  <si>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</si>
  <si>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</si>
  <si>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</si>
  <si>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</si>
  <si>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</si>
  <si>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</si>
  <si>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</si>
  <si>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</si>
  <si>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</si>
  <si>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</si>
  <si>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</si>
  <si>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</si>
  <si>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</si>
  <si>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</si>
  <si>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</si>
  <si>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</si>
  <si>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</si>
  <si>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</si>
  <si>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</si>
  <si>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</si>
  <si>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</si>
  <si>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</si>
  <si>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</si>
  <si>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</si>
  <si>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</si>
  <si>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</si>
  <si>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</si>
  <si>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</si>
  <si>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</si>
  <si>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</si>
  <si>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</si>
  <si>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</si>
  <si>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</si>
  <si>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</si>
  <si>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</si>
  <si>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</si>
  <si>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</si>
  <si>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</si>
  <si>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</si>
  <si>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</si>
  <si>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</si>
  <si>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</si>
  <si>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</si>
  <si>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</si>
  <si>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</si>
  <si>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</si>
  <si>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</si>
  <si>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</si>
  <si>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</si>
  <si>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</si>
  <si>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</si>
  <si>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</si>
  <si>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</si>
  <si>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</si>
  <si>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</si>
  <si>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</si>
  <si>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</si>
  <si>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</si>
  <si>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</si>
  <si>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</si>
  <si>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</si>
  <si>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</si>
  <si>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</si>
  <si>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</si>
  <si>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</si>
  <si>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</si>
  <si>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</si>
  <si>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</si>
  <si>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</si>
  <si>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</si>
  <si>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</si>
  <si>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</si>
  <si>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</si>
  <si>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</si>
  <si>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</si>
  <si>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</si>
  <si>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</si>
  <si>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</si>
  <si>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</si>
  <si>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</si>
  <si>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</si>
  <si>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</si>
  <si>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</si>
  <si>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</si>
  <si>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</si>
  <si>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</si>
  <si>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</si>
  <si>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</si>
  <si>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</si>
  <si>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</si>
  <si>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</si>
  <si>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</si>
  <si>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</si>
  <si>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</si>
  <si>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</si>
  <si>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</si>
  <si>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</si>
  <si>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</si>
  <si>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</si>
  <si>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</si>
  <si>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</si>
  <si>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</si>
  <si>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</si>
  <si>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</si>
  <si>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</si>
  <si>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</si>
  <si>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</si>
  <si>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</si>
  <si>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</si>
  <si>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</si>
  <si>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</si>
  <si>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</si>
  <si>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</si>
  <si>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</si>
  <si>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</si>
  <si>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</si>
  <si>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</si>
  <si>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</si>
  <si>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</si>
  <si>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</si>
  <si>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</si>
  <si>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</si>
  <si>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</si>
  <si>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</si>
  <si>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</si>
  <si>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</si>
  <si>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</si>
  <si>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</si>
  <si>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</si>
  <si>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</si>
  <si>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</si>
  <si>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</si>
  <si>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</si>
  <si>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</si>
  <si>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</si>
  <si>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</si>
  <si>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</si>
  <si>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</si>
  <si>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</si>
  <si>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</si>
  <si>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</si>
  <si>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</si>
  <si>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</si>
  <si>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</si>
  <si>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</si>
  <si>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</si>
  <si>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</si>
  <si>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</si>
  <si>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</si>
  <si>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</si>
  <si>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</si>
  <si>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</si>
  <si>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</si>
  <si>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</si>
  <si>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</si>
  <si>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</si>
  <si>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</si>
  <si>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CGIISHHDRIEAF-N-O</t>
  </si>
  <si>
    <t>D</t>
  </si>
  <si>
    <t>CGIISHHDRIEAF-N-I</t>
  </si>
  <si>
    <t>PJ,PJa</t>
  </si>
  <si>
    <t>XIISELCHY</t>
  </si>
  <si>
    <t>T</t>
  </si>
  <si>
    <t>PRC,PRE,ANNUAL</t>
  </si>
  <si>
    <t>MINFEORE</t>
  </si>
  <si>
    <t>IISHSOLPCTO-N</t>
  </si>
  <si>
    <t>*</t>
  </si>
  <si>
    <t>IISHHGNSTOR-N</t>
  </si>
  <si>
    <t>mt,mt/a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</si>
  <si>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</si>
  <si>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</si>
  <si>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</si>
  <si>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</si>
  <si>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</si>
  <si>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</si>
  <si>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</si>
  <si>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E</t>
  </si>
  <si>
    <t>IISHHELC</t>
  </si>
  <si>
    <t>COM,NRG,ANNUAL,FOSSIL</t>
  </si>
  <si>
    <t>IISHGCRS</t>
  </si>
  <si>
    <t>IISHBI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</si>
  <si>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</si>
  <si>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</si>
  <si>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</si>
  <si>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</si>
  <si>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</si>
  <si>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</si>
  <si>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</si>
  <si>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</si>
  <si>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</si>
  <si>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</si>
  <si>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</si>
  <si>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</si>
  <si>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</si>
  <si>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</si>
  <si>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</si>
  <si>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</si>
  <si>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</si>
  <si>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</si>
  <si>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</si>
  <si>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</si>
  <si>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</si>
  <si>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</si>
  <si>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</si>
  <si>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</si>
  <si>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</si>
  <si>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</si>
  <si>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</si>
  <si>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</si>
  <si>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</si>
  <si>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</si>
  <si>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</si>
  <si>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</si>
  <si>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</si>
  <si>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</si>
  <si>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</si>
  <si>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</si>
  <si>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</si>
  <si>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</si>
  <si>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</si>
  <si>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</si>
  <si>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</si>
  <si>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</si>
  <si>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</si>
  <si>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</si>
  <si>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</si>
  <si>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</si>
  <si>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</si>
  <si>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</si>
  <si>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</si>
  <si>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</si>
  <si>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</si>
  <si>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</si>
  <si>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</si>
  <si>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</si>
  <si>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</si>
  <si>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</si>
  <si>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</si>
  <si>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</si>
  <si>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</si>
  <si>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</si>
  <si>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</si>
  <si>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</si>
  <si>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</si>
  <si>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</si>
  <si>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</si>
  <si>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</si>
  <si>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</si>
  <si>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</si>
  <si>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</si>
  <si>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</si>
  <si>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</si>
  <si>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</si>
  <si>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</si>
  <si>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</si>
  <si>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</si>
  <si>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</si>
  <si>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</si>
  <si>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</si>
  <si>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</si>
  <si>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</si>
  <si>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</si>
  <si>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</si>
  <si>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</si>
  <si>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</si>
  <si>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</si>
  <si>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</si>
  <si>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</si>
  <si>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</si>
  <si>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</si>
  <si>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</si>
  <si>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</si>
  <si>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</si>
  <si>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</si>
  <si>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</si>
  <si>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</si>
  <si>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</si>
  <si>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</si>
  <si>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</si>
  <si>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</si>
  <si>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</si>
  <si>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</si>
  <si>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</si>
  <si>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</si>
  <si>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</si>
  <si>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</si>
  <si>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</si>
  <si>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</si>
  <si>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</si>
  <si>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</si>
  <si>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</si>
  <si>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</si>
  <si>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</si>
  <si>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</si>
  <si>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</si>
  <si>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</si>
  <si>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</si>
  <si>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</si>
  <si>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</si>
  <si>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</si>
  <si>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</si>
  <si>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</si>
  <si>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</si>
  <si>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</si>
  <si>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</si>
  <si>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</si>
  <si>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</si>
  <si>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</si>
  <si>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</si>
  <si>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</si>
  <si>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</si>
  <si>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</si>
  <si>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</si>
  <si>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</si>
  <si>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</si>
  <si>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</si>
  <si>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</si>
  <si>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</si>
  <si>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</si>
  <si>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</si>
  <si>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</si>
  <si>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</si>
  <si>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</si>
  <si>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</si>
  <si>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</si>
  <si>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</si>
  <si>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</si>
  <si>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</si>
  <si>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</si>
  <si>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</si>
  <si>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</si>
  <si>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</si>
  <si>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</si>
  <si>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</si>
  <si>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</si>
  <si>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</si>
  <si>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</si>
  <si>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</si>
  <si>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</si>
  <si>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</si>
  <si>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</si>
  <si>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</si>
  <si>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</si>
  <si>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</si>
  <si>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</si>
  <si>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</si>
  <si>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</si>
  <si>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</si>
  <si>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</si>
  <si>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</si>
  <si>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</si>
  <si>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</si>
  <si>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</si>
  <si>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</si>
  <si>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</si>
  <si>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</si>
  <si>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</si>
  <si>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</si>
  <si>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</si>
  <si>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</si>
  <si>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</si>
  <si>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</si>
  <si>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</si>
  <si>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</si>
  <si>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</si>
  <si>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</si>
  <si>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</si>
  <si>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</si>
  <si>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</si>
  <si>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</si>
  <si>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</si>
  <si>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</si>
  <si>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</si>
  <si>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</si>
  <si>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</si>
  <si>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</si>
  <si>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</si>
  <si>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</si>
  <si>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</si>
  <si>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</si>
  <si>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</si>
  <si>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</si>
  <si>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</si>
  <si>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</si>
  <si>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</si>
  <si>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</si>
  <si>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</si>
  <si>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</si>
  <si>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</si>
  <si>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</si>
  <si>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</si>
  <si>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</si>
  <si>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</si>
  <si>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</si>
  <si>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</si>
  <si>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</si>
  <si>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</si>
  <si>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</si>
  <si>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</si>
  <si>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</si>
  <si>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</si>
  <si>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</si>
  <si>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</si>
  <si>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</si>
  <si>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</si>
  <si>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</si>
  <si>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</si>
  <si>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</si>
  <si>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</si>
  <si>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</si>
  <si>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</si>
  <si>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</si>
  <si>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</si>
  <si>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</si>
  <si>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</si>
  <si>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</si>
  <si>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</si>
  <si>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</si>
  <si>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</si>
  <si>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</si>
  <si>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</si>
  <si>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</si>
  <si>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</si>
  <si>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</si>
  <si>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</si>
  <si>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</si>
  <si>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</si>
  <si>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</si>
  <si>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</si>
  <si>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</si>
  <si>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</si>
  <si>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</si>
  <si>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</si>
  <si>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</si>
  <si>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</si>
  <si>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</si>
  <si>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</si>
  <si>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</si>
  <si>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</si>
  <si>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</si>
  <si>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</si>
  <si>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</si>
  <si>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</si>
  <si>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</si>
  <si>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</si>
  <si>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</si>
  <si>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</si>
  <si>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</si>
  <si>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</si>
  <si>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</si>
  <si>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</si>
  <si>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</si>
  <si>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</si>
  <si>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</si>
  <si>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</si>
  <si>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</si>
  <si>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</si>
  <si>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</si>
  <si>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</si>
  <si>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</si>
  <si>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</si>
  <si>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</si>
  <si>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</si>
  <si>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</si>
  <si>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</si>
  <si>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</si>
  <si>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</si>
  <si>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</si>
  <si>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</si>
  <si>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</si>
  <si>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</si>
  <si>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</si>
  <si>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</si>
  <si>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</si>
  <si>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</si>
  <si>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</si>
  <si>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</si>
  <si>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</si>
  <si>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</si>
  <si>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</si>
  <si>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</si>
  <si>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</si>
  <si>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</si>
  <si>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</si>
  <si>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</si>
  <si>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</si>
  <si>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</si>
  <si>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</si>
  <si>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</si>
  <si>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</si>
  <si>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</si>
  <si>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</si>
  <si>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</si>
  <si>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</si>
  <si>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</si>
  <si>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</si>
  <si>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</si>
  <si>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</si>
  <si>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</si>
  <si>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</si>
  <si>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</si>
  <si>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</si>
  <si>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</si>
  <si>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</si>
  <si>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</si>
  <si>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</si>
  <si>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</si>
  <si>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</si>
  <si>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</si>
  <si>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</si>
  <si>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</si>
  <si>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</si>
  <si>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</si>
  <si>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</si>
  <si>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</si>
  <si>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</si>
  <si>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</si>
  <si>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</si>
  <si>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</si>
  <si>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</si>
  <si>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</si>
  <si>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</si>
  <si>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</si>
  <si>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</si>
  <si>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</si>
  <si>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</si>
  <si>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</si>
  <si>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</si>
  <si>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</si>
  <si>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</si>
  <si>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</si>
  <si>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</si>
  <si>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</si>
  <si>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</si>
  <si>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</si>
  <si>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</si>
  <si>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</si>
  <si>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</si>
  <si>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</si>
  <si>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</si>
  <si>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</si>
  <si>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</si>
  <si>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</si>
  <si>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</si>
  <si>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</si>
  <si>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</si>
  <si>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</si>
  <si>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</si>
  <si>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</si>
  <si>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</si>
  <si>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</si>
  <si>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</si>
  <si>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</si>
  <si>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</si>
  <si>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</si>
  <si>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</si>
  <si>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</si>
  <si>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</si>
  <si>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</si>
  <si>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</si>
  <si>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</si>
  <si>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</si>
  <si>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</si>
  <si>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</si>
  <si>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</si>
  <si>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</si>
  <si>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</si>
  <si>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</si>
  <si>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</si>
  <si>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</si>
  <si>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</si>
  <si>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</si>
  <si>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</si>
  <si>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</si>
  <si>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</si>
  <si>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</si>
  <si>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</si>
  <si>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</si>
  <si>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</si>
  <si>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</si>
  <si>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</si>
  <si>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</si>
  <si>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</si>
  <si>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</si>
  <si>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</si>
  <si>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</si>
  <si>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</si>
  <si>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</si>
  <si>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</si>
  <si>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</si>
  <si>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</si>
  <si>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</si>
  <si>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</si>
  <si>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</si>
  <si>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</si>
  <si>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</si>
  <si>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</si>
  <si>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</si>
  <si>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</si>
  <si>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</si>
  <si>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</si>
  <si>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</si>
  <si>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</si>
  <si>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</si>
  <si>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</si>
  <si>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</si>
  <si>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</si>
  <si>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</si>
  <si>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</si>
  <si>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</si>
  <si>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</si>
  <si>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</si>
  <si>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</si>
  <si>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</si>
  <si>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</si>
  <si>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</si>
  <si>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</si>
  <si>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</si>
  <si>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</si>
  <si>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</si>
  <si>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</si>
  <si>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</si>
  <si>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</si>
  <si>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</si>
  <si>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</si>
  <si>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</si>
  <si>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</si>
  <si>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</si>
  <si>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</si>
  <si>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</si>
  <si>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</si>
  <si>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</si>
  <si>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</si>
  <si>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</si>
  <si>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</si>
  <si>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</si>
  <si>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</si>
  <si>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</si>
  <si>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</si>
  <si>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</si>
  <si>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IDUM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</si>
  <si>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</si>
  <si>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</si>
  <si>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</si>
  <si>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</si>
  <si>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</si>
  <si>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</si>
  <si>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</si>
  <si>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</si>
  <si>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</si>
  <si>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</si>
  <si>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</si>
  <si>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</si>
  <si>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</si>
  <si>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</si>
  <si>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</si>
  <si>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</si>
  <si>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</si>
  <si>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</si>
  <si>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</si>
  <si>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</si>
  <si>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</si>
  <si>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</si>
  <si>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</si>
  <si>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</si>
  <si>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</si>
  <si>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</si>
  <si>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</si>
  <si>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</si>
  <si>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</si>
  <si>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</si>
  <si>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</si>
  <si>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</si>
  <si>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</si>
  <si>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</si>
  <si>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</si>
  <si>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Short code</t>
  </si>
  <si>
    <t>SATIM Code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</si>
  <si>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</si>
  <si>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</si>
  <si>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</si>
  <si>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</si>
  <si>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</si>
  <si>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</si>
  <si>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</si>
  <si>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</si>
  <si>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How the I&amp;S sector is disaggregated</t>
  </si>
  <si>
    <t>Industry - I&amp;S - BF BOF route - New build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</si>
  <si>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</si>
  <si>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</si>
  <si>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</si>
  <si>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</si>
  <si>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</si>
  <si>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</si>
  <si>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</si>
  <si>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</si>
  <si>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</si>
  <si>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</si>
  <si>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PRC_RESID~2030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</si>
  <si>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</si>
  <si>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</si>
  <si>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</si>
  <si>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</si>
  <si>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</si>
  <si>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</si>
  <si>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</si>
  <si>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</si>
  <si>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</si>
  <si>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</si>
  <si>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</si>
  <si>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</si>
  <si>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</si>
  <si>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</si>
  <si>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</si>
  <si>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</si>
  <si>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</si>
  <si>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</si>
  <si>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</si>
  <si>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</si>
  <si>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Crude Steel</t>
  </si>
  <si>
    <t>BFSlag</t>
  </si>
  <si>
    <t>New Technologies</t>
  </si>
  <si>
    <t>MODEL CALIBRATION</t>
  </si>
  <si>
    <t>*IISDRIEAF-NC</t>
  </si>
  <si>
    <t>Commodities</t>
  </si>
  <si>
    <t>nothing</t>
  </si>
  <si>
    <t>ZAR2022/tonne LS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</si>
  <si>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</si>
  <si>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</si>
  <si>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</si>
  <si>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</si>
  <si>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</si>
  <si>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</si>
  <si>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</si>
  <si>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</si>
  <si>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</si>
  <si>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</si>
  <si>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</si>
  <si>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</si>
  <si>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</si>
  <si>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DummyCommodity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</si>
  <si>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</si>
  <si>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</si>
  <si>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</si>
  <si>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</si>
  <si>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</si>
  <si>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</si>
  <si>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</si>
  <si>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</si>
  <si>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</si>
  <si>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</si>
  <si>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Need a number here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</si>
  <si>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</si>
  <si>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</si>
  <si>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</si>
  <si>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</si>
  <si>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</si>
  <si>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</si>
  <si>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</si>
  <si>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I</t>
  </si>
  <si>
    <t>*Commgrp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</si>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</sst>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(* #,##0_);_(* \(#,##0\);_(* &quot;-&quot;??_);_(@_)"/>
    <numFmt numFmtId="176" formatCode="_(* #,##0.00_);_(* \(#,##0.00\);_(* &quot;-&quot;??_);_(@_)"/>
    <numFmt numFmtId="177" formatCode="_(* #,##0.0_);_(* \(#,##0.0\);_(* &quot;-&quot;??_);_(@_)"/>
    <numFmt numFmtId="178" formatCode="_(* #,##0.000_);_(* \(#,##0.000\);_(* &quot;-&quot;??_);_(@_)"/>
    <numFmt numFmtId="179" formatCode="\Te\x\t"/>
    <numFmt numFmtId="180" formatCode="[$£-809]#,##0.000;[Red]&quot;-&quot;[$£-809]#,##0.000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sz val="8"/>
      <color rgb="FF80008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0" fontId="49" fillId="28" borderId="0" applyNumberFormat="0" applyBorder="0" applyAlignment="0" applyProtection="0"/>
    <xf numFmtId="17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9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70" fillId="0" borderId="0"/>
    <xf numFmtId="43" fontId="7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71" fillId="0" borderId="0" applyNumberFormat="0" applyFill="0" applyBorder="0" applyAlignment="0" applyProtection="0"/>
    <xf numFmtId="180" fontId="4" fillId="0" borderId="0"/>
    <xf numFmtId="0" fontId="10" fillId="0" borderId="0"/>
    <xf numFmtId="0" fontId="72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7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8" fillId="35" borderId="67" applyNumberFormat="0" applyAlignment="0" applyProtection="0"/>
    <xf numFmtId="0" fontId="67" fillId="34" borderId="67" applyNumberFormat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33" fillId="36" borderId="0" applyNumberFormat="0" applyBorder="0" applyAlignment="0" applyProtection="0"/>
    <xf numFmtId="43" fontId="1" fillId="0" borderId="0" applyFont="0" applyFill="0" applyBorder="0" applyAlignment="0" applyProtection="0"/>
    <xf numFmtId="0" fontId="75" fillId="33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7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</cellStyleXfs>
  <cellXfs count="694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/>
    <xf numFmtId="0" fontId="0" fillId="20" borderId="0" xfId="0" applyFill="1"/>
    <xf numFmtId="0" fontId="0" fillId="0" borderId="4" xfId="0" quotePrefix="1" applyBorder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1" fillId="0" borderId="7" xfId="15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5" borderId="0" xfId="0" applyFill="1"/>
    <xf numFmtId="2" fontId="0" fillId="0" borderId="63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0" fontId="6" fillId="0" borderId="63" xfId="0" applyFont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/>
    <xf numFmtId="0" fontId="48" fillId="0" borderId="0" xfId="24"/>
    <xf numFmtId="0" fontId="48" fillId="0" borderId="8" xfId="24" applyBorder="1"/>
    <xf numFmtId="0" fontId="48" fillId="0" borderId="7" xfId="24" applyBorder="1"/>
    <xf numFmtId="0" fontId="48" fillId="0" borderId="6" xfId="24" applyBorder="1"/>
    <xf numFmtId="0" fontId="48" fillId="0" borderId="5" xfId="24" applyBorder="1"/>
    <xf numFmtId="0" fontId="48" fillId="0" borderId="4" xfId="24" applyBorder="1"/>
    <xf numFmtId="0" fontId="3" fillId="0" borderId="4" xfId="24" applyFont="1" applyBorder="1"/>
    <xf numFmtId="1" fontId="48" fillId="0" borderId="0" xfId="24" applyNumberFormat="1"/>
    <xf numFmtId="0" fontId="19" fillId="0" borderId="4" xfId="24" applyFont="1" applyBorder="1"/>
    <xf numFmtId="0" fontId="48" fillId="22" borderId="4" xfId="24" applyFill="1" applyBorder="1"/>
    <xf numFmtId="9" fontId="48" fillId="0" borderId="0" xfId="24" applyNumberFormat="1"/>
    <xf numFmtId="166" fontId="48" fillId="0" borderId="0" xfId="24" applyNumberFormat="1"/>
    <xf numFmtId="0" fontId="19" fillId="0" borderId="0" xfId="24" applyFont="1"/>
    <xf numFmtId="0" fontId="48" fillId="0" borderId="3" xfId="24" applyBorder="1"/>
    <xf numFmtId="0" fontId="48" fillId="0" borderId="2" xfId="24" applyBorder="1"/>
    <xf numFmtId="0" fontId="48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17" xfId="0" applyBorder="1" applyAlignment="1">
      <alignment horizontal="center" vertical="center"/>
    </xf>
    <xf numFmtId="0" fontId="1" fillId="2" borderId="0" xfId="15" applyFill="1"/>
    <xf numFmtId="175" fontId="1" fillId="0" borderId="0" xfId="15" applyNumberFormat="1"/>
    <xf numFmtId="9" fontId="1" fillId="0" borderId="0" xfId="15" applyNumberFormat="1"/>
    <xf numFmtId="175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8" fillId="0" borderId="0" xfId="24" applyNumberFormat="1"/>
    <xf numFmtId="0" fontId="49" fillId="28" borderId="0" xfId="27"/>
    <xf numFmtId="0" fontId="50" fillId="22" borderId="0" xfId="24" applyFont="1" applyFill="1" applyAlignment="1">
      <alignment vertical="center"/>
    </xf>
    <xf numFmtId="0" fontId="51" fillId="22" borderId="0" xfId="24" applyFont="1" applyFill="1" applyAlignment="1">
      <alignment vertical="center"/>
    </xf>
    <xf numFmtId="0" fontId="50" fillId="22" borderId="0" xfId="24" applyFont="1" applyFill="1" applyAlignment="1">
      <alignment horizontal="right" vertical="center"/>
    </xf>
    <xf numFmtId="0" fontId="1" fillId="0" borderId="4" xfId="15" applyBorder="1"/>
    <xf numFmtId="167" fontId="48" fillId="0" borderId="0" xfId="24" applyNumberFormat="1"/>
    <xf numFmtId="167" fontId="48" fillId="22" borderId="0" xfId="24" applyNumberFormat="1" applyFill="1"/>
    <xf numFmtId="167" fontId="48" fillId="0" borderId="7" xfId="24" applyNumberFormat="1" applyBorder="1"/>
    <xf numFmtId="167" fontId="48" fillId="22" borderId="7" xfId="24" applyNumberFormat="1" applyFill="1" applyBorder="1"/>
    <xf numFmtId="0" fontId="1" fillId="0" borderId="2" xfId="15" applyBorder="1"/>
    <xf numFmtId="0" fontId="48" fillId="22" borderId="0" xfId="24" applyFill="1"/>
    <xf numFmtId="0" fontId="19" fillId="22" borderId="0" xfId="24" applyFont="1" applyFill="1"/>
    <xf numFmtId="170" fontId="48" fillId="0" borderId="0" xfId="24" applyNumberFormat="1"/>
    <xf numFmtId="177" fontId="48" fillId="0" borderId="0" xfId="24" applyNumberFormat="1"/>
    <xf numFmtId="0" fontId="19" fillId="22" borderId="8" xfId="24" applyFont="1" applyFill="1" applyBorder="1"/>
    <xf numFmtId="177" fontId="0" fillId="0" borderId="0" xfId="28" applyNumberFormat="1" applyFont="1" applyBorder="1"/>
    <xf numFmtId="9" fontId="0" fillId="0" borderId="0" xfId="29" applyFont="1" applyBorder="1"/>
    <xf numFmtId="2" fontId="52" fillId="0" borderId="5" xfId="24" applyNumberFormat="1" applyFont="1" applyBorder="1"/>
    <xf numFmtId="0" fontId="52" fillId="22" borderId="0" xfId="24" applyFont="1" applyFill="1"/>
    <xf numFmtId="2" fontId="52" fillId="22" borderId="0" xfId="24" applyNumberFormat="1" applyFont="1" applyFill="1"/>
    <xf numFmtId="166" fontId="52" fillId="22" borderId="0" xfId="24" applyNumberFormat="1" applyFont="1" applyFill="1"/>
    <xf numFmtId="2" fontId="48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2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3" fillId="0" borderId="0" xfId="0" applyFont="1"/>
    <xf numFmtId="0" fontId="54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8" fontId="0" fillId="0" borderId="0" xfId="28" applyNumberFormat="1" applyFont="1" applyBorder="1"/>
    <xf numFmtId="179" fontId="55" fillId="0" borderId="0" xfId="30" applyNumberFormat="1" applyFill="1"/>
    <xf numFmtId="0" fontId="55" fillId="0" borderId="0" xfId="30" applyFill="1"/>
    <xf numFmtId="179" fontId="55" fillId="0" borderId="2" xfId="30" applyNumberFormat="1" applyFill="1" applyBorder="1" applyAlignment="1">
      <alignment horizontal="left"/>
    </xf>
    <xf numFmtId="0" fontId="56" fillId="0" borderId="0" xfId="0" applyFont="1"/>
    <xf numFmtId="0" fontId="57" fillId="0" borderId="0" xfId="31" applyFont="1"/>
    <xf numFmtId="0" fontId="56" fillId="0" borderId="0" xfId="31" applyFont="1"/>
    <xf numFmtId="0" fontId="58" fillId="0" borderId="0" xfId="0" applyFont="1"/>
    <xf numFmtId="0" fontId="58" fillId="0" borderId="0" xfId="31" applyFont="1"/>
    <xf numFmtId="0" fontId="56" fillId="0" borderId="0" xfId="31" applyFont="1" applyAlignment="1">
      <alignment horizontal="center" wrapText="1"/>
    </xf>
    <xf numFmtId="0" fontId="56" fillId="0" borderId="0" xfId="0" applyFont="1" applyAlignment="1">
      <alignment horizontal="left"/>
    </xf>
    <xf numFmtId="0" fontId="56" fillId="0" borderId="0" xfId="31" applyFont="1" applyAlignment="1">
      <alignment horizontal="center"/>
    </xf>
    <xf numFmtId="167" fontId="56" fillId="0" borderId="0" xfId="0" applyNumberFormat="1" applyFont="1"/>
    <xf numFmtId="0" fontId="56" fillId="0" borderId="0" xfId="0" applyFont="1" applyAlignment="1">
      <alignment horizontal="center"/>
    </xf>
    <xf numFmtId="167" fontId="56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center"/>
    </xf>
    <xf numFmtId="0" fontId="56" fillId="0" borderId="0" xfId="31" applyFont="1" applyAlignment="1">
      <alignment horizontal="left"/>
    </xf>
    <xf numFmtId="164" fontId="56" fillId="0" borderId="0" xfId="0" applyNumberFormat="1" applyFont="1"/>
    <xf numFmtId="164" fontId="56" fillId="0" borderId="0" xfId="0" applyNumberFormat="1" applyFont="1" applyAlignment="1">
      <alignment horizontal="center"/>
    </xf>
    <xf numFmtId="0" fontId="59" fillId="0" borderId="0" xfId="31" applyFont="1"/>
    <xf numFmtId="0" fontId="4" fillId="0" borderId="0" xfId="31"/>
    <xf numFmtId="0" fontId="60" fillId="30" borderId="2" xfId="31" applyFont="1" applyFill="1" applyBorder="1"/>
    <xf numFmtId="0" fontId="60" fillId="30" borderId="9" xfId="31" applyFont="1" applyFill="1" applyBorder="1"/>
    <xf numFmtId="0" fontId="60" fillId="30" borderId="2" xfId="31" applyFont="1" applyFill="1" applyBorder="1" applyAlignment="1">
      <alignment horizontal="left"/>
    </xf>
    <xf numFmtId="0" fontId="4" fillId="31" borderId="45" xfId="32" applyFill="1" applyBorder="1" applyAlignment="1">
      <alignment horizontal="left" wrapText="1"/>
    </xf>
    <xf numFmtId="0" fontId="4" fillId="31" borderId="60" xfId="32" applyFill="1" applyBorder="1" applyAlignment="1">
      <alignment horizontal="left" wrapText="1"/>
    </xf>
    <xf numFmtId="0" fontId="56" fillId="0" borderId="0" xfId="33" applyFont="1"/>
    <xf numFmtId="0" fontId="4" fillId="32" borderId="0" xfId="31" applyFill="1"/>
    <xf numFmtId="0" fontId="61" fillId="0" borderId="0" xfId="3" applyFont="1"/>
    <xf numFmtId="0" fontId="56" fillId="0" borderId="0" xfId="3" applyFont="1"/>
    <xf numFmtId="179" fontId="55" fillId="0" borderId="0" xfId="30" applyNumberFormat="1" applyFill="1" applyBorder="1" applyAlignment="1">
      <alignment horizontal="left"/>
    </xf>
    <xf numFmtId="0" fontId="56" fillId="0" borderId="7" xfId="0" applyFont="1" applyBorder="1"/>
    <xf numFmtId="0" fontId="59" fillId="0" borderId="7" xfId="31" applyFont="1" applyBorder="1"/>
    <xf numFmtId="0" fontId="57" fillId="0" borderId="7" xfId="31" applyFont="1" applyBorder="1"/>
    <xf numFmtId="0" fontId="56" fillId="0" borderId="7" xfId="31" applyFont="1" applyBorder="1"/>
    <xf numFmtId="0" fontId="64" fillId="0" borderId="0" xfId="0" applyFont="1"/>
    <xf numFmtId="0" fontId="55" fillId="0" borderId="0" xfId="30"/>
    <xf numFmtId="0" fontId="4" fillId="0" borderId="0" xfId="3"/>
    <xf numFmtId="2" fontId="4" fillId="0" borderId="0" xfId="3" applyNumberFormat="1"/>
    <xf numFmtId="0" fontId="65" fillId="0" borderId="0" xfId="3" applyFont="1"/>
    <xf numFmtId="0" fontId="66" fillId="0" borderId="0" xfId="0" applyFont="1"/>
    <xf numFmtId="168" fontId="56" fillId="0" borderId="0" xfId="0" applyNumberFormat="1" applyFont="1"/>
    <xf numFmtId="165" fontId="56" fillId="0" borderId="0" xfId="0" applyNumberFormat="1" applyFont="1" applyAlignment="1">
      <alignment horizontal="center"/>
    </xf>
    <xf numFmtId="0" fontId="55" fillId="0" borderId="0" xfId="30" applyAlignment="1">
      <alignment wrapText="1"/>
    </xf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89">
    <cellStyle name="20% - Accent1" xfId="20" builtinId="30"/>
    <cellStyle name="20% - Accent5 2" xfId="71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2" xr:uid="{69E38B50-B8B7-4474-B9DB-A07A159D2B19}"/>
    <cellStyle name="Accent1 2" xfId="11" xr:uid="{00000000-0005-0000-0000-000002000000}"/>
    <cellStyle name="Calculation 2" xfId="62" xr:uid="{D5CA66CF-5E53-4363-8557-ABE95945DCDD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2 2 2" xfId="60" xr:uid="{BF96C840-E66B-43B7-B721-DF7020E6B1EB}"/>
    <cellStyle name="Comma 2 2 3" xfId="45" xr:uid="{D132692C-9077-4842-AC56-F1AF20B9E9F8}"/>
    <cellStyle name="Comma 2 3" xfId="36" xr:uid="{0745F685-150F-4333-8077-099C6944E181}"/>
    <cellStyle name="Comma 2 4" xfId="59" xr:uid="{0B36C180-D896-42B5-8A93-9F476F4348EC}"/>
    <cellStyle name="Comma 2 5" xfId="73" xr:uid="{20E1E648-C23D-487D-BA84-4D4A96D58378}"/>
    <cellStyle name="Comma 2 6" xfId="37" xr:uid="{1FCCED5B-B890-4974-A67B-37F0DE8DB7EA}"/>
    <cellStyle name="Comma 3" xfId="28" xr:uid="{522DE0E0-E915-4DFE-B3B8-6B3CF252A0EE}"/>
    <cellStyle name="Comma 3 2" xfId="57" xr:uid="{C0E4CB2C-6980-4B74-8450-E5E98855F015}"/>
    <cellStyle name="Comma 3 3" xfId="46" xr:uid="{592B85A1-B3B2-4B8B-B51A-D3903ADA20B7}"/>
    <cellStyle name="Comma 4" xfId="70" xr:uid="{2E019470-9395-4DB0-871A-740C17D02445}"/>
    <cellStyle name="Comma 5" xfId="66" xr:uid="{185BC562-DBCC-4010-9AD6-A92171120113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eading 4" xfId="30" builtinId="19"/>
    <cellStyle name="Hyperlink" xfId="16" builtinId="8"/>
    <cellStyle name="Hyperlink 2" xfId="19" xr:uid="{0143E5AC-13E9-4364-AA0C-7B5064949C3C}"/>
    <cellStyle name="Hyperlink 2 2" xfId="58" xr:uid="{CE3D3C34-4D72-4F83-A7BC-B779DF758910}"/>
    <cellStyle name="Hyperlink 2 2 2" xfId="64" xr:uid="{E99210B5-16EE-47DC-A16A-788C94B6C8D6}"/>
    <cellStyle name="Hyperlink 2 3" xfId="41" xr:uid="{80545631-B204-4435-B02F-5E345F394B9D}"/>
    <cellStyle name="Hyperlink 3" xfId="48" xr:uid="{24164DA1-0B11-4AA5-B442-DA45C9E3572B}"/>
    <cellStyle name="Input 2" xfId="63" xr:uid="{B1B13825-719D-41E1-981E-F321FF8D337E}"/>
    <cellStyle name="IPCC" xfId="18" xr:uid="{060CFEAA-B409-4E5C-B4B9-C84A33D3D71A}"/>
    <cellStyle name="Neutral 2" xfId="74" xr:uid="{5768FB37-07DA-4B2A-97A4-9D9A8E670D36}"/>
    <cellStyle name="Normal" xfId="0" builtinId="0"/>
    <cellStyle name="Normal 10" xfId="32" xr:uid="{17E18196-C2DF-4196-B848-84AB6B147782}"/>
    <cellStyle name="Normal 10 4" xfId="40" xr:uid="{7317FE44-9E36-469F-8430-12415F3BBAF1}"/>
    <cellStyle name="Normal 11" xfId="26" xr:uid="{78DEB395-FB3B-4F08-B9EE-F9879AB5464E}"/>
    <cellStyle name="Normal 12" xfId="25" xr:uid="{0E5F3C21-CC91-4388-B1DE-DAB2319F08BA}"/>
    <cellStyle name="Normal 12 2" xfId="51" xr:uid="{AFBCB984-7D73-43F8-8F5C-198F85165FAB}"/>
    <cellStyle name="Normal 13" xfId="31" xr:uid="{36F30AC0-E6CA-44FF-850B-787C5409CE3B}"/>
    <cellStyle name="Normal 2" xfId="4" xr:uid="{00000000-0005-0000-0000-00000A000000}"/>
    <cellStyle name="Normal 2 2" xfId="3" xr:uid="{00000000-0005-0000-0000-00000B000000}"/>
    <cellStyle name="Normal 2 2 2" xfId="33" xr:uid="{9A04ACF4-BE91-49EC-95F2-425379334EF8}"/>
    <cellStyle name="Normal 2 2 2 2" xfId="39" xr:uid="{3224F7F9-DDAA-49B4-8DBD-98E01A26E482}"/>
    <cellStyle name="Normal 2 2 3" xfId="49" xr:uid="{81B5CD67-81BE-41B6-8615-CCC0570F47EE}"/>
    <cellStyle name="Normal 2 2 4" xfId="34" xr:uid="{0A55A013-AEA2-41A5-9123-7E54946C000B}"/>
    <cellStyle name="Normal 2 3" xfId="44" xr:uid="{ACB29999-D58F-49CE-AF0F-1780E67B7A94}"/>
    <cellStyle name="Normal 2 3 2" xfId="61" xr:uid="{BC615520-8453-4F4F-91A5-CFB6A6DE8AAE}"/>
    <cellStyle name="Normal 3" xfId="7" xr:uid="{00000000-0005-0000-0000-00000C000000}"/>
    <cellStyle name="Normal 3 2" xfId="50" xr:uid="{5DCE9351-86C3-4C41-A3C2-62D277A9DD0C}"/>
    <cellStyle name="Normal 3 3" xfId="35" xr:uid="{E57FDC6B-BD0D-4437-A2F3-5429A29743AF}"/>
    <cellStyle name="Normal 4" xfId="24" xr:uid="{3CD82EF2-3FA7-4DB6-9E45-512B557BA2E2}"/>
    <cellStyle name="Normal 4 2" xfId="76" xr:uid="{24D3FCE6-564E-48DF-9D74-D3B135EB5136}"/>
    <cellStyle name="Normal 4 3" xfId="56" xr:uid="{B4825CFE-E00F-4928-9FA2-DB95BD61B1F8}"/>
    <cellStyle name="Normal 4 4" xfId="75" xr:uid="{8D463985-87F7-4890-B60D-A1AE8BCF3938}"/>
    <cellStyle name="Normal 4 5" xfId="42" xr:uid="{9059ECE2-EBEB-49DD-BAD3-B00920D65950}"/>
    <cellStyle name="Normal 5" xfId="23" xr:uid="{1F07B887-6BEA-46A2-81EA-61A464C4B4E4}"/>
    <cellStyle name="Normal 5 2" xfId="53" xr:uid="{74B26293-5786-41EA-923B-259064FF0473}"/>
    <cellStyle name="Normal 6" xfId="52" xr:uid="{12973A00-36B5-4AFE-9938-0B59917A488B}"/>
    <cellStyle name="Normal 7" xfId="14" xr:uid="{00000000-0005-0000-0000-00000D000000}"/>
    <cellStyle name="Normal 7 2" xfId="54" xr:uid="{9E0A64DA-C571-49B6-BE86-3CA5CBCB3184}"/>
    <cellStyle name="Normal 8" xfId="15" xr:uid="{00000000-0005-0000-0000-00000E000000}"/>
    <cellStyle name="Normal 8 2" xfId="77" xr:uid="{C6DAD715-6B22-416D-ACAA-E4859EB8525C}"/>
    <cellStyle name="Normal 9" xfId="68" xr:uid="{A193766E-E7BC-42DA-8D00-B06EA78F8A1E}"/>
    <cellStyle name="Normal 9 2" xfId="78" xr:uid="{CA6D9846-D514-420B-9F15-1EFBA0464CFF}"/>
    <cellStyle name="Normale_B2020" xfId="79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7" xr:uid="{1BDC7AEF-BB4F-45D8-B038-C14FB4D7E72F}"/>
    <cellStyle name="Percent 2 3" xfId="55" xr:uid="{24464BBE-A588-4D44-8C7F-6FB21301985C}"/>
    <cellStyle name="Percent 2 4" xfId="80" xr:uid="{4B5C6498-2621-4A70-A1E3-1BEB87AA78D0}"/>
    <cellStyle name="Percent 2 5" xfId="43" xr:uid="{06A3377C-CDFC-446E-B9DA-D76B018A5A0E}"/>
    <cellStyle name="Percent 3" xfId="29" xr:uid="{B1800769-9E19-4312-B101-6C6432B5EE24}"/>
    <cellStyle name="Percent 3 2" xfId="81" xr:uid="{ECF35FE6-BF60-4DC2-B265-E0AC9E24EE9F}"/>
    <cellStyle name="Percent 3 3" xfId="82" xr:uid="{467FE99D-1A30-403A-9370-2069D65E78B9}"/>
    <cellStyle name="Percent 3 4" xfId="38" xr:uid="{78EF846D-8400-4677-8BAB-93AE0B16A9E8}"/>
    <cellStyle name="Percent 4" xfId="67" xr:uid="{1C8CAF59-0D7C-4541-91F9-431AC602F268}"/>
    <cellStyle name="Percent 4 2" xfId="84" xr:uid="{C947F130-E5EE-4A54-8716-D17505C6B5D7}"/>
    <cellStyle name="Percent 4 3" xfId="85" xr:uid="{355024EC-5E0F-4954-9B69-A72DA8256975}"/>
    <cellStyle name="Percent 4 4" xfId="83" xr:uid="{BDB56372-A57F-4E6F-9613-C3741FB501C4}"/>
    <cellStyle name="Percent 5" xfId="69" xr:uid="{36574065-F959-4B59-B32F-93B153DF0821}"/>
    <cellStyle name="Percent 5 2" xfId="86" xr:uid="{C613E249-C7A5-40CC-870D-D22DDB7205E2}"/>
    <cellStyle name="Percent 6" xfId="87" xr:uid="{40E71785-2454-4B14-8A64-6E4292429D4B}"/>
    <cellStyle name="Percent 7" xfId="65" xr:uid="{AB10B231-58C9-4145-BC4D-4F48CF1432ED}"/>
    <cellStyle name="Standard_Sce_D_Extraction" xfId="88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7294616" y="3395711"/>
          <a:ext cx="7260302" cy="7012997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2723" y="2586374"/>
          <a:ext cx="8715918" cy="4233480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6</xdr:row>
      <xdr:rowOff>104775</xdr:rowOff>
    </xdr:from>
    <xdr:to>
      <xdr:col>22</xdr:col>
      <xdr:colOff>437439</xdr:colOff>
      <xdr:row>24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257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83</xdr:row>
      <xdr:rowOff>56029</xdr:rowOff>
    </xdr:from>
    <xdr:to>
      <xdr:col>9</xdr:col>
      <xdr:colOff>291353</xdr:colOff>
      <xdr:row>85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157</xdr:row>
      <xdr:rowOff>174492</xdr:rowOff>
    </xdr:from>
    <xdr:to>
      <xdr:col>6</xdr:col>
      <xdr:colOff>51227</xdr:colOff>
      <xdr:row>160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170</xdr:row>
      <xdr:rowOff>89647</xdr:rowOff>
    </xdr:from>
    <xdr:to>
      <xdr:col>17</xdr:col>
      <xdr:colOff>112061</xdr:colOff>
      <xdr:row>174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186</xdr:row>
      <xdr:rowOff>127075</xdr:rowOff>
    </xdr:from>
    <xdr:to>
      <xdr:col>30</xdr:col>
      <xdr:colOff>517376</xdr:colOff>
      <xdr:row>195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196</xdr:row>
      <xdr:rowOff>22412</xdr:rowOff>
    </xdr:from>
    <xdr:to>
      <xdr:col>30</xdr:col>
      <xdr:colOff>179294</xdr:colOff>
      <xdr:row>199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213</xdr:row>
      <xdr:rowOff>145676</xdr:rowOff>
    </xdr:from>
    <xdr:to>
      <xdr:col>28</xdr:col>
      <xdr:colOff>537883</xdr:colOff>
      <xdr:row>219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23">
          <cell r="E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7" dT="2020-06-23T11:38:20.40" personId="{75FFF413-91FC-4FE7-8095-FCC8656CB641}" id="{AF20959E-C097-422A-A52E-DF34743C7886}">
    <text>https://arcelormittalsa.com/MittalAr09/html/AR_0_24.htm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arcelormittalsa.com/Portals/0/mittal_steel_eng1.pdf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/>
  </sheetViews>
  <sheetFormatPr defaultRowHeight="15" x14ac:dyDescent="0.25"/>
  <cols>
    <col min="3" max="3" width="47.7109375" style="304" customWidth="1"/>
  </cols>
  <sheetData>
    <row r="1" spans="3:5" x14ac:dyDescent="0.25">
      <c r="C1" s="588" t="s">
        <v>1488</v>
      </c>
      <c r="D1" s="18" t="s">
        <v>1489</v>
      </c>
      <c r="E1" s="18" t="s">
        <v>1490</v>
      </c>
    </row>
    <row r="2" spans="3:5" ht="30" x14ac:dyDescent="0.25">
      <c r="C2" s="304" t="s">
        <v>1491</v>
      </c>
      <c r="D2" t="s">
        <v>1492</v>
      </c>
      <c r="E2" s="589">
        <v>44452</v>
      </c>
    </row>
    <row r="3" spans="3:5" x14ac:dyDescent="0.25">
      <c r="C3" s="304" t="s">
        <v>1493</v>
      </c>
      <c r="D3" t="s">
        <v>1492</v>
      </c>
      <c r="E3" s="590">
        <v>44460</v>
      </c>
    </row>
    <row r="4" spans="3:5" x14ac:dyDescent="0.25">
      <c r="C4" s="304" t="s">
        <v>1494</v>
      </c>
    </row>
    <row r="5" spans="3:5" ht="30" x14ac:dyDescent="0.25">
      <c r="C5" s="304" t="s">
        <v>1495</v>
      </c>
    </row>
    <row r="7" spans="3:5" x14ac:dyDescent="0.25">
      <c r="C7" s="304" t="s">
        <v>1498</v>
      </c>
      <c r="D7" t="s">
        <v>1499</v>
      </c>
      <c r="E7" t="s">
        <v>1500</v>
      </c>
    </row>
    <row r="9" spans="3:5" x14ac:dyDescent="0.25">
      <c r="C9" s="304" t="s">
        <v>1507</v>
      </c>
      <c r="D9" t="s">
        <v>1499</v>
      </c>
      <c r="E9" s="589">
        <v>44732</v>
      </c>
    </row>
    <row r="10" spans="3:5" x14ac:dyDescent="0.25">
      <c r="C10" s="304" t="s">
        <v>1511</v>
      </c>
      <c r="E10" s="589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/>
  </sheetViews>
  <sheetFormatPr defaultRowHeight="15" x14ac:dyDescent="0.25"/>
  <sheetData>
    <row r="3" spans="2:19" x14ac:dyDescent="0.25">
      <c r="B3" t="s">
        <v>1467</v>
      </c>
      <c r="G3" s="18" t="s">
        <v>1469</v>
      </c>
    </row>
    <row r="4" spans="2:19" x14ac:dyDescent="0.25">
      <c r="B4" s="454" t="b" cm="1">
        <f t="array" ref="B4">[2]!pamsindex</f>
        <v>0</v>
      </c>
      <c r="G4" t="s">
        <v>1460</v>
      </c>
      <c r="H4" t="s">
        <v>1506</v>
      </c>
    </row>
    <row r="5" spans="2:19" x14ac:dyDescent="0.25">
      <c r="B5" s="454" t="s">
        <v>1460</v>
      </c>
      <c r="C5" s="583" t="s">
        <v>1465</v>
      </c>
      <c r="G5" t="s">
        <v>1468</v>
      </c>
      <c r="H5" t="s">
        <v>1470</v>
      </c>
    </row>
    <row r="11" spans="2:19" ht="15.75" x14ac:dyDescent="0.25">
      <c r="B11" s="586" t="s">
        <v>1466</v>
      </c>
    </row>
    <row r="12" spans="2:19" x14ac:dyDescent="0.25">
      <c r="B12" s="585"/>
      <c r="C12" s="15"/>
      <c r="D12" s="15"/>
      <c r="E12" s="15"/>
      <c r="F12" s="15"/>
      <c r="G12" s="15"/>
      <c r="H12" s="15"/>
      <c r="I12" s="584"/>
      <c r="J12" s="15"/>
      <c r="K12" s="15"/>
      <c r="L12" s="15"/>
      <c r="M12" s="15"/>
      <c r="N12" s="15"/>
      <c r="O12" s="15"/>
      <c r="P12" s="15"/>
      <c r="Q12" s="15"/>
      <c r="R12" s="15"/>
      <c r="S12" s="3"/>
    </row>
    <row r="13" spans="2:19" x14ac:dyDescent="0.25">
      <c r="B13" s="4"/>
      <c r="S13" s="5"/>
    </row>
    <row r="14" spans="2:19" x14ac:dyDescent="0.25">
      <c r="B14" s="4"/>
      <c r="C14" s="578" t="s">
        <v>1464</v>
      </c>
      <c r="I14" s="578" t="s">
        <v>1463</v>
      </c>
      <c r="J14" s="578"/>
      <c r="S14" s="5"/>
    </row>
    <row r="15" spans="2:19" x14ac:dyDescent="0.25">
      <c r="B15" s="4"/>
      <c r="I15" s="578">
        <v>2017</v>
      </c>
      <c r="J15" s="578">
        <v>2015</v>
      </c>
      <c r="K15" s="578">
        <v>2020</v>
      </c>
      <c r="L15" s="578">
        <v>2025</v>
      </c>
      <c r="M15" s="578">
        <v>2030</v>
      </c>
      <c r="N15" s="578">
        <v>2035</v>
      </c>
      <c r="O15" s="578">
        <v>2040</v>
      </c>
      <c r="P15" s="578">
        <v>2045</v>
      </c>
      <c r="Q15" s="578">
        <v>2050</v>
      </c>
      <c r="S15" s="5"/>
    </row>
    <row r="16" spans="2:19" x14ac:dyDescent="0.25">
      <c r="B16" s="4"/>
      <c r="C16" t="s">
        <v>538</v>
      </c>
      <c r="I16" s="582" t="e">
        <f>'IS-TSData'!O43</f>
        <v>#REF!</v>
      </c>
      <c r="J16" s="578"/>
      <c r="K16" s="578"/>
      <c r="L16" s="578"/>
      <c r="M16" s="582" t="str">
        <f>IF($B$4,I16*(1+$M$40),"")</f>
        <v/>
      </c>
      <c r="N16" s="578"/>
      <c r="O16" s="578"/>
      <c r="P16" s="578"/>
      <c r="Q16" s="582"/>
      <c r="S16" s="5"/>
    </row>
    <row r="17" spans="2:19" x14ac:dyDescent="0.25">
      <c r="B17" s="4"/>
      <c r="C17" t="s">
        <v>539</v>
      </c>
      <c r="I17" s="582" t="e">
        <f>'IS-TSData'!O48</f>
        <v>#REF!</v>
      </c>
      <c r="J17" s="578"/>
      <c r="K17" s="578"/>
      <c r="L17" s="578"/>
      <c r="M17" s="582" t="str">
        <f t="shared" ref="M17:M25" si="0">IF($B$4,I17*(1+$M$40),"")</f>
        <v/>
      </c>
      <c r="N17" s="578"/>
      <c r="O17" s="578"/>
      <c r="P17" s="578"/>
      <c r="Q17" s="582"/>
      <c r="S17" s="5"/>
    </row>
    <row r="18" spans="2:19" x14ac:dyDescent="0.25">
      <c r="B18" s="4"/>
      <c r="C18" t="s">
        <v>540</v>
      </c>
      <c r="I18" s="582" t="e">
        <f>'IS-TSData'!O49</f>
        <v>#REF!</v>
      </c>
      <c r="J18" s="578"/>
      <c r="K18" s="578"/>
      <c r="L18" s="578"/>
      <c r="M18" s="582" t="str">
        <f t="shared" si="0"/>
        <v/>
      </c>
      <c r="N18" s="578"/>
      <c r="O18" s="578"/>
      <c r="P18" s="578"/>
      <c r="Q18" s="582"/>
      <c r="S18" s="5"/>
    </row>
    <row r="19" spans="2:19" x14ac:dyDescent="0.25">
      <c r="B19" s="4"/>
      <c r="C19" t="s">
        <v>541</v>
      </c>
      <c r="I19" s="582" t="e">
        <f>'IS-TSData'!O52</f>
        <v>#REF!</v>
      </c>
      <c r="J19" s="578"/>
      <c r="K19" s="578"/>
      <c r="L19" s="578"/>
      <c r="M19" s="582" t="str">
        <f t="shared" si="0"/>
        <v/>
      </c>
      <c r="N19" s="578"/>
      <c r="O19" s="578"/>
      <c r="P19" s="578"/>
      <c r="Q19" s="582"/>
      <c r="S19" s="5"/>
    </row>
    <row r="20" spans="2:19" x14ac:dyDescent="0.25">
      <c r="B20" s="4"/>
      <c r="I20" s="582"/>
      <c r="J20" s="578"/>
      <c r="K20" s="578"/>
      <c r="L20" s="578"/>
      <c r="M20" s="582"/>
      <c r="N20" s="578"/>
      <c r="O20" s="578"/>
      <c r="P20" s="578"/>
      <c r="Q20" s="582"/>
      <c r="S20" s="5"/>
    </row>
    <row r="21" spans="2:19" x14ac:dyDescent="0.25">
      <c r="B21" s="4"/>
      <c r="C21" t="s">
        <v>169</v>
      </c>
      <c r="I21" s="582" t="e">
        <f>'IS-TSData'!O42</f>
        <v>#REF!</v>
      </c>
      <c r="J21" s="578"/>
      <c r="K21" s="578"/>
      <c r="L21" s="578"/>
      <c r="M21" s="582" t="str">
        <f t="shared" si="0"/>
        <v/>
      </c>
      <c r="N21" s="578"/>
      <c r="O21" s="578"/>
      <c r="P21" s="578"/>
      <c r="Q21" s="582"/>
      <c r="S21" s="5"/>
    </row>
    <row r="22" spans="2:19" x14ac:dyDescent="0.25">
      <c r="B22" s="4"/>
      <c r="C22" t="s">
        <v>171</v>
      </c>
      <c r="I22" s="582" t="e">
        <f>'IS-TSData'!O44</f>
        <v>#REF!</v>
      </c>
      <c r="J22" s="578"/>
      <c r="K22" s="578"/>
      <c r="L22" s="578"/>
      <c r="M22" s="582" t="str">
        <f t="shared" si="0"/>
        <v/>
      </c>
      <c r="N22" s="578"/>
      <c r="O22" s="578"/>
      <c r="P22" s="578"/>
      <c r="Q22" s="582"/>
      <c r="S22" s="5"/>
    </row>
    <row r="23" spans="2:19" x14ac:dyDescent="0.25">
      <c r="B23" s="4"/>
      <c r="C23" t="s">
        <v>174</v>
      </c>
      <c r="I23" s="582" t="e">
        <f>'IS-TSData'!O47</f>
        <v>#REF!</v>
      </c>
      <c r="J23" s="578"/>
      <c r="K23" s="578"/>
      <c r="L23" s="578"/>
      <c r="M23" s="582" t="str">
        <f t="shared" si="0"/>
        <v/>
      </c>
      <c r="N23" s="578"/>
      <c r="O23" s="578"/>
      <c r="P23" s="578"/>
      <c r="Q23" s="582"/>
      <c r="S23" s="5"/>
    </row>
    <row r="24" spans="2:19" x14ac:dyDescent="0.25">
      <c r="B24" s="4"/>
      <c r="C24" t="s">
        <v>178</v>
      </c>
      <c r="I24" s="582" t="e">
        <f>'IS-TSData'!O50</f>
        <v>#REF!</v>
      </c>
      <c r="J24" s="578"/>
      <c r="K24" s="578"/>
      <c r="L24" s="578"/>
      <c r="M24" s="582" t="str">
        <f t="shared" si="0"/>
        <v/>
      </c>
      <c r="N24" s="578"/>
      <c r="O24" s="578"/>
      <c r="P24" s="578"/>
      <c r="Q24" s="582"/>
      <c r="S24" s="5"/>
    </row>
    <row r="25" spans="2:19" x14ac:dyDescent="0.25">
      <c r="B25" s="4"/>
      <c r="C25" t="s">
        <v>180</v>
      </c>
      <c r="I25" s="582" t="e">
        <f>'IS-TSData'!O51</f>
        <v>#REF!</v>
      </c>
      <c r="J25" s="578"/>
      <c r="K25" s="578"/>
      <c r="L25" s="578"/>
      <c r="M25" s="582" t="str">
        <f t="shared" si="0"/>
        <v/>
      </c>
      <c r="N25" s="578"/>
      <c r="O25" s="578"/>
      <c r="P25" s="578"/>
      <c r="Q25" s="582"/>
      <c r="S25" s="5"/>
    </row>
    <row r="26" spans="2:19" x14ac:dyDescent="0.25">
      <c r="B26" s="4"/>
      <c r="C26" s="116"/>
      <c r="D26" s="581" t="s">
        <v>1462</v>
      </c>
      <c r="E26" s="8"/>
      <c r="F26" s="8"/>
      <c r="G26" s="8"/>
      <c r="H26" s="8"/>
      <c r="I26" s="581"/>
      <c r="J26" s="581"/>
      <c r="K26" s="578"/>
      <c r="L26" s="578"/>
      <c r="M26" s="578"/>
      <c r="N26" s="578"/>
      <c r="O26" s="578"/>
      <c r="P26" s="578"/>
      <c r="Q26" s="578"/>
      <c r="S26" s="5"/>
    </row>
    <row r="27" spans="2:19" x14ac:dyDescent="0.25">
      <c r="B27" s="4"/>
      <c r="C27" s="116"/>
      <c r="F27" s="581" t="s">
        <v>1461</v>
      </c>
      <c r="G27" s="8"/>
      <c r="H27" s="8"/>
      <c r="I27" s="581"/>
      <c r="J27" s="578"/>
      <c r="K27" s="578"/>
      <c r="L27" s="578"/>
      <c r="M27" s="578"/>
      <c r="N27" s="578"/>
      <c r="O27" s="578"/>
      <c r="P27" s="578"/>
      <c r="Q27" s="578"/>
      <c r="S27" s="5"/>
    </row>
    <row r="28" spans="2:19" x14ac:dyDescent="0.25">
      <c r="B28" s="4"/>
      <c r="C28" s="116"/>
      <c r="J28" s="578"/>
      <c r="K28" s="578"/>
      <c r="L28" s="578"/>
      <c r="M28" s="578"/>
      <c r="N28" s="578"/>
      <c r="O28" s="578"/>
      <c r="P28" s="578"/>
      <c r="Q28" s="578"/>
      <c r="S28" s="5"/>
    </row>
    <row r="29" spans="2:19" x14ac:dyDescent="0.25">
      <c r="B29" s="4"/>
      <c r="G29" t="s">
        <v>1366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116"/>
      <c r="G30" t="s">
        <v>1364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1360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1358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1354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1352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1348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1346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1338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1335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580" t="s">
        <v>1460</v>
      </c>
      <c r="G39" s="8"/>
      <c r="H39" s="8"/>
      <c r="I39" s="8"/>
      <c r="S39" s="5"/>
    </row>
    <row r="40" spans="2:19" x14ac:dyDescent="0.25">
      <c r="B40" s="4"/>
      <c r="G40" t="s">
        <v>1366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579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1364</v>
      </c>
      <c r="I41">
        <v>0</v>
      </c>
      <c r="J41">
        <v>0</v>
      </c>
      <c r="K41">
        <v>0</v>
      </c>
      <c r="L41">
        <f t="shared" si="2"/>
        <v>0</v>
      </c>
      <c r="M41" s="579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1360</v>
      </c>
      <c r="I42">
        <v>0</v>
      </c>
      <c r="J42">
        <v>0</v>
      </c>
      <c r="K42">
        <v>0</v>
      </c>
      <c r="L42">
        <f t="shared" si="2"/>
        <v>-2.5000000000000001E-2</v>
      </c>
      <c r="M42" s="579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1358</v>
      </c>
      <c r="I43">
        <v>0</v>
      </c>
      <c r="J43">
        <v>0</v>
      </c>
      <c r="K43">
        <v>0</v>
      </c>
      <c r="L43">
        <f t="shared" si="2"/>
        <v>0</v>
      </c>
      <c r="M43" s="579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1354</v>
      </c>
      <c r="I44">
        <v>0</v>
      </c>
      <c r="J44">
        <v>0</v>
      </c>
      <c r="K44">
        <v>0</v>
      </c>
      <c r="L44">
        <f t="shared" si="2"/>
        <v>-2.5000000000000001E-2</v>
      </c>
      <c r="M44" s="579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1352</v>
      </c>
      <c r="I45">
        <v>0</v>
      </c>
      <c r="J45">
        <v>0</v>
      </c>
      <c r="K45">
        <v>0</v>
      </c>
      <c r="L45">
        <f t="shared" si="2"/>
        <v>0</v>
      </c>
      <c r="M45" s="579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1348</v>
      </c>
      <c r="I46">
        <v>0</v>
      </c>
      <c r="J46">
        <v>0</v>
      </c>
      <c r="K46">
        <v>0</v>
      </c>
      <c r="L46">
        <f t="shared" si="2"/>
        <v>-2.5000000000000001E-2</v>
      </c>
      <c r="M46" s="579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1346</v>
      </c>
      <c r="I47">
        <v>0</v>
      </c>
      <c r="J47">
        <v>0</v>
      </c>
      <c r="K47">
        <v>0</v>
      </c>
      <c r="L47">
        <f t="shared" si="2"/>
        <v>0</v>
      </c>
      <c r="M47" s="579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1338</v>
      </c>
      <c r="I48">
        <v>0</v>
      </c>
      <c r="J48">
        <v>0</v>
      </c>
      <c r="K48">
        <v>0</v>
      </c>
      <c r="L48">
        <f t="shared" si="2"/>
        <v>-2.5000000000000001E-2</v>
      </c>
      <c r="M48" s="579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1335</v>
      </c>
      <c r="I49">
        <v>0</v>
      </c>
      <c r="J49">
        <v>0</v>
      </c>
      <c r="K49">
        <v>0</v>
      </c>
      <c r="L49">
        <f t="shared" si="2"/>
        <v>0</v>
      </c>
      <c r="M49" s="579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1496</v>
      </c>
      <c r="S50" s="5"/>
    </row>
    <row r="51" spans="2:19" x14ac:dyDescent="0.25">
      <c r="B51" s="577" t="s">
        <v>1459</v>
      </c>
      <c r="S51" s="5"/>
    </row>
    <row r="52" spans="2:19" x14ac:dyDescent="0.25">
      <c r="B52" s="4"/>
      <c r="I52" s="116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1366</v>
      </c>
      <c r="D53" t="s">
        <v>1375</v>
      </c>
      <c r="F53" t="s">
        <v>1043</v>
      </c>
      <c r="G53" t="s">
        <v>703</v>
      </c>
      <c r="H53">
        <v>0</v>
      </c>
      <c r="I53">
        <f t="shared" ref="I53:K62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1364</v>
      </c>
      <c r="D54" t="s">
        <v>1375</v>
      </c>
      <c r="F54" t="s">
        <v>1043</v>
      </c>
      <c r="G54" t="s">
        <v>703</v>
      </c>
      <c r="H54"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ref="L54:M62" si="6">IF($B$50,IF($B$5="PAMS",L41,L30),0)</f>
        <v>0</v>
      </c>
      <c r="M54">
        <f t="shared" si="6"/>
        <v>0</v>
      </c>
      <c r="N54">
        <f t="shared" ref="N54:Q62" si="7">IF($B$50,IF($B$5="PAMS",N41,N30),0)</f>
        <v>0</v>
      </c>
      <c r="O54">
        <f t="shared" si="7"/>
        <v>0</v>
      </c>
      <c r="P54">
        <f t="shared" si="7"/>
        <v>0</v>
      </c>
      <c r="Q54">
        <f t="shared" si="7"/>
        <v>0</v>
      </c>
      <c r="S54" s="5"/>
    </row>
    <row r="55" spans="2:19" x14ac:dyDescent="0.25">
      <c r="B55" s="4" t="s">
        <v>1360</v>
      </c>
      <c r="D55" t="s">
        <v>1374</v>
      </c>
      <c r="F55" t="s">
        <v>1043</v>
      </c>
      <c r="G55" t="s">
        <v>703</v>
      </c>
      <c r="H55"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6"/>
        <v>0</v>
      </c>
      <c r="M55">
        <f t="shared" si="6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S55" s="5"/>
    </row>
    <row r="56" spans="2:19" x14ac:dyDescent="0.25">
      <c r="B56" s="4" t="s">
        <v>1358</v>
      </c>
      <c r="D56" t="s">
        <v>1374</v>
      </c>
      <c r="F56" t="s">
        <v>1043</v>
      </c>
      <c r="G56" t="s">
        <v>703</v>
      </c>
      <c r="H56"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6"/>
        <v>0</v>
      </c>
      <c r="M56">
        <f t="shared" si="6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S56" s="5"/>
    </row>
    <row r="57" spans="2:19" x14ac:dyDescent="0.25">
      <c r="B57" s="4" t="s">
        <v>1354</v>
      </c>
      <c r="D57" t="s">
        <v>1373</v>
      </c>
      <c r="F57" t="s">
        <v>1043</v>
      </c>
      <c r="G57" t="s">
        <v>703</v>
      </c>
      <c r="H57"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6"/>
        <v>0</v>
      </c>
      <c r="M57">
        <f t="shared" si="6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S57" s="5"/>
    </row>
    <row r="58" spans="2:19" x14ac:dyDescent="0.25">
      <c r="B58" s="4" t="s">
        <v>1352</v>
      </c>
      <c r="D58" t="s">
        <v>1373</v>
      </c>
      <c r="F58" t="s">
        <v>1043</v>
      </c>
      <c r="G58" t="s">
        <v>703</v>
      </c>
      <c r="H58"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6"/>
        <v>0</v>
      </c>
      <c r="M58">
        <f t="shared" si="6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S58" s="5"/>
    </row>
    <row r="59" spans="2:19" x14ac:dyDescent="0.25">
      <c r="B59" s="4" t="s">
        <v>1348</v>
      </c>
      <c r="D59" t="s">
        <v>1372</v>
      </c>
      <c r="F59" t="s">
        <v>1043</v>
      </c>
      <c r="G59" t="s">
        <v>703</v>
      </c>
      <c r="H59"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6"/>
        <v>0</v>
      </c>
      <c r="M59">
        <f t="shared" si="6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S59" s="5"/>
    </row>
    <row r="60" spans="2:19" x14ac:dyDescent="0.25">
      <c r="B60" s="4" t="s">
        <v>1346</v>
      </c>
      <c r="D60" t="s">
        <v>1372</v>
      </c>
      <c r="F60" t="s">
        <v>1043</v>
      </c>
      <c r="G60" t="s">
        <v>703</v>
      </c>
      <c r="H60"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6"/>
        <v>0</v>
      </c>
      <c r="M60">
        <f t="shared" si="6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S60" s="5"/>
    </row>
    <row r="61" spans="2:19" x14ac:dyDescent="0.25">
      <c r="B61" t="s">
        <v>1338</v>
      </c>
      <c r="D61" t="s">
        <v>1373</v>
      </c>
      <c r="F61" t="s">
        <v>1043</v>
      </c>
      <c r="G61" t="s">
        <v>703</v>
      </c>
      <c r="H61">
        <v>0</v>
      </c>
      <c r="I61">
        <f t="shared" si="4"/>
        <v>0</v>
      </c>
      <c r="J61">
        <f t="shared" si="4"/>
        <v>0</v>
      </c>
      <c r="K61">
        <f t="shared" si="4"/>
        <v>0</v>
      </c>
      <c r="L61">
        <f t="shared" si="6"/>
        <v>0</v>
      </c>
      <c r="M61">
        <f t="shared" si="6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S61" s="5"/>
    </row>
    <row r="62" spans="2:19" x14ac:dyDescent="0.25">
      <c r="B62" t="s">
        <v>1335</v>
      </c>
      <c r="D62" t="s">
        <v>1372</v>
      </c>
      <c r="F62" t="s">
        <v>1043</v>
      </c>
      <c r="G62" t="s">
        <v>703</v>
      </c>
      <c r="H62">
        <v>0</v>
      </c>
      <c r="I62">
        <f t="shared" si="4"/>
        <v>0</v>
      </c>
      <c r="J62">
        <f t="shared" si="4"/>
        <v>0</v>
      </c>
      <c r="K62">
        <f t="shared" si="4"/>
        <v>0</v>
      </c>
      <c r="L62">
        <f t="shared" si="6"/>
        <v>0</v>
      </c>
      <c r="M62">
        <f t="shared" si="6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578" t="s">
        <v>1458</v>
      </c>
      <c r="F64" s="578" t="s">
        <v>1457</v>
      </c>
      <c r="S64" s="5"/>
    </row>
    <row r="65" spans="2:19" x14ac:dyDescent="0.25">
      <c r="B65" s="577" t="s">
        <v>1456</v>
      </c>
      <c r="E65" s="99" t="str">
        <f>IF(AND(B4,B5="PAMS"),"FX","UP")</f>
        <v>UP</v>
      </c>
      <c r="F65" s="99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555"/>
      <c r="C67" s="99"/>
      <c r="D67" s="99"/>
      <c r="E67" s="99"/>
      <c r="F67" s="99"/>
      <c r="G67" s="99"/>
      <c r="J67" s="99"/>
      <c r="S67" s="5"/>
    </row>
    <row r="68" spans="2:19" x14ac:dyDescent="0.25">
      <c r="B68" s="576"/>
      <c r="C68" s="404"/>
      <c r="D68" s="404"/>
      <c r="E68" s="404"/>
      <c r="F68" s="404"/>
      <c r="G68" s="404"/>
      <c r="H68" s="404"/>
      <c r="I68" s="404"/>
      <c r="J68" s="404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99"/>
      <c r="C69" s="99"/>
      <c r="D69" s="99"/>
      <c r="E69" s="99"/>
      <c r="F69" s="99"/>
      <c r="G69" s="99"/>
      <c r="H69" s="99"/>
      <c r="I69" s="99"/>
      <c r="J69" s="99"/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/>
  </sheetViews>
  <sheetFormatPr defaultRowHeight="12.75" x14ac:dyDescent="0.2"/>
  <cols>
    <col min="1" max="1" width="9.140625" style="485"/>
    <col min="2" max="2" width="13.5703125" style="485" customWidth="1"/>
    <col min="3" max="9" width="9.140625" style="485"/>
    <col min="10" max="11" width="10.42578125" style="485" bestFit="1" customWidth="1"/>
    <col min="12" max="12" width="10.85546875" style="485" bestFit="1" customWidth="1"/>
    <col min="13" max="16384" width="9.140625" style="485"/>
  </cols>
  <sheetData>
    <row r="1" spans="2:24" x14ac:dyDescent="0.2">
      <c r="P1" s="485">
        <v>11.914999999999999</v>
      </c>
      <c r="Q1" s="502" t="s">
        <v>999</v>
      </c>
    </row>
    <row r="2" spans="2:24" x14ac:dyDescent="0.2">
      <c r="B2" s="497" t="s">
        <v>998</v>
      </c>
    </row>
    <row r="3" spans="2:24" x14ac:dyDescent="0.2">
      <c r="B3" s="500"/>
      <c r="C3" s="499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8"/>
    </row>
    <row r="4" spans="2:24" x14ac:dyDescent="0.2">
      <c r="B4" s="490"/>
      <c r="I4" s="497" t="s">
        <v>997</v>
      </c>
      <c r="P4" s="497" t="s">
        <v>996</v>
      </c>
      <c r="X4" s="489"/>
    </row>
    <row r="5" spans="2:24" x14ac:dyDescent="0.2">
      <c r="B5" s="491" t="s">
        <v>995</v>
      </c>
      <c r="I5" s="501" t="s">
        <v>994</v>
      </c>
      <c r="J5" s="499"/>
      <c r="K5" s="499"/>
      <c r="L5" s="499"/>
      <c r="M5" s="499"/>
      <c r="N5" s="498"/>
      <c r="P5" s="500"/>
      <c r="Q5" s="499">
        <v>2020</v>
      </c>
      <c r="R5" s="499">
        <v>2030</v>
      </c>
      <c r="S5" s="499">
        <v>2040</v>
      </c>
      <c r="T5" s="499"/>
      <c r="U5" s="498"/>
      <c r="X5" s="489"/>
    </row>
    <row r="6" spans="2:24" x14ac:dyDescent="0.2">
      <c r="B6" s="500"/>
      <c r="C6" s="499"/>
      <c r="D6" s="499"/>
      <c r="E6" s="498"/>
      <c r="I6" s="490"/>
      <c r="J6" s="497">
        <v>2020</v>
      </c>
      <c r="K6" s="497">
        <v>2030</v>
      </c>
      <c r="L6" s="497">
        <v>2040</v>
      </c>
      <c r="N6" s="489"/>
      <c r="P6" s="491" t="s">
        <v>993</v>
      </c>
      <c r="Q6" s="492">
        <f>SUMIFS(J7:J9,$I$7:$I$9,$B$12)*$P$1</f>
        <v>11152.439999999999</v>
      </c>
      <c r="R6" s="492">
        <f>SUMIFS(K7:K9,$I$7:$I$9,$B$12)*$P$1</f>
        <v>7446.8749999999991</v>
      </c>
      <c r="S6" s="492">
        <f>SUMIFS(L7:L9,$I$7:$I$9,$B$12)*$P$1</f>
        <v>5361.75</v>
      </c>
      <c r="U6" s="489"/>
      <c r="X6" s="489"/>
    </row>
    <row r="7" spans="2:24" x14ac:dyDescent="0.2">
      <c r="B7" s="490"/>
      <c r="E7" s="489"/>
      <c r="I7" s="491" t="s">
        <v>532</v>
      </c>
      <c r="J7" s="485">
        <v>500</v>
      </c>
      <c r="K7" s="485">
        <v>400</v>
      </c>
      <c r="L7" s="485">
        <v>200</v>
      </c>
      <c r="N7" s="489"/>
      <c r="P7" s="491" t="s">
        <v>786</v>
      </c>
      <c r="Q7" s="496">
        <f>1/SUMIFS(J14:J16,$I$14:$I$16,$B$15)</f>
        <v>1.5037593984962405</v>
      </c>
      <c r="R7" s="496">
        <f>1/SUMIFS(K14:K16,$I$14:$I$16,$B$15)</f>
        <v>1.4705882352941178</v>
      </c>
      <c r="S7" s="496">
        <f>1/SUMIFS(L14:L16,$I$14:$I$16,$B$15)</f>
        <v>1.3333333333333333</v>
      </c>
      <c r="U7" s="489"/>
      <c r="X7" s="489"/>
    </row>
    <row r="8" spans="2:24" x14ac:dyDescent="0.2">
      <c r="B8" s="493" t="s">
        <v>992</v>
      </c>
      <c r="E8" s="489"/>
      <c r="I8" s="491" t="s">
        <v>533</v>
      </c>
      <c r="J8" s="485">
        <v>1372</v>
      </c>
      <c r="K8" s="485">
        <v>850</v>
      </c>
      <c r="L8" s="485">
        <v>700</v>
      </c>
      <c r="N8" s="489"/>
      <c r="P8" s="491" t="s">
        <v>740</v>
      </c>
      <c r="Q8" s="496">
        <f>ROUNDUP(SUMIFS(J20:J22,$I$20:$I$22,$B$18)/(8760*$W$8),0)</f>
        <v>10</v>
      </c>
      <c r="R8" s="496">
        <f>ROUNDUP(SUMIFS(K20:K22,$I$20:$I$22,$B$18)/(8760*$W$8),0)</f>
        <v>13</v>
      </c>
      <c r="S8" s="496">
        <f>ROUNDUP(SUMIFS(L20:L22,$I$20:$I$22,$B$18)/(8760*$W$8),0)</f>
        <v>16</v>
      </c>
      <c r="U8" s="489"/>
      <c r="W8" s="495">
        <v>0.9</v>
      </c>
      <c r="X8" s="489"/>
    </row>
    <row r="9" spans="2:24" x14ac:dyDescent="0.2">
      <c r="B9" s="494">
        <f>B33</f>
        <v>2028</v>
      </c>
      <c r="E9" s="489"/>
      <c r="I9" s="491" t="s">
        <v>984</v>
      </c>
      <c r="J9" s="485">
        <f>AVERAGE(J7:J8)</f>
        <v>936</v>
      </c>
      <c r="K9" s="485">
        <f>AVERAGE(K7:K8)</f>
        <v>625</v>
      </c>
      <c r="L9" s="485">
        <f>AVERAGE(L7:L8)</f>
        <v>450</v>
      </c>
      <c r="N9" s="489"/>
      <c r="P9" s="491" t="s">
        <v>991</v>
      </c>
      <c r="Q9" s="485">
        <f>Q6*$W$9</f>
        <v>557.62199999999996</v>
      </c>
      <c r="R9" s="485">
        <f>R6*$W$9</f>
        <v>372.34375</v>
      </c>
      <c r="S9" s="485">
        <f>S6*$W$9</f>
        <v>268.08750000000003</v>
      </c>
      <c r="U9" s="489"/>
      <c r="W9" s="495">
        <v>0.05</v>
      </c>
      <c r="X9" s="489"/>
    </row>
    <row r="10" spans="2:24" x14ac:dyDescent="0.2">
      <c r="B10" s="490"/>
      <c r="E10" s="489"/>
      <c r="I10" s="490"/>
      <c r="N10" s="489"/>
      <c r="P10" s="490"/>
      <c r="U10" s="489"/>
      <c r="X10" s="489"/>
    </row>
    <row r="11" spans="2:24" x14ac:dyDescent="0.2">
      <c r="B11" s="493" t="s">
        <v>990</v>
      </c>
      <c r="E11" s="489"/>
      <c r="I11" s="490"/>
      <c r="N11" s="489"/>
      <c r="P11" s="490"/>
      <c r="U11" s="489"/>
      <c r="X11" s="489"/>
    </row>
    <row r="12" spans="2:24" x14ac:dyDescent="0.2">
      <c r="B12" s="494" t="s">
        <v>984</v>
      </c>
      <c r="E12" s="489"/>
      <c r="I12" s="493" t="s">
        <v>989</v>
      </c>
      <c r="N12" s="489"/>
      <c r="P12" s="490"/>
      <c r="U12" s="489"/>
      <c r="X12" s="489"/>
    </row>
    <row r="13" spans="2:24" x14ac:dyDescent="0.2">
      <c r="B13" s="490"/>
      <c r="E13" s="489"/>
      <c r="I13" s="490"/>
      <c r="N13" s="489"/>
      <c r="P13" s="490"/>
      <c r="U13" s="489"/>
      <c r="X13" s="489"/>
    </row>
    <row r="14" spans="2:24" x14ac:dyDescent="0.2">
      <c r="B14" s="493" t="s">
        <v>988</v>
      </c>
      <c r="E14" s="489"/>
      <c r="I14" s="491" t="s">
        <v>532</v>
      </c>
      <c r="J14" s="495">
        <v>0.63</v>
      </c>
      <c r="K14" s="495">
        <v>0.65</v>
      </c>
      <c r="L14" s="495">
        <v>0.7</v>
      </c>
      <c r="N14" s="489"/>
      <c r="P14" s="490"/>
      <c r="U14" s="489"/>
      <c r="X14" s="489"/>
    </row>
    <row r="15" spans="2:24" x14ac:dyDescent="0.2">
      <c r="B15" s="494" t="s">
        <v>984</v>
      </c>
      <c r="E15" s="489"/>
      <c r="I15" s="491" t="s">
        <v>533</v>
      </c>
      <c r="J15" s="495">
        <v>0.7</v>
      </c>
      <c r="K15" s="495">
        <v>0.71</v>
      </c>
      <c r="L15" s="495">
        <v>0.8</v>
      </c>
      <c r="N15" s="489"/>
      <c r="P15" s="490"/>
      <c r="U15" s="489"/>
      <c r="X15" s="489"/>
    </row>
    <row r="16" spans="2:24" x14ac:dyDescent="0.2">
      <c r="B16" s="490"/>
      <c r="E16" s="489"/>
      <c r="I16" s="491" t="s">
        <v>984</v>
      </c>
      <c r="J16" s="485">
        <f>AVERAGE(J14:J15)</f>
        <v>0.66500000000000004</v>
      </c>
      <c r="K16" s="485">
        <f>AVERAGE(K14:K15)</f>
        <v>0.67999999999999994</v>
      </c>
      <c r="L16" s="485">
        <f>AVERAGE(L14:L15)</f>
        <v>0.75</v>
      </c>
      <c r="N16" s="489"/>
      <c r="P16" s="490"/>
      <c r="U16" s="489"/>
      <c r="X16" s="489"/>
    </row>
    <row r="17" spans="2:24" x14ac:dyDescent="0.2">
      <c r="B17" s="493" t="s">
        <v>987</v>
      </c>
      <c r="E17" s="489"/>
      <c r="I17" s="490"/>
      <c r="N17" s="489"/>
      <c r="P17" s="490"/>
      <c r="U17" s="489"/>
      <c r="X17" s="489"/>
    </row>
    <row r="18" spans="2:24" x14ac:dyDescent="0.2">
      <c r="B18" s="494" t="s">
        <v>984</v>
      </c>
      <c r="E18" s="489"/>
      <c r="I18" s="493" t="s">
        <v>986</v>
      </c>
      <c r="N18" s="489"/>
      <c r="P18" s="490"/>
      <c r="U18" s="489"/>
      <c r="X18" s="489"/>
    </row>
    <row r="19" spans="2:24" x14ac:dyDescent="0.2">
      <c r="B19" s="490"/>
      <c r="E19" s="489"/>
      <c r="I19" s="491" t="s">
        <v>985</v>
      </c>
      <c r="N19" s="489"/>
      <c r="P19" s="490"/>
      <c r="U19" s="489"/>
      <c r="X19" s="489"/>
    </row>
    <row r="20" spans="2:24" x14ac:dyDescent="0.2">
      <c r="B20" s="488"/>
      <c r="C20" s="487"/>
      <c r="D20" s="487"/>
      <c r="E20" s="486"/>
      <c r="I20" s="491" t="s">
        <v>532</v>
      </c>
      <c r="J20" s="492">
        <v>60000</v>
      </c>
      <c r="K20" s="492">
        <v>90000</v>
      </c>
      <c r="L20" s="492">
        <v>100000</v>
      </c>
      <c r="N20" s="489"/>
      <c r="P20" s="490"/>
      <c r="U20" s="489"/>
      <c r="X20" s="489"/>
    </row>
    <row r="21" spans="2:24" x14ac:dyDescent="0.2">
      <c r="B21" s="490"/>
      <c r="I21" s="491" t="s">
        <v>533</v>
      </c>
      <c r="J21" s="492">
        <v>90000</v>
      </c>
      <c r="K21" s="492">
        <v>100000</v>
      </c>
      <c r="L21" s="492">
        <v>150000</v>
      </c>
      <c r="N21" s="489"/>
      <c r="P21" s="490"/>
      <c r="U21" s="489"/>
      <c r="X21" s="489"/>
    </row>
    <row r="22" spans="2:24" x14ac:dyDescent="0.2">
      <c r="B22" s="490"/>
      <c r="I22" s="491" t="s">
        <v>984</v>
      </c>
      <c r="J22" s="485">
        <f>AVERAGE(J20:J21)</f>
        <v>75000</v>
      </c>
      <c r="K22" s="485">
        <f>AVERAGE(K20:K21)</f>
        <v>95000</v>
      </c>
      <c r="L22" s="485">
        <f>AVERAGE(L20:L21)</f>
        <v>125000</v>
      </c>
      <c r="N22" s="489"/>
      <c r="P22" s="490"/>
      <c r="U22" s="489"/>
      <c r="X22" s="489"/>
    </row>
    <row r="23" spans="2:24" x14ac:dyDescent="0.2">
      <c r="B23" s="490"/>
      <c r="I23" s="490"/>
      <c r="N23" s="489"/>
      <c r="P23" s="490"/>
      <c r="U23" s="489"/>
      <c r="X23" s="489"/>
    </row>
    <row r="24" spans="2:24" x14ac:dyDescent="0.2">
      <c r="B24" s="490"/>
      <c r="I24" s="488"/>
      <c r="J24" s="487"/>
      <c r="K24" s="487"/>
      <c r="L24" s="487"/>
      <c r="M24" s="487"/>
      <c r="N24" s="486"/>
      <c r="P24" s="488"/>
      <c r="Q24" s="487"/>
      <c r="R24" s="487"/>
      <c r="S24" s="487"/>
      <c r="T24" s="487"/>
      <c r="U24" s="486"/>
      <c r="X24" s="489"/>
    </row>
    <row r="25" spans="2:24" x14ac:dyDescent="0.2">
      <c r="B25" s="490"/>
      <c r="X25" s="489"/>
    </row>
    <row r="26" spans="2:24" x14ac:dyDescent="0.2">
      <c r="B26" s="490"/>
      <c r="X26" s="489"/>
    </row>
    <row r="27" spans="2:24" x14ac:dyDescent="0.2">
      <c r="B27" s="490"/>
      <c r="X27" s="489"/>
    </row>
    <row r="28" spans="2:24" x14ac:dyDescent="0.2">
      <c r="B28" s="490"/>
      <c r="X28" s="489"/>
    </row>
    <row r="29" spans="2:24" x14ac:dyDescent="0.2">
      <c r="B29" s="490"/>
      <c r="X29" s="489"/>
    </row>
    <row r="30" spans="2:24" x14ac:dyDescent="0.2">
      <c r="B30" s="493" t="s">
        <v>1503</v>
      </c>
      <c r="X30" s="489"/>
    </row>
    <row r="31" spans="2:24" x14ac:dyDescent="0.2">
      <c r="B31" s="493"/>
      <c r="X31" s="489"/>
    </row>
    <row r="32" spans="2:24" x14ac:dyDescent="0.2">
      <c r="B32" s="491" t="s">
        <v>1504</v>
      </c>
      <c r="X32" s="489"/>
    </row>
    <row r="33" spans="2:24" x14ac:dyDescent="0.2">
      <c r="B33" s="490">
        <v>2028</v>
      </c>
      <c r="C33" s="502" t="s">
        <v>1505</v>
      </c>
      <c r="X33" s="489"/>
    </row>
    <row r="34" spans="2:24" x14ac:dyDescent="0.2">
      <c r="B34" s="490"/>
      <c r="C34" s="502"/>
      <c r="X34" s="489"/>
    </row>
    <row r="35" spans="2:24" x14ac:dyDescent="0.2">
      <c r="B35" s="490">
        <v>2032</v>
      </c>
      <c r="C35" s="502" t="s">
        <v>1510</v>
      </c>
      <c r="X35" s="489"/>
    </row>
    <row r="36" spans="2:24" x14ac:dyDescent="0.2">
      <c r="B36" s="488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487"/>
      <c r="U36" s="487"/>
      <c r="V36" s="487"/>
      <c r="W36" s="487"/>
      <c r="X36" s="48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65" zoomScale="99" zoomScaleNormal="100" workbookViewId="0">
      <selection activeCell="E206" sqref="E206"/>
    </sheetView>
  </sheetViews>
  <sheetFormatPr defaultRowHeight="15" x14ac:dyDescent="0.25"/>
  <cols>
    <col min="2" max="2" width="14" customWidth="1"/>
    <col min="3" max="3" width="15.5703125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801</v>
      </c>
      <c r="D2">
        <v>120</v>
      </c>
      <c r="E2" t="s">
        <v>434</v>
      </c>
      <c r="J2" t="s">
        <v>1071</v>
      </c>
    </row>
    <row r="3" spans="1:45" x14ac:dyDescent="0.25">
      <c r="J3" s="14" t="s">
        <v>1072</v>
      </c>
      <c r="K3" s="15"/>
      <c r="L3" s="15" t="s">
        <v>1073</v>
      </c>
      <c r="M3" s="15"/>
      <c r="N3" s="3"/>
      <c r="P3" t="s">
        <v>966</v>
      </c>
      <c r="Q3" s="482"/>
      <c r="R3">
        <v>1.1499999999999999</v>
      </c>
      <c r="S3" s="118" t="s">
        <v>815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1601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85" t="s">
        <v>1078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85" t="s">
        <v>1068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07"/>
    </row>
    <row r="12" spans="1:45" x14ac:dyDescent="0.25">
      <c r="B12" s="508"/>
      <c r="C12" s="508"/>
      <c r="D12" s="508" t="s">
        <v>1081</v>
      </c>
      <c r="E12" s="508"/>
      <c r="F12" s="508"/>
      <c r="G12" s="508"/>
      <c r="H12" s="508"/>
      <c r="I12" s="508"/>
      <c r="J12" s="508"/>
      <c r="K12" s="508"/>
      <c r="L12" s="508"/>
      <c r="M12" s="508"/>
      <c r="N12" s="508"/>
      <c r="X12" s="507"/>
    </row>
    <row r="13" spans="1:45" x14ac:dyDescent="0.25"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8"/>
      <c r="M13" s="508"/>
      <c r="N13" s="508"/>
      <c r="X13" s="507"/>
    </row>
    <row r="14" spans="1:45" ht="21" x14ac:dyDescent="0.35">
      <c r="B14" s="508"/>
      <c r="C14" s="508"/>
      <c r="D14" s="508"/>
      <c r="E14" s="508"/>
      <c r="F14" s="508"/>
      <c r="G14" s="508"/>
      <c r="H14" s="508"/>
      <c r="I14" s="508"/>
      <c r="J14" s="508"/>
      <c r="K14" s="508"/>
      <c r="L14" s="508"/>
      <c r="M14" s="508"/>
      <c r="N14" s="508"/>
      <c r="X14" s="507"/>
      <c r="Z14" s="442" t="s">
        <v>1058</v>
      </c>
    </row>
    <row r="15" spans="1:45" ht="21" x14ac:dyDescent="0.35">
      <c r="B15" s="508"/>
      <c r="C15" s="508"/>
      <c r="D15" s="508"/>
      <c r="E15" s="508"/>
      <c r="F15" s="508"/>
      <c r="G15" s="508"/>
      <c r="H15" s="508"/>
      <c r="I15" s="508"/>
      <c r="J15" s="508"/>
      <c r="K15" s="508"/>
      <c r="L15" s="508"/>
      <c r="M15" s="508"/>
      <c r="N15" s="508"/>
      <c r="X15" s="507"/>
      <c r="Z15" s="442"/>
    </row>
    <row r="16" spans="1:45" x14ac:dyDescent="0.25">
      <c r="B16" s="508"/>
      <c r="C16" s="508"/>
      <c r="D16" s="508"/>
      <c r="E16" s="508"/>
      <c r="F16" s="508"/>
      <c r="G16" s="508"/>
      <c r="H16" s="508"/>
      <c r="I16" s="508"/>
      <c r="J16" s="508"/>
      <c r="K16" s="508"/>
      <c r="L16" s="508"/>
      <c r="M16" s="508"/>
      <c r="N16" s="508"/>
      <c r="X16" s="507"/>
      <c r="Z16" t="s">
        <v>776</v>
      </c>
      <c r="AM16" t="s">
        <v>777</v>
      </c>
    </row>
    <row r="17" spans="2:40" x14ac:dyDescent="0.25">
      <c r="B17" s="508"/>
      <c r="C17" s="508"/>
      <c r="D17" s="508"/>
      <c r="E17" s="508"/>
      <c r="F17" s="508"/>
      <c r="G17" s="508"/>
      <c r="H17" s="508"/>
      <c r="I17" s="508"/>
      <c r="J17" s="508"/>
      <c r="K17" s="508"/>
      <c r="L17" s="508"/>
      <c r="M17" s="508"/>
      <c r="N17" s="508"/>
      <c r="X17" s="507"/>
      <c r="AM17" t="s">
        <v>778</v>
      </c>
    </row>
    <row r="18" spans="2:40" x14ac:dyDescent="0.25">
      <c r="B18" s="508"/>
      <c r="C18" s="508"/>
      <c r="D18" s="508"/>
      <c r="E18" s="508"/>
      <c r="F18" s="508"/>
      <c r="G18" s="508"/>
      <c r="H18" s="508"/>
      <c r="I18" s="508"/>
      <c r="J18" s="508"/>
      <c r="K18" s="508"/>
      <c r="L18" s="508"/>
      <c r="M18" s="508"/>
      <c r="N18" s="508"/>
      <c r="X18" s="507"/>
      <c r="AM18" t="s">
        <v>779</v>
      </c>
    </row>
    <row r="19" spans="2:40" x14ac:dyDescent="0.25"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X19" s="507"/>
      <c r="AM19" t="s">
        <v>780</v>
      </c>
      <c r="AN19" t="s">
        <v>781</v>
      </c>
    </row>
    <row r="20" spans="2:40" x14ac:dyDescent="0.25">
      <c r="B20" s="508"/>
      <c r="C20" s="508"/>
      <c r="D20" s="508"/>
      <c r="E20" s="508"/>
      <c r="F20" s="508"/>
      <c r="G20" s="508"/>
      <c r="H20" s="508"/>
      <c r="I20" s="508"/>
      <c r="J20" s="508"/>
      <c r="K20" s="508"/>
      <c r="L20" s="508"/>
      <c r="M20" s="508"/>
      <c r="N20" s="508"/>
      <c r="X20" s="507"/>
      <c r="AM20">
        <v>300</v>
      </c>
      <c r="AN20" t="s">
        <v>782</v>
      </c>
    </row>
    <row r="21" spans="2:40" x14ac:dyDescent="0.25"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X21" s="507"/>
      <c r="AM21" t="s">
        <v>783</v>
      </c>
    </row>
    <row r="22" spans="2:40" x14ac:dyDescent="0.25">
      <c r="B22" s="508"/>
      <c r="C22" s="508"/>
      <c r="D22" s="508"/>
      <c r="E22" s="508"/>
      <c r="F22" s="508"/>
      <c r="G22" s="508"/>
      <c r="H22" s="508"/>
      <c r="I22" s="508"/>
      <c r="J22" s="508"/>
      <c r="K22" s="508"/>
      <c r="L22" s="508"/>
      <c r="M22" s="508"/>
      <c r="N22" s="508"/>
      <c r="X22" s="507"/>
    </row>
    <row r="23" spans="2:40" x14ac:dyDescent="0.25">
      <c r="B23" s="508"/>
      <c r="C23" s="508"/>
      <c r="D23" s="508"/>
      <c r="E23" s="508"/>
      <c r="F23" s="508"/>
      <c r="G23" s="508"/>
      <c r="H23" s="508"/>
      <c r="I23" s="508"/>
      <c r="J23" s="508"/>
      <c r="K23" s="508"/>
      <c r="L23" s="508"/>
      <c r="M23" s="508"/>
      <c r="N23" s="508"/>
      <c r="X23" s="507"/>
    </row>
    <row r="24" spans="2:40" x14ac:dyDescent="0.25">
      <c r="B24" s="508"/>
      <c r="C24" s="508"/>
      <c r="D24" s="508"/>
      <c r="E24" s="508"/>
      <c r="F24" s="508"/>
      <c r="G24" s="508"/>
      <c r="H24" s="508"/>
      <c r="I24" s="508"/>
      <c r="J24" s="508"/>
      <c r="K24" s="508"/>
      <c r="L24" s="508"/>
      <c r="M24" s="508"/>
      <c r="N24" s="508"/>
      <c r="X24" s="507"/>
    </row>
    <row r="25" spans="2:40" x14ac:dyDescent="0.25">
      <c r="B25" s="508"/>
      <c r="C25" s="508"/>
      <c r="D25" s="508"/>
      <c r="E25" s="508"/>
      <c r="F25" s="508"/>
      <c r="G25" s="508"/>
      <c r="H25" s="508"/>
      <c r="I25" s="508"/>
      <c r="J25" s="508"/>
      <c r="K25" s="508"/>
      <c r="L25" s="508"/>
      <c r="M25" s="508"/>
      <c r="N25" s="508"/>
      <c r="X25" s="507"/>
    </row>
    <row r="26" spans="2:40" x14ac:dyDescent="0.25"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X26" s="507"/>
    </row>
    <row r="27" spans="2:40" x14ac:dyDescent="0.25">
      <c r="B27" s="508"/>
      <c r="C27" s="508"/>
      <c r="D27" s="508"/>
      <c r="E27" s="508"/>
      <c r="F27" s="508"/>
      <c r="G27" s="508"/>
      <c r="H27" s="508"/>
      <c r="I27" s="508"/>
      <c r="J27" s="508"/>
      <c r="K27" s="508"/>
      <c r="L27" s="508"/>
      <c r="M27" s="508"/>
      <c r="N27" s="508"/>
      <c r="X27" s="507"/>
    </row>
    <row r="28" spans="2:40" x14ac:dyDescent="0.25">
      <c r="B28" s="508"/>
      <c r="C28" s="508"/>
      <c r="D28" s="508"/>
      <c r="E28" s="508"/>
      <c r="F28" s="508"/>
      <c r="G28" s="508"/>
      <c r="H28" s="508"/>
      <c r="I28" s="508"/>
      <c r="J28" s="508"/>
      <c r="K28" s="508"/>
      <c r="L28" s="508"/>
      <c r="M28" s="508"/>
      <c r="N28" s="508"/>
      <c r="X28" s="507"/>
    </row>
    <row r="29" spans="2:40" x14ac:dyDescent="0.25">
      <c r="B29" s="508"/>
      <c r="C29" s="508"/>
      <c r="D29" s="508"/>
      <c r="E29" s="508"/>
      <c r="F29" s="508"/>
      <c r="G29" s="508"/>
      <c r="H29" s="508"/>
      <c r="I29" s="508"/>
      <c r="J29" s="508"/>
      <c r="K29" s="508"/>
      <c r="L29" s="508"/>
      <c r="M29" s="508"/>
      <c r="N29" s="508"/>
      <c r="X29" s="507"/>
    </row>
    <row r="30" spans="2:40" x14ac:dyDescent="0.25">
      <c r="B30" s="508"/>
      <c r="C30" s="508"/>
      <c r="D30" s="508"/>
      <c r="E30" s="508"/>
      <c r="F30" s="508"/>
      <c r="G30" s="508"/>
      <c r="H30" s="508"/>
      <c r="I30" s="508"/>
      <c r="J30" s="508"/>
      <c r="K30" s="508"/>
      <c r="L30" s="508"/>
      <c r="M30" s="508"/>
      <c r="N30" s="508"/>
      <c r="X30" s="507"/>
    </row>
    <row r="31" spans="2:40" x14ac:dyDescent="0.25">
      <c r="B31" s="508"/>
      <c r="C31" s="508"/>
      <c r="D31" s="508"/>
      <c r="E31" s="508"/>
      <c r="F31" s="508"/>
      <c r="G31" s="508"/>
      <c r="H31" s="508"/>
      <c r="I31" s="508"/>
      <c r="J31" s="508"/>
      <c r="K31" s="508"/>
      <c r="L31" s="508"/>
      <c r="M31" s="508"/>
      <c r="N31" s="508"/>
      <c r="X31" s="507"/>
    </row>
    <row r="32" spans="2:40" x14ac:dyDescent="0.25">
      <c r="B32" s="508"/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X32" s="507"/>
    </row>
    <row r="33" spans="2:24" x14ac:dyDescent="0.25"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X33" s="507"/>
    </row>
    <row r="34" spans="2:24" x14ac:dyDescent="0.25">
      <c r="B34" s="508"/>
      <c r="C34" s="508"/>
      <c r="D34" s="508"/>
      <c r="E34" s="508"/>
      <c r="F34" s="508"/>
      <c r="G34" s="508"/>
      <c r="H34" s="508"/>
      <c r="I34" s="508"/>
      <c r="J34" s="508"/>
      <c r="K34" s="508"/>
      <c r="L34" s="508"/>
      <c r="M34" s="508"/>
      <c r="N34" s="508"/>
      <c r="X34" s="507"/>
    </row>
    <row r="35" spans="2:24" x14ac:dyDescent="0.25">
      <c r="B35" s="508"/>
      <c r="C35" s="508"/>
      <c r="D35" s="508"/>
      <c r="E35" s="508"/>
      <c r="F35" s="508"/>
      <c r="G35" s="508"/>
      <c r="H35" s="508"/>
      <c r="I35" s="508"/>
      <c r="J35" s="508"/>
      <c r="K35" s="508"/>
      <c r="L35" s="508"/>
      <c r="M35" s="508"/>
      <c r="N35" s="508"/>
      <c r="X35" s="507"/>
    </row>
    <row r="36" spans="2:24" x14ac:dyDescent="0.25">
      <c r="X36" s="507"/>
    </row>
    <row r="37" spans="2:24" x14ac:dyDescent="0.25">
      <c r="X37" s="507"/>
    </row>
    <row r="38" spans="2:24" x14ac:dyDescent="0.25">
      <c r="X38" s="507"/>
    </row>
    <row r="39" spans="2:24" x14ac:dyDescent="0.25">
      <c r="X39" s="507"/>
    </row>
    <row r="40" spans="2:24" x14ac:dyDescent="0.25">
      <c r="X40" s="507"/>
    </row>
    <row r="41" spans="2:24" x14ac:dyDescent="0.25">
      <c r="X41" s="507"/>
    </row>
    <row r="42" spans="2:24" x14ac:dyDescent="0.25">
      <c r="X42" s="507"/>
    </row>
    <row r="43" spans="2:24" x14ac:dyDescent="0.25">
      <c r="X43" s="507"/>
    </row>
    <row r="44" spans="2:24" x14ac:dyDescent="0.25">
      <c r="X44" s="507"/>
    </row>
    <row r="45" spans="2:24" x14ac:dyDescent="0.25">
      <c r="X45" s="507"/>
    </row>
    <row r="46" spans="2:24" x14ac:dyDescent="0.25">
      <c r="X46" s="507"/>
    </row>
    <row r="47" spans="2:24" x14ac:dyDescent="0.25">
      <c r="X47" s="507"/>
    </row>
    <row r="48" spans="2:24" x14ac:dyDescent="0.25">
      <c r="X48" s="507"/>
    </row>
    <row r="49" spans="2:36" x14ac:dyDescent="0.25">
      <c r="X49" s="507"/>
    </row>
    <row r="50" spans="2:36" x14ac:dyDescent="0.25">
      <c r="X50" s="507"/>
    </row>
    <row r="51" spans="2:36" x14ac:dyDescent="0.25">
      <c r="X51" s="507"/>
    </row>
    <row r="52" spans="2:36" x14ac:dyDescent="0.25">
      <c r="X52" s="507"/>
    </row>
    <row r="53" spans="2:36" x14ac:dyDescent="0.25">
      <c r="X53" s="507"/>
    </row>
    <row r="54" spans="2:36" ht="15.75" x14ac:dyDescent="0.25">
      <c r="B54" s="509" t="s">
        <v>1077</v>
      </c>
      <c r="X54" s="507"/>
    </row>
    <row r="55" spans="2:36" x14ac:dyDescent="0.25">
      <c r="X55" s="507"/>
    </row>
    <row r="56" spans="2:36" x14ac:dyDescent="0.25">
      <c r="C56" s="5"/>
      <c r="D56" s="662" t="s">
        <v>784</v>
      </c>
      <c r="E56" s="663"/>
      <c r="F56" s="664"/>
      <c r="G56" s="662" t="s">
        <v>790</v>
      </c>
      <c r="H56" s="663"/>
      <c r="I56" s="664"/>
      <c r="X56" s="507"/>
    </row>
    <row r="57" spans="2:36" x14ac:dyDescent="0.25">
      <c r="B57" s="8"/>
      <c r="C57" s="9" t="s">
        <v>1061</v>
      </c>
      <c r="D57" s="11" t="s">
        <v>785</v>
      </c>
      <c r="E57" s="11">
        <v>2030</v>
      </c>
      <c r="F57" s="449" t="s">
        <v>1059</v>
      </c>
      <c r="G57" s="11" t="s">
        <v>785</v>
      </c>
      <c r="H57" s="11">
        <v>2030</v>
      </c>
      <c r="I57" s="449" t="s">
        <v>1059</v>
      </c>
      <c r="X57" s="507"/>
      <c r="AB57" s="5"/>
      <c r="AC57" t="s">
        <v>784</v>
      </c>
      <c r="AE57" s="5"/>
      <c r="AF57" t="s">
        <v>790</v>
      </c>
      <c r="AH57" s="5"/>
    </row>
    <row r="58" spans="2:36" x14ac:dyDescent="0.25">
      <c r="B58" s="659" t="s">
        <v>1063</v>
      </c>
      <c r="C58" s="5" t="s">
        <v>787</v>
      </c>
      <c r="D58" s="51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507"/>
      <c r="AA58" s="8"/>
      <c r="AB58" s="9" t="s">
        <v>1061</v>
      </c>
      <c r="AC58" s="8" t="s">
        <v>785</v>
      </c>
      <c r="AD58" s="8">
        <v>2030</v>
      </c>
      <c r="AE58" s="9" t="s">
        <v>1059</v>
      </c>
      <c r="AF58" s="8" t="s">
        <v>785</v>
      </c>
      <c r="AG58" s="8">
        <v>2030</v>
      </c>
      <c r="AH58" s="9" t="s">
        <v>1059</v>
      </c>
      <c r="AI58" s="399"/>
      <c r="AJ58" s="399"/>
    </row>
    <row r="59" spans="2:36" x14ac:dyDescent="0.25">
      <c r="B59" s="660"/>
      <c r="C59" s="5" t="s">
        <v>789</v>
      </c>
      <c r="D59" s="51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507"/>
      <c r="AA59" t="s">
        <v>1063</v>
      </c>
      <c r="AB59" s="5" t="s">
        <v>787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661"/>
      <c r="C60" s="9" t="s">
        <v>984</v>
      </c>
      <c r="D60" s="514">
        <f t="shared" ref="D60:I60" si="0">AVERAGE(D58:D59)</f>
        <v>0.58000000000000007</v>
      </c>
      <c r="E60" s="264">
        <f t="shared" si="0"/>
        <v>0.65500000000000003</v>
      </c>
      <c r="F60" s="265">
        <f t="shared" si="0"/>
        <v>0.70500000000000007</v>
      </c>
      <c r="G60" s="264">
        <f>AVERAGE(G58:G59)</f>
        <v>0.66500000000000004</v>
      </c>
      <c r="H60" s="264">
        <f t="shared" si="0"/>
        <v>0.67999999999999994</v>
      </c>
      <c r="I60" s="265">
        <f t="shared" si="0"/>
        <v>0.75</v>
      </c>
      <c r="X60" s="507"/>
      <c r="AB60" s="5" t="s">
        <v>789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659" t="s">
        <v>1079</v>
      </c>
      <c r="C61" s="5" t="s">
        <v>787</v>
      </c>
      <c r="D61" s="515">
        <f t="shared" ref="D61:I63" si="1">AC62*$L$5</f>
        <v>13106.499999999998</v>
      </c>
      <c r="E61" s="120">
        <f t="shared" si="1"/>
        <v>7744.7499999999991</v>
      </c>
      <c r="F61" s="126">
        <f t="shared" si="1"/>
        <v>2383</v>
      </c>
      <c r="G61" s="120">
        <f t="shared" si="1"/>
        <v>5957.5</v>
      </c>
      <c r="H61" s="120">
        <f t="shared" si="1"/>
        <v>4766</v>
      </c>
      <c r="I61" s="126">
        <f t="shared" si="1"/>
        <v>2383</v>
      </c>
      <c r="L61" t="s">
        <v>1080</v>
      </c>
      <c r="X61" s="507"/>
      <c r="AA61" s="8"/>
      <c r="AB61" s="9" t="s">
        <v>984</v>
      </c>
      <c r="AC61" s="264">
        <f t="shared" ref="AC61:AH61" si="2">AVERAGE(AC59:AC60)</f>
        <v>0.58000000000000007</v>
      </c>
      <c r="AD61" s="264">
        <f t="shared" si="2"/>
        <v>0.65500000000000003</v>
      </c>
      <c r="AE61" s="265">
        <f t="shared" si="2"/>
        <v>0.70500000000000007</v>
      </c>
      <c r="AF61" s="264">
        <f t="shared" si="2"/>
        <v>0.66500000000000004</v>
      </c>
      <c r="AG61" s="264">
        <f t="shared" si="2"/>
        <v>0.67999999999999994</v>
      </c>
      <c r="AH61" s="265">
        <f t="shared" si="2"/>
        <v>0.75</v>
      </c>
    </row>
    <row r="62" spans="2:36" x14ac:dyDescent="0.25">
      <c r="B62" s="660"/>
      <c r="C62" s="5" t="s">
        <v>789</v>
      </c>
      <c r="D62" s="515">
        <f t="shared" si="1"/>
        <v>21447</v>
      </c>
      <c r="E62" s="120">
        <f t="shared" si="1"/>
        <v>17872.5</v>
      </c>
      <c r="F62" s="126">
        <f t="shared" si="1"/>
        <v>10723.5</v>
      </c>
      <c r="G62" s="120">
        <f t="shared" si="1"/>
        <v>16681</v>
      </c>
      <c r="H62" s="120">
        <f t="shared" si="1"/>
        <v>10127.75</v>
      </c>
      <c r="I62" s="126">
        <f t="shared" si="1"/>
        <v>8340.5</v>
      </c>
      <c r="X62" s="507"/>
      <c r="AA62" t="s">
        <v>1062</v>
      </c>
      <c r="AB62" s="5" t="s">
        <v>787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61"/>
      <c r="C63" s="9" t="s">
        <v>984</v>
      </c>
      <c r="D63" s="120">
        <f t="shared" si="1"/>
        <v>17276.75</v>
      </c>
      <c r="E63" s="120">
        <f t="shared" si="1"/>
        <v>12808.624999999998</v>
      </c>
      <c r="F63" s="126">
        <f t="shared" si="1"/>
        <v>6553.2499999999991</v>
      </c>
      <c r="G63" s="120">
        <f t="shared" si="1"/>
        <v>11319.25</v>
      </c>
      <c r="H63" s="120">
        <f t="shared" si="1"/>
        <v>7446.8749999999991</v>
      </c>
      <c r="I63" s="126">
        <f t="shared" si="1"/>
        <v>5361.75</v>
      </c>
      <c r="X63" s="507"/>
      <c r="AB63" s="5" t="s">
        <v>789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59" t="s">
        <v>1064</v>
      </c>
      <c r="C64" s="5" t="s">
        <v>787</v>
      </c>
      <c r="D64" s="7">
        <v>30000</v>
      </c>
      <c r="E64" s="8">
        <v>60000</v>
      </c>
      <c r="F64" s="9">
        <v>10000</v>
      </c>
      <c r="G64" s="8">
        <v>60000</v>
      </c>
      <c r="H64" s="516">
        <v>90000</v>
      </c>
      <c r="I64" s="517">
        <v>100000</v>
      </c>
      <c r="X64" s="507"/>
      <c r="AA64" s="8"/>
      <c r="AB64" s="9" t="s">
        <v>984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60"/>
      <c r="C65" s="5" t="s">
        <v>789</v>
      </c>
      <c r="D65" s="7">
        <v>90000</v>
      </c>
      <c r="E65" s="8">
        <v>90000</v>
      </c>
      <c r="F65" s="9">
        <v>15000</v>
      </c>
      <c r="G65" s="8">
        <v>90000</v>
      </c>
      <c r="H65" s="516">
        <v>100000</v>
      </c>
      <c r="I65" s="517">
        <v>150000</v>
      </c>
      <c r="X65" s="507"/>
      <c r="AA65" t="s">
        <v>1064</v>
      </c>
      <c r="AB65" s="5" t="s">
        <v>787</v>
      </c>
      <c r="AC65">
        <v>30000</v>
      </c>
      <c r="AD65">
        <v>60000</v>
      </c>
      <c r="AE65" s="5">
        <v>10000</v>
      </c>
      <c r="AF65">
        <v>60000</v>
      </c>
      <c r="AG65" s="441">
        <v>90000</v>
      </c>
      <c r="AH65" s="506">
        <v>100000</v>
      </c>
    </row>
    <row r="66" spans="2:37" x14ac:dyDescent="0.25">
      <c r="B66" s="661"/>
      <c r="C66" s="9" t="s">
        <v>984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07"/>
      <c r="AB66" s="5" t="s">
        <v>789</v>
      </c>
      <c r="AC66">
        <v>90000</v>
      </c>
      <c r="AD66">
        <v>90000</v>
      </c>
      <c r="AE66" s="5">
        <v>15000</v>
      </c>
      <c r="AF66">
        <v>90000</v>
      </c>
      <c r="AG66" s="441">
        <v>100000</v>
      </c>
      <c r="AH66" s="506">
        <v>150000</v>
      </c>
    </row>
    <row r="67" spans="2:37" x14ac:dyDescent="0.25">
      <c r="X67" s="507"/>
      <c r="AA67" s="8"/>
      <c r="AB67" s="9" t="s">
        <v>984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07"/>
      <c r="AJ68" s="285"/>
      <c r="AK68" s="285"/>
    </row>
    <row r="69" spans="2:37" x14ac:dyDescent="0.25">
      <c r="X69" s="507"/>
      <c r="AJ69" s="285"/>
      <c r="AK69" s="285"/>
    </row>
    <row r="70" spans="2:37" x14ac:dyDescent="0.25">
      <c r="X70" s="507"/>
    </row>
    <row r="71" spans="2:37" x14ac:dyDescent="0.25">
      <c r="E71" s="18" t="s">
        <v>738</v>
      </c>
      <c r="X71" s="507"/>
    </row>
    <row r="72" spans="2:37" ht="21" x14ac:dyDescent="0.35">
      <c r="D72" s="624" t="s">
        <v>1537</v>
      </c>
      <c r="E72">
        <v>2020</v>
      </c>
      <c r="F72" s="596">
        <v>2030</v>
      </c>
      <c r="G72" s="596">
        <v>2050</v>
      </c>
      <c r="H72">
        <v>2020</v>
      </c>
      <c r="I72" s="596">
        <v>2030</v>
      </c>
      <c r="J72" s="596">
        <v>2050</v>
      </c>
      <c r="K72" s="596"/>
      <c r="X72" s="507"/>
      <c r="Z72" s="442" t="s">
        <v>1065</v>
      </c>
    </row>
    <row r="73" spans="2:37" x14ac:dyDescent="0.25">
      <c r="D73" s="622" t="s">
        <v>1513</v>
      </c>
      <c r="E73" s="598" t="str">
        <f>"NCAP_COST~"&amp;E72</f>
        <v>NCAP_COST~2020</v>
      </c>
      <c r="F73" s="598" t="str">
        <f>"NCAP_COST~"&amp;F72</f>
        <v>NCAP_COST~2030</v>
      </c>
      <c r="G73" s="598" t="str">
        <f>"NCAP_COST~"&amp;G72</f>
        <v>NCAP_COST~2050</v>
      </c>
      <c r="H73" s="598" t="str">
        <f>"LIFE~"&amp;H72</f>
        <v>LIFE~2020</v>
      </c>
      <c r="I73" s="598" t="str">
        <f>"LIFE~"&amp;I72</f>
        <v>LIFE~2030</v>
      </c>
      <c r="J73" s="598" t="str">
        <f>"LIFE~"&amp;J72</f>
        <v>LIFE~2050</v>
      </c>
      <c r="X73" s="507"/>
      <c r="AA73" s="443"/>
    </row>
    <row r="74" spans="2:37" x14ac:dyDescent="0.25">
      <c r="D74" s="503" t="s">
        <v>1017</v>
      </c>
      <c r="E74" s="606">
        <f>G63</f>
        <v>11319.25</v>
      </c>
      <c r="F74" s="606">
        <f>H63</f>
        <v>7446.8749999999991</v>
      </c>
      <c r="G74" s="606">
        <f>I63</f>
        <v>5361.75</v>
      </c>
      <c r="H74" s="607">
        <f>G66/8760</f>
        <v>8.5616438356164384</v>
      </c>
      <c r="I74" s="607">
        <f t="shared" ref="I74:J74" si="6">H66/8760</f>
        <v>10.844748858447488</v>
      </c>
      <c r="J74" s="607">
        <f t="shared" si="6"/>
        <v>14.269406392694064</v>
      </c>
      <c r="X74" s="507"/>
      <c r="AA74" s="11" t="s">
        <v>792</v>
      </c>
      <c r="AB74" s="8"/>
      <c r="AC74" s="8"/>
    </row>
    <row r="75" spans="2:37" x14ac:dyDescent="0.25">
      <c r="D75" s="602"/>
      <c r="E75" s="605"/>
      <c r="F75" s="607"/>
      <c r="H75" s="605"/>
      <c r="I75" s="596"/>
      <c r="J75" s="596"/>
      <c r="X75" s="507"/>
      <c r="AA75" t="s">
        <v>793</v>
      </c>
    </row>
    <row r="76" spans="2:37" x14ac:dyDescent="0.25">
      <c r="X76" s="507"/>
      <c r="AA76" s="118" t="s">
        <v>794</v>
      </c>
    </row>
    <row r="77" spans="2:37" x14ac:dyDescent="0.25">
      <c r="D77" s="503"/>
      <c r="E77" s="605"/>
      <c r="F77" s="605"/>
      <c r="H77" s="607"/>
      <c r="I77" s="633"/>
      <c r="J77" s="633"/>
      <c r="X77" s="507"/>
    </row>
    <row r="78" spans="2:37" x14ac:dyDescent="0.25">
      <c r="X78" s="507"/>
      <c r="AA78" t="s">
        <v>795</v>
      </c>
    </row>
    <row r="79" spans="2:37" x14ac:dyDescent="0.25">
      <c r="D79" s="624" t="s">
        <v>1537</v>
      </c>
      <c r="I79">
        <v>2020</v>
      </c>
      <c r="J79">
        <v>2030</v>
      </c>
      <c r="K79">
        <v>2050</v>
      </c>
      <c r="X79" s="507"/>
      <c r="AA79">
        <v>500</v>
      </c>
      <c r="AB79" t="s">
        <v>796</v>
      </c>
    </row>
    <row r="80" spans="2:37" x14ac:dyDescent="0.25">
      <c r="D80" s="622" t="s">
        <v>1513</v>
      </c>
      <c r="E80" s="600" t="s">
        <v>1538</v>
      </c>
      <c r="F80" s="600" t="s">
        <v>1539</v>
      </c>
      <c r="G80" t="s">
        <v>1604</v>
      </c>
      <c r="H80" s="635" t="s">
        <v>1049</v>
      </c>
      <c r="I80" t="str">
        <f>"ACT_EFF~"&amp;I79</f>
        <v>ACT_EFF~2020</v>
      </c>
      <c r="J80" t="str">
        <f t="shared" ref="J80:K80" si="7">"ACT_EFF~"&amp;J79</f>
        <v>ACT_EFF~2030</v>
      </c>
      <c r="K80" t="str">
        <f t="shared" si="7"/>
        <v>ACT_EFF~2050</v>
      </c>
      <c r="X80" s="507"/>
      <c r="AA80" t="s">
        <v>797</v>
      </c>
      <c r="AB80" t="s">
        <v>798</v>
      </c>
    </row>
    <row r="81" spans="4:28" x14ac:dyDescent="0.25">
      <c r="D81" s="503" t="s">
        <v>1017</v>
      </c>
      <c r="E81" t="str">
        <f>D196</f>
        <v>IISHHELC</v>
      </c>
      <c r="F81" t="str">
        <f>D197</f>
        <v>IISHHGN</v>
      </c>
      <c r="G81" t="s">
        <v>1603</v>
      </c>
      <c r="H81" s="598">
        <v>31.536000000000001</v>
      </c>
      <c r="I81" s="268">
        <f>1/G60</f>
        <v>1.5037593984962405</v>
      </c>
      <c r="J81" s="268">
        <f t="shared" ref="J81:K81" si="8">1/H60</f>
        <v>1.4705882352941178</v>
      </c>
      <c r="K81" s="268">
        <f t="shared" si="8"/>
        <v>1.3333333333333333</v>
      </c>
      <c r="X81" s="507"/>
      <c r="AA81">
        <v>516</v>
      </c>
      <c r="AB81" t="s">
        <v>799</v>
      </c>
    </row>
    <row r="82" spans="4:28" x14ac:dyDescent="0.25">
      <c r="X82" s="507"/>
    </row>
    <row r="83" spans="4:28" x14ac:dyDescent="0.25">
      <c r="X83" s="507"/>
    </row>
    <row r="84" spans="4:28" x14ac:dyDescent="0.25">
      <c r="X84" s="507"/>
    </row>
    <row r="85" spans="4:28" x14ac:dyDescent="0.25">
      <c r="X85" s="507"/>
    </row>
    <row r="86" spans="4:28" x14ac:dyDescent="0.25">
      <c r="X86" s="507"/>
      <c r="AA86" s="285"/>
    </row>
    <row r="87" spans="4:28" x14ac:dyDescent="0.25">
      <c r="X87" s="507"/>
    </row>
    <row r="88" spans="4:28" x14ac:dyDescent="0.25">
      <c r="X88" s="507"/>
      <c r="AA88" s="444"/>
    </row>
    <row r="89" spans="4:28" x14ac:dyDescent="0.25">
      <c r="X89" s="507"/>
    </row>
    <row r="90" spans="4:28" x14ac:dyDescent="0.25">
      <c r="X90" s="507"/>
    </row>
    <row r="91" spans="4:28" x14ac:dyDescent="0.25">
      <c r="X91" s="507"/>
    </row>
    <row r="92" spans="4:28" x14ac:dyDescent="0.25">
      <c r="X92" s="507"/>
    </row>
    <row r="93" spans="4:28" x14ac:dyDescent="0.25">
      <c r="X93" s="507"/>
    </row>
    <row r="94" spans="4:28" x14ac:dyDescent="0.25">
      <c r="X94" s="507"/>
    </row>
    <row r="95" spans="4:28" x14ac:dyDescent="0.25">
      <c r="X95" s="507"/>
    </row>
    <row r="96" spans="4:28" x14ac:dyDescent="0.25">
      <c r="X96" s="507"/>
    </row>
    <row r="97" spans="2:33" x14ac:dyDescent="0.25">
      <c r="X97" s="507"/>
    </row>
    <row r="98" spans="2:33" x14ac:dyDescent="0.25">
      <c r="X98" s="507"/>
    </row>
    <row r="99" spans="2:33" x14ac:dyDescent="0.25">
      <c r="X99" s="507"/>
    </row>
    <row r="100" spans="2:33" x14ac:dyDescent="0.25">
      <c r="X100" s="507"/>
    </row>
    <row r="101" spans="2:33" x14ac:dyDescent="0.25">
      <c r="X101" s="507"/>
    </row>
    <row r="102" spans="2:33" ht="15.75" x14ac:dyDescent="0.25">
      <c r="B102" s="509" t="s">
        <v>1076</v>
      </c>
      <c r="X102" s="507"/>
    </row>
    <row r="103" spans="2:33" x14ac:dyDescent="0.25">
      <c r="X103" s="507"/>
      <c r="AA103" t="s">
        <v>800</v>
      </c>
    </row>
    <row r="104" spans="2:33" x14ac:dyDescent="0.25">
      <c r="X104" s="507"/>
    </row>
    <row r="105" spans="2:33" x14ac:dyDescent="0.25">
      <c r="B105" s="117"/>
      <c r="C105" s="135">
        <v>2020</v>
      </c>
      <c r="D105" s="135">
        <v>2030</v>
      </c>
      <c r="E105" s="135">
        <v>2050</v>
      </c>
      <c r="F105" s="135" t="s">
        <v>673</v>
      </c>
      <c r="G105" s="135" t="s">
        <v>426</v>
      </c>
      <c r="X105" s="507"/>
      <c r="AA105">
        <f>L6</f>
        <v>11.78</v>
      </c>
      <c r="AB105" t="s">
        <v>1074</v>
      </c>
    </row>
    <row r="106" spans="2:33" x14ac:dyDescent="0.25">
      <c r="B106" s="117" t="s">
        <v>1075</v>
      </c>
      <c r="C106" s="511">
        <f>AA109*$R$5</f>
        <v>71219.52399999999</v>
      </c>
      <c r="D106" s="511">
        <f>AB109*$R$5</f>
        <v>47717.081079999989</v>
      </c>
      <c r="E106" s="511">
        <f>D106*(1-I106)</f>
        <v>42945.37297199999</v>
      </c>
      <c r="F106" s="117" t="s">
        <v>1096</v>
      </c>
      <c r="G106" s="518" t="s">
        <v>1069</v>
      </c>
      <c r="I106" s="471">
        <v>0.1</v>
      </c>
      <c r="X106" s="507"/>
      <c r="AA106" s="441">
        <f>AA81*AA105</f>
        <v>6078.48</v>
      </c>
      <c r="AB106" t="s">
        <v>802</v>
      </c>
      <c r="AF106">
        <v>9.1999999999999998E-3</v>
      </c>
      <c r="AG106" t="s">
        <v>142</v>
      </c>
    </row>
    <row r="107" spans="2:33" x14ac:dyDescent="0.25">
      <c r="B107" s="117" t="s">
        <v>740</v>
      </c>
      <c r="C107" s="117">
        <v>20</v>
      </c>
      <c r="D107" s="117"/>
      <c r="E107" s="117"/>
      <c r="F107" s="117" t="s">
        <v>754</v>
      </c>
      <c r="G107" s="117" t="s">
        <v>924</v>
      </c>
      <c r="H107" s="285"/>
      <c r="X107" s="507"/>
      <c r="AA107" s="321">
        <f>AA106/D2</f>
        <v>50.653999999999996</v>
      </c>
      <c r="AB107" t="s">
        <v>803</v>
      </c>
      <c r="AF107" s="384">
        <f>AF106*AB109</f>
        <v>312.23125599999992</v>
      </c>
      <c r="AG107" t="s">
        <v>804</v>
      </c>
    </row>
    <row r="108" spans="2:33" x14ac:dyDescent="0.25">
      <c r="B108" s="117" t="s">
        <v>1070</v>
      </c>
      <c r="C108" s="117">
        <f>AA117*3.6/D2</f>
        <v>3.0000000000000002E-2</v>
      </c>
      <c r="D108" s="117"/>
      <c r="E108" s="117"/>
      <c r="F108" s="117" t="s">
        <v>1097</v>
      </c>
      <c r="G108" s="117"/>
      <c r="X108" s="507"/>
      <c r="AA108" s="18">
        <v>2020</v>
      </c>
      <c r="AB108" s="18">
        <v>2030</v>
      </c>
    </row>
    <row r="109" spans="2:33" x14ac:dyDescent="0.25">
      <c r="B109" s="117" t="s">
        <v>991</v>
      </c>
      <c r="C109" s="511">
        <f>$I$109*C106</f>
        <v>712.1952399999999</v>
      </c>
      <c r="D109" s="511">
        <f>$I$109*D106</f>
        <v>477.17081079999991</v>
      </c>
      <c r="E109" s="511">
        <f>$I$109*E106</f>
        <v>429.4537297199999</v>
      </c>
      <c r="F109" s="117" t="s">
        <v>960</v>
      </c>
      <c r="G109" s="117" t="s">
        <v>1098</v>
      </c>
      <c r="I109" s="471">
        <v>0.01</v>
      </c>
      <c r="X109" s="507"/>
      <c r="AA109" s="445">
        <f>AA107*1000000000/1000000</f>
        <v>50654</v>
      </c>
      <c r="AB109" s="446">
        <f>AA109*(1-AA110)</f>
        <v>33938.179999999993</v>
      </c>
      <c r="AC109" s="18" t="s">
        <v>805</v>
      </c>
      <c r="AF109" s="360"/>
    </row>
    <row r="110" spans="2:33" x14ac:dyDescent="0.25">
      <c r="B110" s="117" t="s">
        <v>786</v>
      </c>
      <c r="C110" s="512">
        <v>0.99</v>
      </c>
      <c r="D110" s="117"/>
      <c r="E110" s="117"/>
      <c r="F110" s="117"/>
      <c r="G110" s="513"/>
      <c r="X110" s="507"/>
      <c r="AA110" s="285">
        <v>0.33</v>
      </c>
      <c r="AB110" t="s">
        <v>806</v>
      </c>
    </row>
    <row r="111" spans="2:33" x14ac:dyDescent="0.25">
      <c r="X111" s="507"/>
      <c r="AF111" s="444"/>
    </row>
    <row r="112" spans="2:33" x14ac:dyDescent="0.25">
      <c r="X112" s="507"/>
    </row>
    <row r="113" spans="2:39" x14ac:dyDescent="0.25">
      <c r="X113" s="507"/>
      <c r="AA113" s="18" t="s">
        <v>792</v>
      </c>
    </row>
    <row r="114" spans="2:39" x14ac:dyDescent="0.25">
      <c r="X114" s="507"/>
      <c r="AA114" t="s">
        <v>807</v>
      </c>
    </row>
    <row r="115" spans="2:39" x14ac:dyDescent="0.25">
      <c r="X115" s="507"/>
      <c r="AA115" s="118" t="s">
        <v>808</v>
      </c>
    </row>
    <row r="116" spans="2:39" x14ac:dyDescent="0.25">
      <c r="X116" s="507"/>
      <c r="AA116" t="s">
        <v>961</v>
      </c>
    </row>
    <row r="117" spans="2:39" x14ac:dyDescent="0.25">
      <c r="X117" s="507"/>
      <c r="AA117">
        <v>1</v>
      </c>
      <c r="AB117" t="s">
        <v>962</v>
      </c>
    </row>
    <row r="118" spans="2:39" x14ac:dyDescent="0.25">
      <c r="X118" s="507"/>
      <c r="AB118" t="s">
        <v>963</v>
      </c>
    </row>
    <row r="119" spans="2:39" x14ac:dyDescent="0.25">
      <c r="X119" s="507"/>
    </row>
    <row r="120" spans="2:39" ht="21" x14ac:dyDescent="0.35">
      <c r="B120" s="509" t="s">
        <v>1082</v>
      </c>
      <c r="X120" s="507"/>
      <c r="Z120" s="442" t="s">
        <v>1067</v>
      </c>
    </row>
    <row r="121" spans="2:39" ht="21" x14ac:dyDescent="0.35">
      <c r="X121" s="507"/>
      <c r="Z121" s="442"/>
    </row>
    <row r="122" spans="2:39" x14ac:dyDescent="0.25">
      <c r="B122" s="117"/>
      <c r="C122" s="117"/>
      <c r="D122" s="135" t="s">
        <v>1094</v>
      </c>
      <c r="E122" s="135" t="s">
        <v>673</v>
      </c>
      <c r="F122" s="135" t="s">
        <v>1095</v>
      </c>
      <c r="X122" s="507"/>
      <c r="AA122" s="447" t="s">
        <v>809</v>
      </c>
      <c r="AB122" s="447"/>
      <c r="AC122" s="447"/>
      <c r="AD122" s="447"/>
    </row>
    <row r="123" spans="2:39" x14ac:dyDescent="0.25">
      <c r="B123" s="117" t="s">
        <v>774</v>
      </c>
      <c r="C123" s="117" t="s">
        <v>1060</v>
      </c>
      <c r="D123" s="352">
        <f>AK131*R3*L6*R5</f>
        <v>4380.8288599999996</v>
      </c>
      <c r="E123" s="117" t="s">
        <v>1088</v>
      </c>
      <c r="F123" s="117"/>
      <c r="X123" s="507"/>
      <c r="AA123" t="s">
        <v>810</v>
      </c>
    </row>
    <row r="124" spans="2:39" x14ac:dyDescent="0.25">
      <c r="B124" s="117"/>
      <c r="C124" s="117" t="s">
        <v>1083</v>
      </c>
      <c r="D124" s="352">
        <f>'AMSA reports'!O13/2</f>
        <v>725.14525500322793</v>
      </c>
      <c r="E124" s="117" t="s">
        <v>483</v>
      </c>
      <c r="F124" s="117" t="s">
        <v>1089</v>
      </c>
      <c r="X124" s="507"/>
      <c r="AA124" t="s">
        <v>811</v>
      </c>
      <c r="AH124" t="s">
        <v>812</v>
      </c>
    </row>
    <row r="125" spans="2:39" x14ac:dyDescent="0.25">
      <c r="B125" s="117"/>
      <c r="C125" s="117" t="s">
        <v>823</v>
      </c>
      <c r="D125" s="352">
        <f>D123*H125</f>
        <v>219.04144299999999</v>
      </c>
      <c r="E125" s="117" t="s">
        <v>483</v>
      </c>
      <c r="F125" s="117" t="s">
        <v>1099</v>
      </c>
      <c r="H125" s="471">
        <v>0.05</v>
      </c>
      <c r="X125" s="507"/>
      <c r="AH125" t="s">
        <v>813</v>
      </c>
      <c r="AI125">
        <v>1.1499999999999999</v>
      </c>
      <c r="AJ125" t="s">
        <v>814</v>
      </c>
      <c r="AK125" s="118" t="s">
        <v>815</v>
      </c>
    </row>
    <row r="126" spans="2:39" ht="21" x14ac:dyDescent="0.35">
      <c r="B126" s="117"/>
      <c r="C126" s="117" t="s">
        <v>740</v>
      </c>
      <c r="D126" s="117">
        <v>20</v>
      </c>
      <c r="E126" s="117" t="s">
        <v>742</v>
      </c>
      <c r="F126" s="117"/>
      <c r="X126" s="507"/>
      <c r="Z126" s="442"/>
    </row>
    <row r="127" spans="2:39" ht="21" x14ac:dyDescent="0.35">
      <c r="B127" s="117" t="s">
        <v>830</v>
      </c>
      <c r="C127" s="117" t="s">
        <v>1084</v>
      </c>
      <c r="D127" s="510">
        <f>AK137/1000</f>
        <v>1.504</v>
      </c>
      <c r="E127" s="117" t="s">
        <v>1086</v>
      </c>
      <c r="F127" s="117"/>
      <c r="X127" s="507"/>
      <c r="Z127" s="442"/>
    </row>
    <row r="128" spans="2:39" ht="21" x14ac:dyDescent="0.35">
      <c r="B128" s="117"/>
      <c r="C128" s="117" t="s">
        <v>835</v>
      </c>
      <c r="D128" s="117">
        <f>AK136*D2*1000000/1000000000</f>
        <v>6.12</v>
      </c>
      <c r="E128" s="117" t="s">
        <v>1087</v>
      </c>
      <c r="F128" s="117"/>
      <c r="X128" s="507"/>
      <c r="Z128" s="448"/>
      <c r="AA128" s="11" t="s">
        <v>816</v>
      </c>
      <c r="AB128" s="11"/>
      <c r="AC128" s="11"/>
      <c r="AD128" s="449"/>
      <c r="AE128" s="11" t="s">
        <v>1</v>
      </c>
      <c r="AF128" s="11"/>
      <c r="AG128" s="11"/>
      <c r="AH128" s="449"/>
      <c r="AI128" s="11" t="s">
        <v>817</v>
      </c>
      <c r="AJ128" s="8"/>
      <c r="AK128" s="8"/>
      <c r="AL128" s="8"/>
      <c r="AM128" s="8"/>
    </row>
    <row r="129" spans="2:44" x14ac:dyDescent="0.25">
      <c r="B129" s="117"/>
      <c r="C129" s="117" t="s">
        <v>1085</v>
      </c>
      <c r="D129" s="117">
        <f>AE216*3.6/1.5</f>
        <v>0.74400000000000022</v>
      </c>
      <c r="E129" s="117" t="s">
        <v>1087</v>
      </c>
      <c r="F129" s="117"/>
      <c r="X129" s="507"/>
      <c r="Z129" s="5"/>
      <c r="AD129" s="5"/>
      <c r="AH129" s="5"/>
      <c r="AO129" t="s">
        <v>818</v>
      </c>
    </row>
    <row r="130" spans="2:44" x14ac:dyDescent="0.25">
      <c r="X130" s="507"/>
      <c r="Z130" s="5"/>
      <c r="AA130" t="s">
        <v>673</v>
      </c>
      <c r="AD130" s="5" t="s">
        <v>819</v>
      </c>
      <c r="AE130" t="s">
        <v>144</v>
      </c>
      <c r="AH130" s="5" t="s">
        <v>819</v>
      </c>
      <c r="AI130" t="s">
        <v>144</v>
      </c>
      <c r="AO130">
        <v>120</v>
      </c>
      <c r="AP130" t="s">
        <v>434</v>
      </c>
    </row>
    <row r="131" spans="2:44" x14ac:dyDescent="0.25">
      <c r="X131" s="507"/>
      <c r="Z131" s="3" t="s">
        <v>768</v>
      </c>
      <c r="AA131" s="15" t="s">
        <v>820</v>
      </c>
      <c r="AB131" s="15"/>
      <c r="AC131" s="450">
        <v>0.58499999999999996</v>
      </c>
      <c r="AD131" s="3" t="s">
        <v>821</v>
      </c>
      <c r="AE131" s="451" t="s">
        <v>822</v>
      </c>
      <c r="AF131" s="15"/>
      <c r="AG131" s="450">
        <v>184</v>
      </c>
      <c r="AH131" s="3"/>
      <c r="AI131" s="451" t="s">
        <v>822</v>
      </c>
      <c r="AJ131" s="15"/>
      <c r="AK131" s="450">
        <v>230</v>
      </c>
      <c r="AL131" s="15"/>
      <c r="AM131" s="15"/>
    </row>
    <row r="132" spans="2:44" x14ac:dyDescent="0.25">
      <c r="X132" s="507"/>
      <c r="Z132" s="452" t="s">
        <v>823</v>
      </c>
      <c r="AA132" s="451" t="s">
        <v>824</v>
      </c>
      <c r="AB132" s="451"/>
      <c r="AC132" s="453">
        <v>0.03</v>
      </c>
      <c r="AD132" s="452"/>
      <c r="AE132" s="451" t="s">
        <v>824</v>
      </c>
      <c r="AF132" s="451"/>
      <c r="AG132" s="453">
        <v>0.03</v>
      </c>
      <c r="AH132" s="452"/>
      <c r="AI132" s="451" t="s">
        <v>825</v>
      </c>
      <c r="AJ132" s="451"/>
      <c r="AK132" s="453">
        <v>0.03</v>
      </c>
      <c r="AL132" s="451"/>
      <c r="AM132" s="451"/>
    </row>
    <row r="133" spans="2:44" ht="15.75" x14ac:dyDescent="0.25">
      <c r="B133" s="509" t="s">
        <v>372</v>
      </c>
      <c r="D133" s="18"/>
      <c r="E133" s="18"/>
      <c r="F133" s="18"/>
      <c r="X133" s="507"/>
      <c r="Z133" s="5" t="s">
        <v>699</v>
      </c>
      <c r="AD133" s="5"/>
      <c r="AE133" t="s">
        <v>822</v>
      </c>
      <c r="AG133">
        <v>53</v>
      </c>
      <c r="AH133" s="5" t="s">
        <v>826</v>
      </c>
    </row>
    <row r="134" spans="2:44" x14ac:dyDescent="0.25">
      <c r="B134" s="117"/>
      <c r="C134" s="117"/>
      <c r="D134" s="135" t="s">
        <v>1094</v>
      </c>
      <c r="E134" s="135" t="s">
        <v>673</v>
      </c>
      <c r="F134" s="135" t="s">
        <v>1095</v>
      </c>
      <c r="X134" s="507"/>
      <c r="Z134" s="5" t="s">
        <v>827</v>
      </c>
      <c r="AD134" s="5"/>
      <c r="AE134" s="451" t="s">
        <v>822</v>
      </c>
      <c r="AG134">
        <v>8</v>
      </c>
      <c r="AH134" s="5" t="s">
        <v>828</v>
      </c>
      <c r="AO134" s="14" t="s">
        <v>829</v>
      </c>
      <c r="AP134" s="15"/>
      <c r="AQ134" s="15"/>
      <c r="AR134" s="3"/>
    </row>
    <row r="135" spans="2:44" x14ac:dyDescent="0.25">
      <c r="B135" s="117" t="s">
        <v>774</v>
      </c>
      <c r="C135" s="117" t="s">
        <v>1060</v>
      </c>
      <c r="D135" s="511">
        <f>AG131*AI125*L6*R5</f>
        <v>3504.6630879999993</v>
      </c>
      <c r="E135" s="117" t="s">
        <v>1090</v>
      </c>
      <c r="F135" s="117"/>
      <c r="X135" s="507"/>
      <c r="Z135" s="9" t="s">
        <v>830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831</v>
      </c>
      <c r="AR135" s="5"/>
    </row>
    <row r="136" spans="2:44" x14ac:dyDescent="0.25">
      <c r="B136" s="117"/>
      <c r="C136" s="117" t="s">
        <v>1083</v>
      </c>
      <c r="D136" s="511">
        <f>D124</f>
        <v>725.14525500322793</v>
      </c>
      <c r="E136" s="117" t="s">
        <v>1091</v>
      </c>
      <c r="F136" s="117" t="s">
        <v>1092</v>
      </c>
      <c r="X136" s="507"/>
      <c r="Z136" s="5"/>
      <c r="AB136" t="s">
        <v>233</v>
      </c>
      <c r="AD136" s="5"/>
      <c r="AE136" t="s">
        <v>832</v>
      </c>
      <c r="AF136" t="s">
        <v>833</v>
      </c>
      <c r="AG136" s="454">
        <f>AG142*AO140</f>
        <v>1</v>
      </c>
      <c r="AH136" s="5"/>
      <c r="AI136" t="s">
        <v>834</v>
      </c>
      <c r="AJ136" t="s">
        <v>835</v>
      </c>
      <c r="AK136" s="447">
        <v>51</v>
      </c>
      <c r="AL136" t="s">
        <v>836</v>
      </c>
      <c r="AM136">
        <f>AK136/(AK137/1000)</f>
        <v>33.909574468085104</v>
      </c>
      <c r="AN136" t="s">
        <v>837</v>
      </c>
      <c r="AO136" s="4">
        <v>0</v>
      </c>
      <c r="AP136">
        <v>1</v>
      </c>
      <c r="AQ136" t="s">
        <v>838</v>
      </c>
      <c r="AR136" s="5"/>
    </row>
    <row r="137" spans="2:44" x14ac:dyDescent="0.25">
      <c r="B137" s="117"/>
      <c r="C137" s="117" t="s">
        <v>823</v>
      </c>
      <c r="D137" s="511">
        <f>D135*$F$137</f>
        <v>175.23315439999999</v>
      </c>
      <c r="E137" s="117" t="s">
        <v>1091</v>
      </c>
      <c r="F137" s="471">
        <v>0.05</v>
      </c>
      <c r="X137" s="507"/>
      <c r="Z137" s="5"/>
      <c r="AA137" t="s">
        <v>142</v>
      </c>
      <c r="AB137" t="s">
        <v>14</v>
      </c>
      <c r="AC137">
        <f>AC142/AC146</f>
        <v>1.3888888888888888</v>
      </c>
      <c r="AD137" s="5" t="s">
        <v>839</v>
      </c>
      <c r="AE137" t="s">
        <v>840</v>
      </c>
      <c r="AF137" t="s">
        <v>14</v>
      </c>
      <c r="AG137">
        <f>AO137+AO140*AP138</f>
        <v>0.753</v>
      </c>
      <c r="AH137" s="5" t="s">
        <v>841</v>
      </c>
      <c r="AI137" t="s">
        <v>834</v>
      </c>
      <c r="AJ137" t="s">
        <v>246</v>
      </c>
      <c r="AK137" s="447">
        <v>1504</v>
      </c>
      <c r="AL137" s="455"/>
      <c r="AO137" s="456">
        <v>0.66700000000000004</v>
      </c>
      <c r="AP137" s="447">
        <v>0.753</v>
      </c>
      <c r="AQ137" t="s">
        <v>840</v>
      </c>
      <c r="AR137" s="5"/>
    </row>
    <row r="138" spans="2:44" x14ac:dyDescent="0.25">
      <c r="B138" s="117"/>
      <c r="C138" s="117" t="s">
        <v>740</v>
      </c>
      <c r="D138" s="117">
        <v>20</v>
      </c>
      <c r="E138" s="117" t="s">
        <v>742</v>
      </c>
      <c r="F138" s="117" t="s">
        <v>1093</v>
      </c>
      <c r="X138" s="507"/>
      <c r="Z138" s="5"/>
      <c r="AD138" s="5"/>
      <c r="AE138" t="s">
        <v>834</v>
      </c>
      <c r="AF138" t="s">
        <v>842</v>
      </c>
      <c r="AG138" s="447">
        <v>50</v>
      </c>
      <c r="AH138" s="5"/>
      <c r="AI138" t="s">
        <v>843</v>
      </c>
      <c r="AJ138" t="s">
        <v>14</v>
      </c>
      <c r="AK138" s="447">
        <v>140</v>
      </c>
      <c r="AO138" s="7"/>
      <c r="AP138" s="8">
        <f>AP137-AO137</f>
        <v>8.5999999999999965E-2</v>
      </c>
      <c r="AQ138" s="8" t="s">
        <v>844</v>
      </c>
      <c r="AR138" s="9"/>
    </row>
    <row r="139" spans="2:44" x14ac:dyDescent="0.25">
      <c r="B139" s="117" t="s">
        <v>775</v>
      </c>
      <c r="C139" s="117" t="s">
        <v>20</v>
      </c>
      <c r="D139" s="117">
        <f>AG136</f>
        <v>1</v>
      </c>
      <c r="E139" s="117" t="s">
        <v>189</v>
      </c>
      <c r="F139" s="117"/>
      <c r="X139" s="507"/>
      <c r="Z139" s="5"/>
      <c r="AD139" s="5"/>
      <c r="AE139" t="s">
        <v>832</v>
      </c>
      <c r="AF139" t="s">
        <v>845</v>
      </c>
      <c r="AG139" s="454">
        <f>AG136*(1-AO140)/AO140</f>
        <v>0</v>
      </c>
      <c r="AH139" s="5" t="s">
        <v>846</v>
      </c>
    </row>
    <row r="140" spans="2:44" x14ac:dyDescent="0.25">
      <c r="B140" s="117"/>
      <c r="C140" s="117" t="s">
        <v>14</v>
      </c>
      <c r="D140" s="510">
        <f>AG137*1000000*J140</f>
        <v>2.7107999999999999</v>
      </c>
      <c r="E140" s="117" t="s">
        <v>542</v>
      </c>
      <c r="F140" s="117"/>
      <c r="I140" t="s">
        <v>888</v>
      </c>
      <c r="J140">
        <f>1000000*3600/1000000000000000</f>
        <v>3.5999999999999998E-6</v>
      </c>
      <c r="K140" t="s">
        <v>889</v>
      </c>
      <c r="X140" s="507"/>
      <c r="Z140" s="5"/>
      <c r="AD140" s="5"/>
      <c r="AH140" s="5"/>
      <c r="AO140" s="457">
        <f>'[16]Facility technicals and LCOE'!$H$6</f>
        <v>1</v>
      </c>
      <c r="AP140" s="454" t="s">
        <v>847</v>
      </c>
      <c r="AQ140" s="454"/>
      <c r="AR140" s="454"/>
    </row>
    <row r="141" spans="2:44" x14ac:dyDescent="0.25">
      <c r="B141" s="117" t="s">
        <v>393</v>
      </c>
      <c r="C141" s="117" t="s">
        <v>1122</v>
      </c>
      <c r="D141" s="117">
        <v>0.08</v>
      </c>
      <c r="E141" s="117" t="s">
        <v>1195</v>
      </c>
      <c r="F141" s="117" t="s">
        <v>1196</v>
      </c>
      <c r="X141" s="507"/>
      <c r="Z141" s="9" t="s">
        <v>848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07"/>
      <c r="Z142" s="5"/>
      <c r="AA142" t="s">
        <v>142</v>
      </c>
      <c r="AB142" t="s">
        <v>835</v>
      </c>
      <c r="AC142" s="454">
        <v>1</v>
      </c>
      <c r="AD142" s="5"/>
      <c r="AE142" t="s">
        <v>849</v>
      </c>
      <c r="AF142" t="s">
        <v>850</v>
      </c>
      <c r="AG142" s="454">
        <v>1</v>
      </c>
      <c r="AH142" s="5"/>
      <c r="AI142" t="s">
        <v>851</v>
      </c>
      <c r="AJ142" t="s">
        <v>833</v>
      </c>
      <c r="AK142" s="454">
        <v>1000</v>
      </c>
      <c r="AO142" t="s">
        <v>852</v>
      </c>
      <c r="AP142">
        <v>1.5</v>
      </c>
      <c r="AQ142" t="s">
        <v>853</v>
      </c>
    </row>
    <row r="143" spans="2:44" x14ac:dyDescent="0.25">
      <c r="G143" s="18" t="s">
        <v>738</v>
      </c>
      <c r="X143" s="507"/>
      <c r="Z143" s="5"/>
      <c r="AB143" t="s">
        <v>686</v>
      </c>
      <c r="AD143" s="5"/>
      <c r="AH143" s="5"/>
      <c r="AI143" t="s">
        <v>851</v>
      </c>
      <c r="AJ143" t="s">
        <v>835</v>
      </c>
    </row>
    <row r="144" spans="2:44" x14ac:dyDescent="0.25">
      <c r="B144" s="623"/>
      <c r="C144" s="623"/>
      <c r="D144" s="624" t="s">
        <v>1537</v>
      </c>
      <c r="E144" s="626"/>
      <c r="F144" s="626"/>
      <c r="H144" s="596"/>
      <c r="I144" s="596"/>
      <c r="K144" s="596"/>
      <c r="L144" s="596"/>
      <c r="X144" s="507"/>
      <c r="Z144" s="5"/>
      <c r="AA144" t="s">
        <v>851</v>
      </c>
      <c r="AB144" t="s">
        <v>835</v>
      </c>
      <c r="AD144" s="5"/>
      <c r="AH144" s="5"/>
      <c r="AJ144" t="s">
        <v>233</v>
      </c>
    </row>
    <row r="145" spans="2:41" x14ac:dyDescent="0.25">
      <c r="B145" s="622" t="s">
        <v>1513</v>
      </c>
      <c r="C145" s="600" t="s">
        <v>1538</v>
      </c>
      <c r="D145" s="600" t="s">
        <v>1539</v>
      </c>
      <c r="E145" s="598" t="s">
        <v>902</v>
      </c>
      <c r="F145" s="598" t="s">
        <v>902</v>
      </c>
      <c r="G145" s="598" t="s">
        <v>902</v>
      </c>
      <c r="H145" s="598" t="s">
        <v>1030</v>
      </c>
      <c r="I145" s="598" t="s">
        <v>1599</v>
      </c>
      <c r="J145" s="598" t="s">
        <v>1598</v>
      </c>
      <c r="K145" s="598" t="s">
        <v>1600</v>
      </c>
      <c r="L145" s="598" t="s">
        <v>1592</v>
      </c>
      <c r="X145" s="507"/>
      <c r="Z145" s="9"/>
      <c r="AA145" s="8"/>
      <c r="AB145" s="8" t="s">
        <v>686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854</v>
      </c>
    </row>
    <row r="146" spans="2:41" x14ac:dyDescent="0.25">
      <c r="B146" s="503" t="s">
        <v>1013</v>
      </c>
      <c r="C146" s="503" t="s">
        <v>1019</v>
      </c>
      <c r="D146" s="602"/>
      <c r="E146" s="606">
        <v>20.407577497129733</v>
      </c>
      <c r="F146" s="596"/>
      <c r="H146" s="605"/>
      <c r="I146" s="596"/>
      <c r="J146" s="596"/>
      <c r="L146" s="596"/>
      <c r="X146" s="507"/>
      <c r="Z146" s="5" t="s">
        <v>786</v>
      </c>
      <c r="AB146" t="s">
        <v>855</v>
      </c>
      <c r="AC146" s="458">
        <v>0.72</v>
      </c>
      <c r="AD146" s="5" t="s">
        <v>856</v>
      </c>
      <c r="AH146" s="5"/>
      <c r="AN146">
        <f>AN145/1000</f>
        <v>2.7108000000000003</v>
      </c>
      <c r="AO146" t="s">
        <v>148</v>
      </c>
    </row>
    <row r="147" spans="2:41" x14ac:dyDescent="0.25">
      <c r="C147" s="503" t="s">
        <v>1025</v>
      </c>
      <c r="D147" s="602"/>
      <c r="E147" s="605"/>
      <c r="F147" s="607">
        <v>4.0379205223880605</v>
      </c>
      <c r="H147" s="605"/>
      <c r="I147" s="596"/>
      <c r="J147" s="596"/>
      <c r="L147" s="596"/>
      <c r="X147" s="507"/>
      <c r="Z147" s="5" t="s">
        <v>740</v>
      </c>
      <c r="AA147" t="s">
        <v>742</v>
      </c>
      <c r="AC147">
        <v>10</v>
      </c>
      <c r="AD147" s="5"/>
      <c r="AE147" t="s">
        <v>754</v>
      </c>
      <c r="AG147">
        <v>20</v>
      </c>
      <c r="AH147" s="5"/>
      <c r="AI147" t="s">
        <v>754</v>
      </c>
      <c r="AK147">
        <v>20</v>
      </c>
    </row>
    <row r="148" spans="2:41" x14ac:dyDescent="0.25">
      <c r="C148" s="503" t="s">
        <v>1021</v>
      </c>
      <c r="G148">
        <f>D129</f>
        <v>0.74400000000000022</v>
      </c>
      <c r="X148" s="507"/>
    </row>
    <row r="149" spans="2:41" x14ac:dyDescent="0.25">
      <c r="D149" s="503" t="s">
        <v>1024</v>
      </c>
      <c r="E149" s="605"/>
      <c r="F149" s="605"/>
      <c r="H149" s="607">
        <f>D123</f>
        <v>4380.8288599999996</v>
      </c>
      <c r="I149" s="633">
        <f>D124</f>
        <v>725.14525500322793</v>
      </c>
      <c r="J149" s="633">
        <f>D125</f>
        <v>219.04144299999999</v>
      </c>
      <c r="K149">
        <f>D126</f>
        <v>20</v>
      </c>
      <c r="L149" s="596"/>
      <c r="X149" s="507"/>
      <c r="AK149" s="459"/>
    </row>
    <row r="150" spans="2:41" x14ac:dyDescent="0.25">
      <c r="B150" s="503" t="s">
        <v>1015</v>
      </c>
      <c r="C150" s="503" t="s">
        <v>1024</v>
      </c>
      <c r="D150" s="602"/>
      <c r="E150" s="596">
        <v>1</v>
      </c>
      <c r="F150" s="596"/>
      <c r="H150" s="596"/>
      <c r="I150" s="609"/>
      <c r="J150" s="596"/>
      <c r="L150" s="596"/>
      <c r="X150" s="507"/>
    </row>
    <row r="151" spans="2:41" x14ac:dyDescent="0.25">
      <c r="C151" s="503" t="s">
        <v>1021</v>
      </c>
      <c r="E151" s="604"/>
      <c r="F151" s="301">
        <f>D140</f>
        <v>2.7107999999999999</v>
      </c>
      <c r="J151" s="605"/>
      <c r="K151" s="610"/>
      <c r="L151" s="605"/>
      <c r="X151" s="507"/>
    </row>
    <row r="152" spans="2:41" x14ac:dyDescent="0.25">
      <c r="C152" s="602"/>
      <c r="D152" s="503" t="s">
        <v>1023</v>
      </c>
      <c r="E152" s="604"/>
      <c r="H152" s="19">
        <f>D135</f>
        <v>3504.6630879999993</v>
      </c>
      <c r="I152" s="19">
        <f>D136</f>
        <v>725.14525500322793</v>
      </c>
      <c r="J152" s="634">
        <f>D137</f>
        <v>175.23315439999999</v>
      </c>
      <c r="K152" s="596">
        <f>D138</f>
        <v>20</v>
      </c>
      <c r="L152" s="596">
        <f>D141*1000</f>
        <v>80</v>
      </c>
      <c r="P152" s="605"/>
      <c r="R152" s="596"/>
      <c r="X152" s="507"/>
      <c r="AO152" s="459"/>
    </row>
    <row r="153" spans="2:41" x14ac:dyDescent="0.25">
      <c r="X153" s="507"/>
    </row>
    <row r="154" spans="2:41" x14ac:dyDescent="0.25">
      <c r="X154" s="507"/>
    </row>
    <row r="155" spans="2:41" x14ac:dyDescent="0.25">
      <c r="X155" s="507"/>
    </row>
    <row r="156" spans="2:41" x14ac:dyDescent="0.25">
      <c r="X156" s="507"/>
    </row>
    <row r="157" spans="2:41" ht="21" x14ac:dyDescent="0.35">
      <c r="B157" s="442" t="s">
        <v>1596</v>
      </c>
      <c r="X157" s="507"/>
    </row>
    <row r="158" spans="2:41" x14ac:dyDescent="0.25">
      <c r="X158" s="507"/>
    </row>
    <row r="159" spans="2:41" x14ac:dyDescent="0.25">
      <c r="B159" t="s">
        <v>1480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1481</v>
      </c>
      <c r="X159" s="507"/>
    </row>
    <row r="160" spans="2:41" x14ac:dyDescent="0.25">
      <c r="D160" s="119">
        <f>D159*$H$159</f>
        <v>4084.9852746535375</v>
      </c>
      <c r="E160" s="119" t="s">
        <v>1482</v>
      </c>
      <c r="X160" s="507"/>
    </row>
    <row r="161" spans="2:24" x14ac:dyDescent="0.25">
      <c r="X161" s="507"/>
    </row>
    <row r="162" spans="2:24" x14ac:dyDescent="0.25">
      <c r="F162" s="18"/>
      <c r="G162" s="18"/>
      <c r="X162" s="507"/>
    </row>
    <row r="163" spans="2:24" x14ac:dyDescent="0.25">
      <c r="B163" s="623"/>
      <c r="C163" s="623"/>
      <c r="D163" s="624" t="s">
        <v>1537</v>
      </c>
      <c r="E163" s="625"/>
      <c r="F163" s="11" t="s">
        <v>738</v>
      </c>
      <c r="G163" s="18"/>
      <c r="X163" s="507"/>
    </row>
    <row r="164" spans="2:24" x14ac:dyDescent="0.25">
      <c r="B164" s="622" t="s">
        <v>1513</v>
      </c>
      <c r="C164" s="600" t="s">
        <v>1538</v>
      </c>
      <c r="D164" s="600" t="s">
        <v>1539</v>
      </c>
      <c r="E164" s="597" t="s">
        <v>919</v>
      </c>
      <c r="F164" s="598" t="s">
        <v>910</v>
      </c>
      <c r="G164" s="18"/>
      <c r="I164" s="598"/>
      <c r="X164" s="507"/>
    </row>
    <row r="165" spans="2:24" x14ac:dyDescent="0.25">
      <c r="B165" s="503" t="s">
        <v>1018</v>
      </c>
      <c r="C165" s="503" t="s">
        <v>1023</v>
      </c>
      <c r="D165" s="99" t="s">
        <v>40</v>
      </c>
      <c r="E165">
        <v>1</v>
      </c>
      <c r="G165" s="18"/>
      <c r="X165" s="507"/>
    </row>
    <row r="166" spans="2:24" x14ac:dyDescent="0.25">
      <c r="B166" t="s">
        <v>1483</v>
      </c>
      <c r="C166" s="503" t="s">
        <v>1024</v>
      </c>
      <c r="E166">
        <v>1</v>
      </c>
      <c r="F166">
        <f>-'Summary Hydrogen DRI new'!C130</f>
        <v>-4162.2431015000002</v>
      </c>
      <c r="G166" s="18"/>
      <c r="I166" s="355" t="s">
        <v>1595</v>
      </c>
      <c r="X166" s="507"/>
    </row>
    <row r="167" spans="2:24" x14ac:dyDescent="0.25">
      <c r="B167" s="503" t="s">
        <v>1008</v>
      </c>
      <c r="D167" s="503" t="s">
        <v>1025</v>
      </c>
      <c r="E167">
        <v>1</v>
      </c>
      <c r="F167">
        <v>1400</v>
      </c>
      <c r="I167" s="355" t="s">
        <v>1593</v>
      </c>
      <c r="X167" s="507"/>
    </row>
    <row r="168" spans="2:24" x14ac:dyDescent="0.25">
      <c r="X168" s="507"/>
    </row>
    <row r="169" spans="2:24" x14ac:dyDescent="0.25">
      <c r="X169" s="507"/>
    </row>
    <row r="170" spans="2:24" x14ac:dyDescent="0.25">
      <c r="X170" s="507"/>
    </row>
    <row r="171" spans="2:24" x14ac:dyDescent="0.25">
      <c r="X171" s="507"/>
    </row>
    <row r="172" spans="2:24" x14ac:dyDescent="0.25">
      <c r="X172" s="507"/>
    </row>
    <row r="173" spans="2:24" ht="21" x14ac:dyDescent="0.35">
      <c r="B173" s="442" t="s">
        <v>1597</v>
      </c>
      <c r="X173" s="507"/>
    </row>
    <row r="174" spans="2:24" x14ac:dyDescent="0.25">
      <c r="X174" s="507"/>
    </row>
    <row r="175" spans="2:24" x14ac:dyDescent="0.25">
      <c r="B175" s="593" t="s">
        <v>1512</v>
      </c>
      <c r="C175" s="594"/>
      <c r="H175" s="594"/>
      <c r="I175" s="485"/>
      <c r="X175" s="507"/>
    </row>
    <row r="176" spans="2:24" x14ac:dyDescent="0.25">
      <c r="B176" s="595" t="s">
        <v>1513</v>
      </c>
      <c r="C176" s="595" t="s">
        <v>1514</v>
      </c>
      <c r="D176" s="595" t="s">
        <v>1515</v>
      </c>
      <c r="E176" s="595" t="s">
        <v>1516</v>
      </c>
      <c r="F176" s="595" t="s">
        <v>1517</v>
      </c>
      <c r="G176" s="595" t="s">
        <v>1518</v>
      </c>
      <c r="H176" s="595" t="s">
        <v>1519</v>
      </c>
      <c r="I176" s="485"/>
      <c r="X176" s="507"/>
    </row>
    <row r="177" spans="2:33" x14ac:dyDescent="0.25">
      <c r="B177" s="503" t="s">
        <v>1018</v>
      </c>
      <c r="C177" s="503" t="str">
        <f t="shared" ref="C177:C186" si="9">"Industry - I&amp;S - "&amp;J177</f>
        <v>Industry - I&amp;S - ToLocalSteelMarket</v>
      </c>
      <c r="D177" t="s">
        <v>142</v>
      </c>
      <c r="E177" t="s">
        <v>1526</v>
      </c>
      <c r="F177" t="s">
        <v>1043</v>
      </c>
      <c r="G177" t="s">
        <v>1527</v>
      </c>
      <c r="H177" s="485"/>
      <c r="I177" s="485"/>
      <c r="J177" t="s">
        <v>1581</v>
      </c>
      <c r="X177" s="507"/>
    </row>
    <row r="178" spans="2:33" x14ac:dyDescent="0.25">
      <c r="B178" s="503" t="s">
        <v>1017</v>
      </c>
      <c r="C178" s="503" t="str">
        <f t="shared" si="9"/>
        <v>Industry - I&amp;S - Alkaline Electrolysers</v>
      </c>
      <c r="D178" s="503" t="s">
        <v>142</v>
      </c>
      <c r="E178" t="s">
        <v>1602</v>
      </c>
      <c r="F178" s="502" t="s">
        <v>1043</v>
      </c>
      <c r="G178" t="s">
        <v>1527</v>
      </c>
      <c r="H178" s="485"/>
      <c r="I178" s="485"/>
      <c r="J178" t="s">
        <v>1590</v>
      </c>
      <c r="X178" s="507"/>
    </row>
    <row r="179" spans="2:33" x14ac:dyDescent="0.25">
      <c r="B179" s="503" t="s">
        <v>1016</v>
      </c>
      <c r="C179" s="503" t="str">
        <f t="shared" si="9"/>
        <v>Industry - I&amp;S - Battery</v>
      </c>
      <c r="D179" s="503" t="s">
        <v>142</v>
      </c>
      <c r="E179" t="s">
        <v>1602</v>
      </c>
      <c r="F179" s="502" t="s">
        <v>1043</v>
      </c>
      <c r="G179" t="s">
        <v>1527</v>
      </c>
      <c r="H179" s="485"/>
      <c r="I179" s="485"/>
      <c r="J179" t="s">
        <v>1582</v>
      </c>
      <c r="X179" s="507"/>
    </row>
    <row r="180" spans="2:33" x14ac:dyDescent="0.25">
      <c r="B180" s="503" t="s">
        <v>1015</v>
      </c>
      <c r="C180" s="503" t="str">
        <f t="shared" si="9"/>
        <v>Industry - I&amp;S - Electric Arc</v>
      </c>
      <c r="D180" t="s">
        <v>142</v>
      </c>
      <c r="E180" t="s">
        <v>1526</v>
      </c>
      <c r="F180" s="502" t="s">
        <v>1031</v>
      </c>
      <c r="G180" t="s">
        <v>1527</v>
      </c>
      <c r="H180" s="485"/>
      <c r="I180" s="485"/>
      <c r="J180" t="s">
        <v>1589</v>
      </c>
      <c r="X180" s="507"/>
    </row>
    <row r="181" spans="2:33" x14ac:dyDescent="0.25">
      <c r="B181" s="503" t="s">
        <v>1014</v>
      </c>
      <c r="C181" s="503" t="str">
        <f t="shared" si="9"/>
        <v>Industry - I&amp;S - HBI Storage</v>
      </c>
      <c r="D181" t="s">
        <v>142</v>
      </c>
      <c r="E181" t="s">
        <v>1526</v>
      </c>
      <c r="F181" s="502" t="s">
        <v>1043</v>
      </c>
      <c r="G181" t="s">
        <v>1527</v>
      </c>
      <c r="H181" s="485"/>
      <c r="I181" s="485"/>
      <c r="J181" t="s">
        <v>1588</v>
      </c>
      <c r="X181" s="507"/>
      <c r="AB181" t="s">
        <v>881</v>
      </c>
      <c r="AC181" t="s">
        <v>882</v>
      </c>
    </row>
    <row r="182" spans="2:33" x14ac:dyDescent="0.25">
      <c r="B182" s="503" t="s">
        <v>1013</v>
      </c>
      <c r="C182" s="503" t="str">
        <f t="shared" si="9"/>
        <v>Industry - I&amp;S - H2 DRI</v>
      </c>
      <c r="D182" t="s">
        <v>142</v>
      </c>
      <c r="E182" t="s">
        <v>1526</v>
      </c>
      <c r="F182" s="502" t="s">
        <v>1043</v>
      </c>
      <c r="G182" t="s">
        <v>1527</v>
      </c>
      <c r="H182" s="485"/>
      <c r="I182" s="485"/>
      <c r="J182" t="s">
        <v>1586</v>
      </c>
      <c r="X182" s="507"/>
      <c r="AA182" t="s">
        <v>194</v>
      </c>
      <c r="AB182">
        <v>100</v>
      </c>
      <c r="AC182">
        <v>175</v>
      </c>
      <c r="AD182">
        <v>175</v>
      </c>
      <c r="AE182" s="435">
        <f>AD182*'[16]Facility technicals and LCOE'!$D$4</f>
        <v>3500</v>
      </c>
      <c r="AF182">
        <f>235-175</f>
        <v>60</v>
      </c>
    </row>
    <row r="183" spans="2:33" x14ac:dyDescent="0.25">
      <c r="B183" s="503" t="s">
        <v>1011</v>
      </c>
      <c r="C183" s="503" t="str">
        <f t="shared" si="9"/>
        <v>Industry - I&amp;S - H2 Storage</v>
      </c>
      <c r="D183" t="s">
        <v>142</v>
      </c>
      <c r="E183" t="s">
        <v>1526</v>
      </c>
      <c r="F183" s="502" t="s">
        <v>1043</v>
      </c>
      <c r="G183" t="s">
        <v>1527</v>
      </c>
      <c r="H183" s="485"/>
      <c r="I183" s="485"/>
      <c r="J183" t="s">
        <v>1587</v>
      </c>
      <c r="X183" s="507"/>
      <c r="AA183" t="s">
        <v>883</v>
      </c>
      <c r="AB183">
        <v>100</v>
      </c>
      <c r="AC183">
        <v>235</v>
      </c>
      <c r="AD183">
        <f>AC183-AC182</f>
        <v>60</v>
      </c>
      <c r="AE183" s="435">
        <f>AD183*'[16]Facility technicals and LCOE'!$D$4</f>
        <v>1200</v>
      </c>
      <c r="AG183" t="s">
        <v>1066</v>
      </c>
    </row>
    <row r="184" spans="2:33" x14ac:dyDescent="0.25">
      <c r="B184" s="503" t="s">
        <v>1008</v>
      </c>
      <c r="C184" s="503" t="str">
        <f t="shared" si="9"/>
        <v>Industry - I&amp;S - Iron Ore Mining</v>
      </c>
      <c r="D184" t="s">
        <v>142</v>
      </c>
      <c r="E184" t="s">
        <v>1526</v>
      </c>
      <c r="F184" s="502" t="s">
        <v>1043</v>
      </c>
      <c r="G184" t="s">
        <v>1527</v>
      </c>
      <c r="H184" s="485"/>
      <c r="I184" s="485"/>
      <c r="J184" t="s">
        <v>1583</v>
      </c>
      <c r="X184" s="507"/>
      <c r="AA184" t="s">
        <v>884</v>
      </c>
      <c r="AB184">
        <v>100</v>
      </c>
      <c r="AC184">
        <v>350</v>
      </c>
      <c r="AD184">
        <f>AC184-AC183</f>
        <v>115</v>
      </c>
      <c r="AE184" s="435">
        <f>AD184*'[16]Facility technicals and LCOE'!$D$4</f>
        <v>2300</v>
      </c>
    </row>
    <row r="185" spans="2:33" x14ac:dyDescent="0.25">
      <c r="B185" s="503" t="s">
        <v>1005</v>
      </c>
      <c r="C185" s="503" t="str">
        <f t="shared" si="9"/>
        <v>Industry - I&amp;S - Electricity To - GreenSteel</v>
      </c>
      <c r="D185" t="s">
        <v>142</v>
      </c>
      <c r="E185" t="s">
        <v>1526</v>
      </c>
      <c r="F185" s="502" t="s">
        <v>1031</v>
      </c>
      <c r="G185" t="s">
        <v>1527</v>
      </c>
      <c r="H185" s="485"/>
      <c r="I185" s="485"/>
      <c r="J185" t="s">
        <v>1591</v>
      </c>
      <c r="X185" s="507"/>
      <c r="AA185" t="s">
        <v>885</v>
      </c>
      <c r="AB185">
        <v>100</v>
      </c>
      <c r="AC185">
        <v>590</v>
      </c>
      <c r="AD185">
        <f>AC185-AC184</f>
        <v>240</v>
      </c>
      <c r="AE185" s="435">
        <f>AD185*'[16]Facility technicals and LCOE'!$D$4</f>
        <v>4800</v>
      </c>
    </row>
    <row r="186" spans="2:33" x14ac:dyDescent="0.25">
      <c r="B186" t="s">
        <v>1483</v>
      </c>
      <c r="C186" s="503" t="str">
        <f t="shared" si="9"/>
        <v>Industry - I&amp;S - Export Green Iron</v>
      </c>
      <c r="D186" t="s">
        <v>142</v>
      </c>
      <c r="E186" t="s">
        <v>1526</v>
      </c>
      <c r="F186" s="502" t="s">
        <v>1043</v>
      </c>
      <c r="G186" t="s">
        <v>1527</v>
      </c>
      <c r="H186" s="485"/>
      <c r="I186" s="485"/>
      <c r="J186" t="s">
        <v>1585</v>
      </c>
      <c r="X186" s="507"/>
      <c r="AA186" t="s">
        <v>886</v>
      </c>
      <c r="AB186">
        <v>100</v>
      </c>
      <c r="AC186">
        <v>650</v>
      </c>
      <c r="AD186">
        <f>AC186-AC185</f>
        <v>60</v>
      </c>
      <c r="AE186" s="435">
        <f>AD186*'[16]Facility technicals and LCOE'!$D$4</f>
        <v>1200</v>
      </c>
    </row>
    <row r="187" spans="2:33" x14ac:dyDescent="0.25">
      <c r="X187" s="507"/>
    </row>
    <row r="188" spans="2:33" x14ac:dyDescent="0.25">
      <c r="X188" s="507"/>
    </row>
    <row r="189" spans="2:33" x14ac:dyDescent="0.25">
      <c r="X189" s="507"/>
    </row>
    <row r="190" spans="2:33" x14ac:dyDescent="0.25">
      <c r="B190" s="611" t="s">
        <v>1543</v>
      </c>
      <c r="C190" s="611"/>
      <c r="D190" s="612"/>
      <c r="E190" s="612"/>
      <c r="F190" s="612"/>
      <c r="G190" s="612"/>
      <c r="H190" s="612"/>
      <c r="I190" s="612"/>
      <c r="J190" s="612"/>
      <c r="X190" s="507"/>
    </row>
    <row r="191" spans="2:33" x14ac:dyDescent="0.25">
      <c r="B191" s="613" t="s">
        <v>1544</v>
      </c>
      <c r="C191" s="614" t="s">
        <v>1545</v>
      </c>
      <c r="D191" s="613" t="s">
        <v>1546</v>
      </c>
      <c r="E191" s="613" t="s">
        <v>1547</v>
      </c>
      <c r="F191" s="615" t="s">
        <v>673</v>
      </c>
      <c r="G191" s="615" t="s">
        <v>1548</v>
      </c>
      <c r="H191" s="615" t="s">
        <v>1549</v>
      </c>
      <c r="I191" s="615" t="s">
        <v>1550</v>
      </c>
      <c r="J191" s="615" t="s">
        <v>1551</v>
      </c>
      <c r="X191" s="507"/>
    </row>
    <row r="192" spans="2:33" ht="39.75" thickBot="1" x14ac:dyDescent="0.3">
      <c r="B192" s="616" t="s">
        <v>1552</v>
      </c>
      <c r="C192" s="617" t="s">
        <v>1553</v>
      </c>
      <c r="D192" s="616" t="s">
        <v>1554</v>
      </c>
      <c r="E192" s="616" t="s">
        <v>1555</v>
      </c>
      <c r="F192" s="616" t="s">
        <v>673</v>
      </c>
      <c r="G192" s="616" t="s">
        <v>1556</v>
      </c>
      <c r="H192" s="616" t="s">
        <v>1557</v>
      </c>
      <c r="I192" s="616" t="s">
        <v>1558</v>
      </c>
      <c r="J192" s="616" t="s">
        <v>1559</v>
      </c>
      <c r="X192" s="507"/>
    </row>
    <row r="193" spans="2:24" x14ac:dyDescent="0.25">
      <c r="B193" s="618" t="s">
        <v>1561</v>
      </c>
      <c r="C193" s="618" t="s">
        <v>1026</v>
      </c>
      <c r="D193" s="503" t="s">
        <v>1025</v>
      </c>
      <c r="E193" s="503" t="str">
        <f t="shared" ref="E193:E198" si="10">"Industry - I&amp;S - "&amp;L193</f>
        <v>Industry - I&amp;S - Iron Ore</v>
      </c>
      <c r="F193" s="503" t="s">
        <v>142</v>
      </c>
      <c r="G193" s="503"/>
      <c r="H193" s="485"/>
      <c r="I193" s="485"/>
      <c r="J193" s="485"/>
      <c r="K193" s="485"/>
      <c r="L193" t="s">
        <v>1579</v>
      </c>
      <c r="X193" s="507"/>
    </row>
    <row r="194" spans="2:24" x14ac:dyDescent="0.25">
      <c r="B194" s="618" t="s">
        <v>1561</v>
      </c>
      <c r="C194" s="618" t="s">
        <v>1026</v>
      </c>
      <c r="D194" s="503" t="s">
        <v>1024</v>
      </c>
      <c r="E194" s="503" t="str">
        <f t="shared" si="10"/>
        <v>Industry - I&amp;S - GreenHBI</v>
      </c>
      <c r="F194" s="503" t="s">
        <v>142</v>
      </c>
      <c r="G194" s="503"/>
      <c r="H194" s="485"/>
      <c r="I194" s="485"/>
      <c r="J194" s="485"/>
      <c r="K194" s="485"/>
      <c r="L194" t="s">
        <v>1594</v>
      </c>
      <c r="X194" s="507"/>
    </row>
    <row r="195" spans="2:24" x14ac:dyDescent="0.25">
      <c r="B195" s="618" t="s">
        <v>1561</v>
      </c>
      <c r="C195" s="618" t="s">
        <v>1026</v>
      </c>
      <c r="D195" s="503" t="s">
        <v>1023</v>
      </c>
      <c r="E195" s="503" t="str">
        <f t="shared" si="10"/>
        <v>Industry - I&amp;S - GreenSteel</v>
      </c>
      <c r="F195" s="503" t="s">
        <v>142</v>
      </c>
      <c r="G195" s="503"/>
      <c r="H195" s="485"/>
      <c r="I195" s="485"/>
      <c r="J195" s="485"/>
      <c r="K195" s="485"/>
      <c r="L195" t="s">
        <v>1580</v>
      </c>
      <c r="X195" s="507"/>
    </row>
    <row r="196" spans="2:24" x14ac:dyDescent="0.25">
      <c r="B196" s="618" t="s">
        <v>1561</v>
      </c>
      <c r="C196" s="618" t="s">
        <v>1026</v>
      </c>
      <c r="D196" s="503" t="s">
        <v>1021</v>
      </c>
      <c r="E196" s="503" t="str">
        <f t="shared" si="10"/>
        <v>Industry - I&amp;S - Electricity</v>
      </c>
      <c r="F196" s="503" t="s">
        <v>142</v>
      </c>
      <c r="G196" s="503"/>
      <c r="H196" s="502" t="s">
        <v>1031</v>
      </c>
      <c r="I196" s="485"/>
      <c r="J196" s="485"/>
      <c r="K196" s="485"/>
      <c r="L196" t="s">
        <v>14</v>
      </c>
      <c r="X196" s="507"/>
    </row>
    <row r="197" spans="2:24" x14ac:dyDescent="0.25">
      <c r="B197" s="618" t="s">
        <v>1561</v>
      </c>
      <c r="C197" s="618" t="s">
        <v>1026</v>
      </c>
      <c r="D197" s="503" t="s">
        <v>1019</v>
      </c>
      <c r="E197" s="503" t="str">
        <f t="shared" si="10"/>
        <v>Industry - I&amp;S - Hydrogen</v>
      </c>
      <c r="F197" s="503" t="s">
        <v>142</v>
      </c>
      <c r="G197" s="503"/>
      <c r="H197" s="485"/>
      <c r="I197" s="485"/>
      <c r="J197" s="485"/>
      <c r="K197" s="485"/>
      <c r="L197" t="s">
        <v>835</v>
      </c>
      <c r="X197" s="507"/>
    </row>
    <row r="198" spans="2:24" x14ac:dyDescent="0.25">
      <c r="B198" s="618" t="s">
        <v>1561</v>
      </c>
      <c r="C198" s="618" t="s">
        <v>1026</v>
      </c>
      <c r="D198" t="s">
        <v>1484</v>
      </c>
      <c r="E198" s="503" t="str">
        <f t="shared" si="10"/>
        <v>Industry - I&amp;S - DummyCommodity</v>
      </c>
      <c r="F198" t="s">
        <v>142</v>
      </c>
      <c r="H198" s="485"/>
      <c r="I198" s="485"/>
      <c r="J198" s="485"/>
      <c r="K198" s="485"/>
      <c r="L198" t="s">
        <v>1584</v>
      </c>
      <c r="X198" s="507"/>
    </row>
    <row r="199" spans="2:24" x14ac:dyDescent="0.25">
      <c r="X199" s="507"/>
    </row>
    <row r="200" spans="2:24" x14ac:dyDescent="0.25">
      <c r="X200" s="507"/>
    </row>
    <row r="201" spans="2:24" x14ac:dyDescent="0.25">
      <c r="X201" s="507"/>
    </row>
    <row r="202" spans="2:24" x14ac:dyDescent="0.25">
      <c r="X202" s="507"/>
    </row>
    <row r="203" spans="2:24" x14ac:dyDescent="0.25">
      <c r="X203" s="507"/>
    </row>
    <row r="204" spans="2:24" x14ac:dyDescent="0.25">
      <c r="X204" s="507"/>
    </row>
    <row r="205" spans="2:24" x14ac:dyDescent="0.25">
      <c r="X205" s="507"/>
    </row>
    <row r="206" spans="2:24" x14ac:dyDescent="0.25">
      <c r="X206" s="507"/>
    </row>
    <row r="207" spans="2:24" x14ac:dyDescent="0.25">
      <c r="X207" s="507"/>
    </row>
    <row r="208" spans="2:24" x14ac:dyDescent="0.25">
      <c r="X208" s="507"/>
    </row>
    <row r="209" spans="24:40" x14ac:dyDescent="0.25">
      <c r="X209" s="507"/>
      <c r="AB209" t="s">
        <v>863</v>
      </c>
    </row>
    <row r="210" spans="24:40" x14ac:dyDescent="0.25">
      <c r="X210" s="507"/>
      <c r="AB210" t="s">
        <v>868</v>
      </c>
      <c r="AC210" s="285" t="s">
        <v>869</v>
      </c>
      <c r="AD210" s="285"/>
      <c r="AE210" s="285"/>
      <c r="AF210" s="285"/>
      <c r="AG210" s="285"/>
      <c r="AH210" s="285"/>
    </row>
    <row r="211" spans="24:40" x14ac:dyDescent="0.25">
      <c r="X211" s="507"/>
      <c r="AB211" s="285">
        <v>1</v>
      </c>
      <c r="AC211">
        <v>0.66700000000000004</v>
      </c>
    </row>
    <row r="212" spans="24:40" x14ac:dyDescent="0.25">
      <c r="X212" s="507"/>
      <c r="AB212" s="285">
        <v>0</v>
      </c>
      <c r="AC212">
        <v>3.48</v>
      </c>
      <c r="AG212" s="363">
        <f>AC212-AC215</f>
        <v>0.75999999999999979</v>
      </c>
      <c r="AH212" t="s">
        <v>874</v>
      </c>
    </row>
    <row r="213" spans="24:40" x14ac:dyDescent="0.25">
      <c r="X213" s="507"/>
      <c r="AB213" s="285">
        <v>0.2</v>
      </c>
      <c r="AC213">
        <v>2.16</v>
      </c>
      <c r="AD213" t="s">
        <v>875</v>
      </c>
      <c r="AG213">
        <f>AC216</f>
        <v>2.41</v>
      </c>
      <c r="AH213" t="s">
        <v>876</v>
      </c>
      <c r="AJ213" s="122">
        <f>AG213/AG214</f>
        <v>0.69252873563218398</v>
      </c>
    </row>
    <row r="214" spans="24:40" x14ac:dyDescent="0.25">
      <c r="X214" s="50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877</v>
      </c>
    </row>
    <row r="215" spans="24:40" x14ac:dyDescent="0.25">
      <c r="X215" s="507"/>
      <c r="AB215" s="285">
        <v>0</v>
      </c>
      <c r="AC215">
        <v>2.72</v>
      </c>
      <c r="AG215">
        <f>AC217</f>
        <v>2.9</v>
      </c>
      <c r="AH215" t="s">
        <v>879</v>
      </c>
    </row>
    <row r="216" spans="24:40" x14ac:dyDescent="0.25">
      <c r="X216" s="507"/>
      <c r="AB216" s="285">
        <v>0</v>
      </c>
      <c r="AC216">
        <v>2.41</v>
      </c>
      <c r="AE216" s="268">
        <f>AC215-AC216</f>
        <v>0.31000000000000005</v>
      </c>
      <c r="AF216" t="s">
        <v>880</v>
      </c>
    </row>
    <row r="217" spans="24:40" x14ac:dyDescent="0.25">
      <c r="X217" s="507"/>
      <c r="AB217" s="285">
        <v>0.2</v>
      </c>
      <c r="AC217">
        <v>2.9</v>
      </c>
    </row>
    <row r="218" spans="24:40" x14ac:dyDescent="0.25">
      <c r="X218" s="507"/>
    </row>
    <row r="219" spans="24:40" x14ac:dyDescent="0.25">
      <c r="X219" s="507"/>
    </row>
    <row r="220" spans="24:40" x14ac:dyDescent="0.25">
      <c r="X220" s="507"/>
      <c r="AK220" s="460"/>
    </row>
    <row r="221" spans="24:40" x14ac:dyDescent="0.25">
      <c r="X221" s="50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61"/>
      <c r="AL221" s="8"/>
      <c r="AM221" s="8"/>
      <c r="AN221" s="8"/>
    </row>
    <row r="222" spans="24:40" x14ac:dyDescent="0.25">
      <c r="X222" s="507"/>
    </row>
    <row r="223" spans="24:40" x14ac:dyDescent="0.25">
      <c r="X223" s="507"/>
      <c r="Z223" t="s">
        <v>858</v>
      </c>
    </row>
    <row r="224" spans="24:40" x14ac:dyDescent="0.25">
      <c r="X224" s="507"/>
      <c r="Z224">
        <v>30.6</v>
      </c>
      <c r="AA224" t="s">
        <v>859</v>
      </c>
      <c r="AB224" s="118" t="s">
        <v>860</v>
      </c>
    </row>
    <row r="225" spans="24:38" x14ac:dyDescent="0.25">
      <c r="X225" s="507"/>
      <c r="Z225">
        <f>Z224*AK228</f>
        <v>489.6</v>
      </c>
      <c r="AA225" t="s">
        <v>861</v>
      </c>
      <c r="AK225" t="s">
        <v>862</v>
      </c>
    </row>
    <row r="226" spans="24:38" x14ac:dyDescent="0.25">
      <c r="X226" s="507"/>
    </row>
    <row r="227" spans="24:38" x14ac:dyDescent="0.25">
      <c r="X227" s="507"/>
      <c r="Z227" t="s">
        <v>864</v>
      </c>
      <c r="AK227" t="s">
        <v>866</v>
      </c>
      <c r="AL227" t="s">
        <v>867</v>
      </c>
    </row>
    <row r="228" spans="24:38" x14ac:dyDescent="0.25">
      <c r="X228" s="507"/>
      <c r="Z228" t="s">
        <v>870</v>
      </c>
      <c r="AK228">
        <v>16</v>
      </c>
      <c r="AL228">
        <v>2018</v>
      </c>
    </row>
    <row r="229" spans="24:38" x14ac:dyDescent="0.25">
      <c r="X229" s="507"/>
      <c r="Z229">
        <v>135</v>
      </c>
      <c r="AA229" t="s">
        <v>871</v>
      </c>
      <c r="AB229">
        <v>405</v>
      </c>
      <c r="AC229" t="s">
        <v>872</v>
      </c>
      <c r="AD229" s="118" t="s">
        <v>873</v>
      </c>
    </row>
    <row r="230" spans="24:38" x14ac:dyDescent="0.25">
      <c r="X230" s="507"/>
      <c r="Z230">
        <f>(Z229+AB229)/2</f>
        <v>270</v>
      </c>
      <c r="AA230" t="s">
        <v>791</v>
      </c>
    </row>
    <row r="231" spans="24:38" x14ac:dyDescent="0.25">
      <c r="X231" s="507"/>
    </row>
    <row r="232" spans="24:38" x14ac:dyDescent="0.25">
      <c r="X232" s="507"/>
      <c r="Z232">
        <f>Z230*1000/(12*20*8)</f>
        <v>140.625</v>
      </c>
      <c r="AA232" t="s">
        <v>878</v>
      </c>
    </row>
    <row r="233" spans="24:38" x14ac:dyDescent="0.25">
      <c r="X233" s="507"/>
    </row>
    <row r="234" spans="24:38" x14ac:dyDescent="0.25">
      <c r="X234" s="507"/>
    </row>
    <row r="235" spans="24:38" x14ac:dyDescent="0.25">
      <c r="X235" s="507"/>
    </row>
    <row r="236" spans="24:38" x14ac:dyDescent="0.25">
      <c r="X236" s="507"/>
    </row>
    <row r="237" spans="24:38" x14ac:dyDescent="0.25">
      <c r="X237" s="507"/>
    </row>
    <row r="238" spans="24:38" x14ac:dyDescent="0.25">
      <c r="X238" s="507"/>
      <c r="Z238" s="11" t="s">
        <v>1471</v>
      </c>
      <c r="AA238" s="8"/>
      <c r="AB238" s="8"/>
      <c r="AC238" s="8"/>
      <c r="AD238" s="8"/>
      <c r="AE238" s="8"/>
      <c r="AF238" s="8"/>
    </row>
    <row r="239" spans="24:38" x14ac:dyDescent="0.25">
      <c r="X239" s="507"/>
      <c r="Z239" s="118" t="s">
        <v>1472</v>
      </c>
    </row>
    <row r="240" spans="24:38" x14ac:dyDescent="0.25">
      <c r="X240" s="507"/>
    </row>
    <row r="241" spans="24:31" x14ac:dyDescent="0.25">
      <c r="X241" s="507"/>
      <c r="Z241" t="s">
        <v>1473</v>
      </c>
      <c r="AA241">
        <f>AVERAGE(AB292:AB303)</f>
        <v>342.83333333333331</v>
      </c>
      <c r="AB241" t="s">
        <v>1474</v>
      </c>
    </row>
    <row r="242" spans="24:31" x14ac:dyDescent="0.25">
      <c r="X242" s="507"/>
      <c r="AB242" s="658" t="s">
        <v>1475</v>
      </c>
      <c r="AC242" s="658"/>
      <c r="AD242" s="658"/>
      <c r="AE242" t="s">
        <v>1476</v>
      </c>
    </row>
    <row r="243" spans="24:31" ht="15.75" thickBot="1" x14ac:dyDescent="0.3">
      <c r="X243" s="507"/>
      <c r="AB243" t="s">
        <v>1473</v>
      </c>
      <c r="AC243" t="s">
        <v>1477</v>
      </c>
      <c r="AD243" t="s">
        <v>1478</v>
      </c>
      <c r="AE243" t="s">
        <v>1479</v>
      </c>
    </row>
    <row r="244" spans="24:31" ht="15.75" thickBot="1" x14ac:dyDescent="0.3">
      <c r="X244" s="507"/>
      <c r="Z244" s="587">
        <v>2015</v>
      </c>
      <c r="AA244" s="587">
        <v>1</v>
      </c>
      <c r="AB244" s="587">
        <v>389</v>
      </c>
      <c r="AC244" s="587">
        <v>365</v>
      </c>
      <c r="AD244" s="587">
        <v>320</v>
      </c>
      <c r="AE244" s="587">
        <v>390</v>
      </c>
    </row>
    <row r="245" spans="24:31" ht="15.75" thickBot="1" x14ac:dyDescent="0.3">
      <c r="X245" s="507"/>
      <c r="Z245" s="587">
        <v>2015</v>
      </c>
      <c r="AA245" s="587">
        <v>2</v>
      </c>
      <c r="AB245" s="587">
        <v>342</v>
      </c>
      <c r="AC245" s="587">
        <v>351</v>
      </c>
      <c r="AD245" s="587">
        <v>306</v>
      </c>
      <c r="AE245" s="587">
        <v>414</v>
      </c>
    </row>
    <row r="246" spans="24:31" ht="15.75" thickBot="1" x14ac:dyDescent="0.3">
      <c r="X246" s="507"/>
      <c r="Z246" s="587">
        <v>2015</v>
      </c>
      <c r="AA246" s="587">
        <v>3</v>
      </c>
      <c r="AB246" s="587">
        <v>338</v>
      </c>
      <c r="AC246" s="587">
        <v>313</v>
      </c>
      <c r="AD246" s="587">
        <v>280</v>
      </c>
      <c r="AE246" s="587">
        <v>340</v>
      </c>
    </row>
    <row r="247" spans="24:31" ht="15.75" thickBot="1" x14ac:dyDescent="0.3">
      <c r="X247" s="507"/>
      <c r="Z247" s="587">
        <v>2015</v>
      </c>
      <c r="AA247" s="587">
        <v>4</v>
      </c>
      <c r="AB247" s="587">
        <v>291</v>
      </c>
      <c r="AC247" s="587">
        <v>288</v>
      </c>
      <c r="AD247" s="587">
        <v>238</v>
      </c>
      <c r="AE247" s="587">
        <v>330</v>
      </c>
    </row>
    <row r="248" spans="24:31" ht="15.75" thickBot="1" x14ac:dyDescent="0.3">
      <c r="X248" s="507"/>
      <c r="Z248" s="587">
        <v>2015</v>
      </c>
      <c r="AA248" s="587">
        <v>5</v>
      </c>
      <c r="AB248" s="587">
        <v>278</v>
      </c>
      <c r="AC248" s="587">
        <v>283</v>
      </c>
      <c r="AD248" s="587">
        <v>247</v>
      </c>
      <c r="AE248" s="587">
        <v>325</v>
      </c>
    </row>
    <row r="249" spans="24:31" ht="15.75" thickBot="1" x14ac:dyDescent="0.3">
      <c r="X249" s="507"/>
      <c r="Z249" s="587">
        <v>2015</v>
      </c>
      <c r="AA249" s="587">
        <v>6</v>
      </c>
      <c r="AB249" s="587">
        <v>259</v>
      </c>
      <c r="AC249" s="587">
        <v>258</v>
      </c>
      <c r="AD249" s="587">
        <v>252</v>
      </c>
      <c r="AE249" s="587">
        <v>299</v>
      </c>
    </row>
    <row r="250" spans="24:31" ht="15.75" thickBot="1" x14ac:dyDescent="0.3">
      <c r="X250" s="507"/>
      <c r="Z250" s="587">
        <v>2015</v>
      </c>
      <c r="AA250" s="587">
        <v>7</v>
      </c>
      <c r="AB250" s="587">
        <v>279</v>
      </c>
      <c r="AC250" s="587">
        <v>253</v>
      </c>
      <c r="AD250" s="587">
        <v>252</v>
      </c>
      <c r="AE250" s="587">
        <v>316</v>
      </c>
    </row>
    <row r="251" spans="24:31" ht="15.75" thickBot="1" x14ac:dyDescent="0.3">
      <c r="X251" s="507"/>
      <c r="Z251" s="587">
        <v>2015</v>
      </c>
      <c r="AA251" s="587">
        <v>8</v>
      </c>
      <c r="AB251" s="587">
        <v>264</v>
      </c>
      <c r="AC251" s="587">
        <v>273</v>
      </c>
      <c r="AD251" s="587">
        <v>243</v>
      </c>
      <c r="AE251" s="587">
        <v>301</v>
      </c>
    </row>
    <row r="252" spans="24:31" ht="15.75" thickBot="1" x14ac:dyDescent="0.3">
      <c r="X252" s="507"/>
      <c r="Z252" s="587">
        <v>2015</v>
      </c>
      <c r="AA252" s="587">
        <v>9</v>
      </c>
      <c r="AB252" s="587">
        <v>280</v>
      </c>
      <c r="AC252" s="587">
        <v>233</v>
      </c>
      <c r="AD252" s="587">
        <v>228</v>
      </c>
      <c r="AE252" s="587">
        <v>295</v>
      </c>
    </row>
    <row r="253" spans="24:31" ht="15.75" thickBot="1" x14ac:dyDescent="0.3">
      <c r="X253" s="507"/>
      <c r="Z253" s="587">
        <v>2015</v>
      </c>
      <c r="AA253" s="587">
        <v>10</v>
      </c>
      <c r="AB253" s="587">
        <v>246</v>
      </c>
      <c r="AC253" s="587">
        <v>255</v>
      </c>
      <c r="AD253" s="587">
        <v>209</v>
      </c>
      <c r="AE253" s="587">
        <v>265</v>
      </c>
    </row>
    <row r="254" spans="24:31" ht="15.75" thickBot="1" x14ac:dyDescent="0.3">
      <c r="X254" s="507"/>
      <c r="Z254" s="587">
        <v>2015</v>
      </c>
      <c r="AA254" s="587">
        <v>11</v>
      </c>
      <c r="AB254" s="587">
        <v>222</v>
      </c>
      <c r="AC254" s="587">
        <v>201</v>
      </c>
      <c r="AD254" s="587">
        <v>184</v>
      </c>
      <c r="AE254" s="587">
        <v>213</v>
      </c>
    </row>
    <row r="255" spans="24:31" ht="15.75" thickBot="1" x14ac:dyDescent="0.3">
      <c r="X255" s="507"/>
      <c r="Z255" s="587">
        <v>2015</v>
      </c>
      <c r="AA255" s="587">
        <v>12</v>
      </c>
      <c r="AB255" s="587">
        <v>181</v>
      </c>
      <c r="AC255" s="587">
        <v>174</v>
      </c>
      <c r="AD255" s="587">
        <v>169</v>
      </c>
      <c r="AE255" s="587">
        <v>204</v>
      </c>
    </row>
    <row r="256" spans="24:31" ht="15.75" thickBot="1" x14ac:dyDescent="0.3">
      <c r="X256" s="507"/>
      <c r="Z256" s="587">
        <v>2016</v>
      </c>
      <c r="AA256" s="587">
        <v>1</v>
      </c>
      <c r="AB256" s="587">
        <v>252</v>
      </c>
      <c r="AC256" s="587">
        <v>203</v>
      </c>
      <c r="AD256" s="587">
        <v>167</v>
      </c>
      <c r="AE256" s="587">
        <v>215</v>
      </c>
    </row>
    <row r="257" spans="24:31" ht="15.75" thickBot="1" x14ac:dyDescent="0.3">
      <c r="X257" s="507"/>
      <c r="Z257" s="587">
        <v>2016</v>
      </c>
      <c r="AA257" s="587">
        <v>2</v>
      </c>
      <c r="AB257" s="587">
        <v>214</v>
      </c>
      <c r="AC257" s="587">
        <v>199</v>
      </c>
      <c r="AD257" s="587">
        <v>164</v>
      </c>
      <c r="AE257" s="587">
        <v>209</v>
      </c>
    </row>
    <row r="258" spans="24:31" ht="15.75" thickBot="1" x14ac:dyDescent="0.3">
      <c r="X258" s="507"/>
      <c r="Z258" s="587">
        <v>2016</v>
      </c>
      <c r="AA258" s="587">
        <v>3</v>
      </c>
      <c r="AB258" s="587">
        <v>198</v>
      </c>
      <c r="AC258" s="587">
        <v>182</v>
      </c>
      <c r="AD258" s="587">
        <v>175</v>
      </c>
      <c r="AE258" s="587">
        <v>211</v>
      </c>
    </row>
    <row r="259" spans="24:31" ht="15.75" thickBot="1" x14ac:dyDescent="0.3">
      <c r="X259" s="507"/>
      <c r="Z259" s="587">
        <v>2016</v>
      </c>
      <c r="AA259" s="587">
        <v>4</v>
      </c>
      <c r="AB259" s="587">
        <v>212</v>
      </c>
      <c r="AC259" s="587">
        <v>195</v>
      </c>
      <c r="AD259" s="587">
        <v>184</v>
      </c>
      <c r="AE259" s="587">
        <v>237</v>
      </c>
    </row>
    <row r="260" spans="24:31" ht="15.75" thickBot="1" x14ac:dyDescent="0.3">
      <c r="X260" s="507"/>
      <c r="Z260" s="587">
        <v>2016</v>
      </c>
      <c r="AA260" s="587">
        <v>5</v>
      </c>
      <c r="AB260" s="587">
        <v>212</v>
      </c>
      <c r="AC260" s="587">
        <v>202</v>
      </c>
      <c r="AD260" s="587">
        <v>227</v>
      </c>
      <c r="AE260" s="587">
        <v>247</v>
      </c>
    </row>
    <row r="261" spans="24:31" ht="15.75" thickBot="1" x14ac:dyDescent="0.3">
      <c r="X261" s="507"/>
      <c r="Z261" s="587">
        <v>2016</v>
      </c>
      <c r="AA261" s="587">
        <v>6</v>
      </c>
      <c r="AB261" s="587">
        <v>225</v>
      </c>
      <c r="AC261" s="587">
        <v>224</v>
      </c>
      <c r="AD261" s="587">
        <v>229</v>
      </c>
      <c r="AE261" s="587">
        <v>278</v>
      </c>
    </row>
    <row r="262" spans="24:31" ht="15.75" thickBot="1" x14ac:dyDescent="0.3">
      <c r="X262" s="507"/>
      <c r="Z262" s="587">
        <v>2016</v>
      </c>
      <c r="AA262" s="587">
        <v>7</v>
      </c>
      <c r="AB262" s="587">
        <v>261</v>
      </c>
      <c r="AC262" s="587">
        <v>248</v>
      </c>
      <c r="AD262" s="587">
        <v>246</v>
      </c>
      <c r="AE262" s="587">
        <v>259</v>
      </c>
    </row>
    <row r="263" spans="24:31" ht="15.75" thickBot="1" x14ac:dyDescent="0.3">
      <c r="X263" s="507"/>
      <c r="Z263" s="587">
        <v>2016</v>
      </c>
      <c r="AA263" s="587">
        <v>8</v>
      </c>
      <c r="AB263" s="587">
        <v>272</v>
      </c>
      <c r="AC263" s="587">
        <v>273</v>
      </c>
      <c r="AD263" s="587">
        <v>230</v>
      </c>
      <c r="AE263" s="587">
        <v>271</v>
      </c>
    </row>
    <row r="264" spans="24:31" ht="15.75" thickBot="1" x14ac:dyDescent="0.3">
      <c r="X264" s="507"/>
      <c r="Z264" s="587">
        <v>2016</v>
      </c>
      <c r="AA264" s="587">
        <v>9</v>
      </c>
      <c r="AB264" s="587">
        <v>261</v>
      </c>
      <c r="AC264" s="587">
        <v>241</v>
      </c>
      <c r="AD264" s="587">
        <v>226</v>
      </c>
      <c r="AE264" s="587">
        <v>261</v>
      </c>
    </row>
    <row r="265" spans="24:31" ht="15.75" thickBot="1" x14ac:dyDescent="0.3">
      <c r="X265" s="507"/>
      <c r="Z265" s="587">
        <v>2016</v>
      </c>
      <c r="AA265" s="587">
        <v>10</v>
      </c>
      <c r="AB265" s="587">
        <v>266</v>
      </c>
      <c r="AC265" s="587">
        <v>257</v>
      </c>
      <c r="AD265" s="587">
        <v>229</v>
      </c>
      <c r="AE265" s="587">
        <v>272</v>
      </c>
    </row>
    <row r="266" spans="24:31" ht="15.75" thickBot="1" x14ac:dyDescent="0.3">
      <c r="X266" s="507"/>
      <c r="Z266" s="587">
        <v>2016</v>
      </c>
      <c r="AA266" s="587">
        <v>11</v>
      </c>
      <c r="AB266" s="587">
        <v>255</v>
      </c>
      <c r="AC266" s="587">
        <v>245</v>
      </c>
      <c r="AD266" s="587">
        <v>227</v>
      </c>
      <c r="AE266" s="587">
        <v>264</v>
      </c>
    </row>
    <row r="267" spans="24:31" ht="15.75" thickBot="1" x14ac:dyDescent="0.3">
      <c r="X267" s="507"/>
      <c r="Z267" s="587">
        <v>2016</v>
      </c>
      <c r="AA267" s="587">
        <v>12</v>
      </c>
      <c r="AB267" s="587">
        <v>249</v>
      </c>
      <c r="AC267" s="587">
        <v>271</v>
      </c>
      <c r="AD267" s="587">
        <v>259</v>
      </c>
      <c r="AE267" s="587">
        <v>293</v>
      </c>
    </row>
    <row r="268" spans="24:31" ht="15.75" thickBot="1" x14ac:dyDescent="0.3">
      <c r="X268" s="507"/>
      <c r="Z268" s="587">
        <v>2017</v>
      </c>
      <c r="AA268" s="587">
        <v>1</v>
      </c>
      <c r="AB268" s="587">
        <v>276</v>
      </c>
      <c r="AC268" s="587">
        <v>316</v>
      </c>
      <c r="AD268" s="587">
        <v>284</v>
      </c>
      <c r="AE268" s="587">
        <v>305</v>
      </c>
    </row>
    <row r="269" spans="24:31" ht="15.75" thickBot="1" x14ac:dyDescent="0.3">
      <c r="X269" s="507"/>
      <c r="Z269" s="587">
        <v>2017</v>
      </c>
      <c r="AA269" s="587">
        <v>2</v>
      </c>
      <c r="AB269" s="587">
        <v>296</v>
      </c>
      <c r="AC269" s="587">
        <v>303</v>
      </c>
      <c r="AD269" s="587">
        <v>293</v>
      </c>
      <c r="AE269" s="587">
        <v>322</v>
      </c>
    </row>
    <row r="270" spans="24:31" ht="15.75" thickBot="1" x14ac:dyDescent="0.3">
      <c r="X270" s="507"/>
      <c r="Z270" s="587">
        <v>2017</v>
      </c>
      <c r="AA270" s="587">
        <v>3</v>
      </c>
      <c r="AB270" s="587">
        <v>313</v>
      </c>
      <c r="AC270" s="587">
        <v>316</v>
      </c>
      <c r="AD270" s="587">
        <v>280</v>
      </c>
      <c r="AE270" s="587">
        <v>328</v>
      </c>
    </row>
    <row r="271" spans="24:31" ht="15.75" thickBot="1" x14ac:dyDescent="0.3">
      <c r="X271" s="507"/>
      <c r="Z271" s="587">
        <v>2017</v>
      </c>
      <c r="AA271" s="587">
        <v>4</v>
      </c>
      <c r="AB271" s="587">
        <v>307</v>
      </c>
      <c r="AC271" s="587">
        <v>339</v>
      </c>
      <c r="AD271" s="587">
        <v>305</v>
      </c>
      <c r="AE271" s="587">
        <v>358</v>
      </c>
    </row>
    <row r="272" spans="24:31" ht="15.75" thickBot="1" x14ac:dyDescent="0.3">
      <c r="X272" s="507"/>
      <c r="Z272" s="587">
        <v>2017</v>
      </c>
      <c r="AA272" s="587">
        <v>5</v>
      </c>
      <c r="AB272" s="587">
        <v>319</v>
      </c>
      <c r="AC272" s="587">
        <v>346</v>
      </c>
      <c r="AD272" s="587">
        <v>331</v>
      </c>
      <c r="AE272" s="587">
        <v>378</v>
      </c>
    </row>
    <row r="273" spans="24:31" ht="15.75" thickBot="1" x14ac:dyDescent="0.3">
      <c r="X273" s="507"/>
      <c r="Z273" s="587">
        <v>2017</v>
      </c>
      <c r="AA273" s="587">
        <v>6</v>
      </c>
      <c r="AB273" s="587">
        <v>349</v>
      </c>
      <c r="AC273" s="587">
        <v>365</v>
      </c>
      <c r="AD273" s="587">
        <v>333</v>
      </c>
      <c r="AE273" s="587">
        <v>357</v>
      </c>
    </row>
    <row r="274" spans="24:31" ht="15.75" thickBot="1" x14ac:dyDescent="0.3">
      <c r="X274" s="507"/>
      <c r="Z274" s="587">
        <v>2017</v>
      </c>
      <c r="AA274" s="587">
        <v>7</v>
      </c>
      <c r="AB274" s="587">
        <v>359</v>
      </c>
      <c r="AC274" s="587">
        <v>369</v>
      </c>
      <c r="AD274" s="587">
        <v>324</v>
      </c>
      <c r="AE274" s="587">
        <v>350</v>
      </c>
    </row>
    <row r="275" spans="24:31" ht="15.75" thickBot="1" x14ac:dyDescent="0.3">
      <c r="X275" s="507"/>
      <c r="Z275" s="587">
        <v>2017</v>
      </c>
      <c r="AA275" s="587">
        <v>8</v>
      </c>
      <c r="AB275" s="587">
        <v>364</v>
      </c>
      <c r="AC275" s="587">
        <v>359</v>
      </c>
      <c r="AD275" s="587">
        <v>315</v>
      </c>
      <c r="AE275" s="587">
        <v>365</v>
      </c>
    </row>
    <row r="276" spans="24:31" ht="15.75" thickBot="1" x14ac:dyDescent="0.3">
      <c r="X276" s="507"/>
      <c r="Z276" s="587">
        <v>2017</v>
      </c>
      <c r="AA276" s="587">
        <v>9</v>
      </c>
      <c r="AB276" s="587">
        <v>349</v>
      </c>
      <c r="AC276" s="587">
        <v>345</v>
      </c>
      <c r="AD276" s="587">
        <v>319</v>
      </c>
      <c r="AE276" s="587">
        <v>373</v>
      </c>
    </row>
    <row r="277" spans="24:31" ht="15.75" thickBot="1" x14ac:dyDescent="0.3">
      <c r="X277" s="507"/>
      <c r="Z277" s="587">
        <v>2017</v>
      </c>
      <c r="AA277" s="587">
        <v>10</v>
      </c>
      <c r="AB277" s="587">
        <v>353</v>
      </c>
      <c r="AC277" s="587">
        <v>356</v>
      </c>
      <c r="AD277" s="587">
        <v>333</v>
      </c>
      <c r="AE277" s="587">
        <v>375</v>
      </c>
    </row>
    <row r="278" spans="24:31" ht="15.75" thickBot="1" x14ac:dyDescent="0.3">
      <c r="X278" s="507"/>
      <c r="Z278" s="587">
        <v>2017</v>
      </c>
      <c r="AA278" s="587">
        <v>11</v>
      </c>
      <c r="AB278" s="587">
        <v>353</v>
      </c>
      <c r="AC278" s="587">
        <v>365</v>
      </c>
      <c r="AD278" s="587">
        <v>325</v>
      </c>
      <c r="AE278" s="587">
        <v>364</v>
      </c>
    </row>
    <row r="279" spans="24:31" ht="15.75" thickBot="1" x14ac:dyDescent="0.3">
      <c r="X279" s="507"/>
      <c r="Z279" s="587">
        <v>2017</v>
      </c>
      <c r="AA279" s="587">
        <v>12</v>
      </c>
      <c r="AB279" s="587">
        <v>366</v>
      </c>
      <c r="AC279" s="587">
        <v>316</v>
      </c>
      <c r="AD279" s="587">
        <v>324</v>
      </c>
      <c r="AE279" s="587">
        <v>370</v>
      </c>
    </row>
    <row r="280" spans="24:31" ht="15.75" thickBot="1" x14ac:dyDescent="0.3">
      <c r="X280" s="507"/>
      <c r="Z280" s="587">
        <v>2018</v>
      </c>
      <c r="AA280" s="587">
        <v>1</v>
      </c>
      <c r="AB280" s="587">
        <v>357</v>
      </c>
      <c r="AC280" s="587">
        <v>379</v>
      </c>
      <c r="AD280" s="587">
        <v>325</v>
      </c>
      <c r="AE280" s="587">
        <v>380</v>
      </c>
    </row>
    <row r="281" spans="24:31" ht="15.75" thickBot="1" x14ac:dyDescent="0.3">
      <c r="X281" s="507"/>
      <c r="Z281" s="587">
        <v>2018</v>
      </c>
      <c r="AA281" s="587">
        <v>2</v>
      </c>
      <c r="AB281" s="587">
        <v>381</v>
      </c>
      <c r="AC281" s="587">
        <v>352</v>
      </c>
      <c r="AD281" s="587">
        <v>329</v>
      </c>
      <c r="AE281" s="587">
        <v>370</v>
      </c>
    </row>
    <row r="282" spans="24:31" ht="15.75" thickBot="1" x14ac:dyDescent="0.3">
      <c r="X282" s="507"/>
      <c r="Z282" s="587">
        <v>2018</v>
      </c>
      <c r="AA282" s="587">
        <v>3</v>
      </c>
      <c r="AB282" s="587">
        <v>370</v>
      </c>
      <c r="AC282" s="587">
        <v>334</v>
      </c>
      <c r="AD282" s="587">
        <v>341</v>
      </c>
      <c r="AE282" s="587">
        <v>377</v>
      </c>
    </row>
    <row r="283" spans="24:31" ht="15.75" thickBot="1" x14ac:dyDescent="0.3">
      <c r="X283" s="507"/>
      <c r="Z283" s="587">
        <v>2018</v>
      </c>
      <c r="AA283" s="587">
        <v>4</v>
      </c>
      <c r="AB283" s="587">
        <v>381</v>
      </c>
      <c r="AC283" s="587">
        <v>387</v>
      </c>
      <c r="AD283" s="587">
        <v>330</v>
      </c>
      <c r="AE283" s="587">
        <v>376</v>
      </c>
    </row>
    <row r="284" spans="24:31" ht="15.75" thickBot="1" x14ac:dyDescent="0.3">
      <c r="X284" s="507"/>
      <c r="Z284" s="587">
        <v>2018</v>
      </c>
      <c r="AA284" s="587">
        <v>5</v>
      </c>
      <c r="AB284" s="587">
        <v>387</v>
      </c>
      <c r="AC284" s="587">
        <v>399</v>
      </c>
      <c r="AD284" s="587">
        <v>350</v>
      </c>
      <c r="AE284" s="587">
        <v>406</v>
      </c>
    </row>
    <row r="285" spans="24:31" ht="15.75" thickBot="1" x14ac:dyDescent="0.3">
      <c r="X285" s="507"/>
      <c r="Z285" s="587">
        <v>2018</v>
      </c>
      <c r="AA285" s="587">
        <v>6</v>
      </c>
      <c r="AB285" s="587">
        <v>396</v>
      </c>
      <c r="AC285" s="587">
        <v>377</v>
      </c>
      <c r="AD285" s="587">
        <v>371</v>
      </c>
      <c r="AE285" s="587">
        <v>396</v>
      </c>
    </row>
    <row r="286" spans="24:31" ht="15.75" thickBot="1" x14ac:dyDescent="0.3">
      <c r="X286" s="507"/>
      <c r="Z286" s="587">
        <v>2018</v>
      </c>
      <c r="AA286" s="587">
        <v>7</v>
      </c>
      <c r="AB286" s="587">
        <v>433</v>
      </c>
      <c r="AC286" s="587">
        <v>370</v>
      </c>
      <c r="AD286" s="587">
        <v>368</v>
      </c>
      <c r="AE286" s="587">
        <v>408</v>
      </c>
    </row>
    <row r="287" spans="24:31" ht="15.75" thickBot="1" x14ac:dyDescent="0.3">
      <c r="X287" s="507"/>
      <c r="Z287" s="587">
        <v>2018</v>
      </c>
      <c r="AA287" s="587">
        <v>8</v>
      </c>
      <c r="AB287" s="587">
        <v>415</v>
      </c>
      <c r="AC287" s="587">
        <v>399</v>
      </c>
      <c r="AD287" s="587">
        <v>373</v>
      </c>
      <c r="AE287" s="587">
        <v>407</v>
      </c>
    </row>
    <row r="288" spans="24:31" ht="15.75" thickBot="1" x14ac:dyDescent="0.3">
      <c r="X288" s="507"/>
      <c r="Z288" s="587">
        <v>2018</v>
      </c>
      <c r="AA288" s="587">
        <v>9</v>
      </c>
      <c r="AB288" s="587">
        <v>391</v>
      </c>
      <c r="AC288" s="587">
        <v>394</v>
      </c>
      <c r="AD288" s="587">
        <v>363</v>
      </c>
      <c r="AE288" s="587">
        <v>412</v>
      </c>
    </row>
    <row r="289" spans="24:31" ht="15.75" thickBot="1" x14ac:dyDescent="0.3">
      <c r="X289" s="507"/>
      <c r="Z289" s="587">
        <v>2018</v>
      </c>
      <c r="AA289" s="587">
        <v>10</v>
      </c>
      <c r="AB289" s="587">
        <v>421</v>
      </c>
      <c r="AC289" s="587">
        <v>392</v>
      </c>
      <c r="AD289" s="587">
        <v>358</v>
      </c>
      <c r="AE289" s="587">
        <v>394</v>
      </c>
    </row>
    <row r="290" spans="24:31" ht="15.75" thickBot="1" x14ac:dyDescent="0.3">
      <c r="X290" s="507"/>
      <c r="Z290" s="587">
        <v>2018</v>
      </c>
      <c r="AA290" s="587">
        <v>11</v>
      </c>
      <c r="AB290" s="587">
        <v>410</v>
      </c>
      <c r="AC290" s="587">
        <v>382</v>
      </c>
      <c r="AD290" s="587">
        <v>349</v>
      </c>
      <c r="AE290" s="587">
        <v>393</v>
      </c>
    </row>
    <row r="291" spans="24:31" ht="15.75" thickBot="1" x14ac:dyDescent="0.3">
      <c r="X291" s="507"/>
      <c r="Z291" s="587">
        <v>2018</v>
      </c>
      <c r="AA291" s="587">
        <v>12</v>
      </c>
      <c r="AB291" s="587">
        <v>381</v>
      </c>
      <c r="AC291" s="587">
        <v>364</v>
      </c>
      <c r="AD291" s="587">
        <v>342</v>
      </c>
      <c r="AE291" s="587">
        <v>391</v>
      </c>
    </row>
    <row r="292" spans="24:31" ht="15.75" thickBot="1" x14ac:dyDescent="0.3">
      <c r="X292" s="507"/>
      <c r="Z292" s="587">
        <v>2019</v>
      </c>
      <c r="AA292" s="587">
        <v>1</v>
      </c>
      <c r="AB292" s="587">
        <v>382</v>
      </c>
      <c r="AC292" s="587">
        <v>365</v>
      </c>
      <c r="AD292" s="587">
        <v>344</v>
      </c>
      <c r="AE292" s="587">
        <v>379</v>
      </c>
    </row>
    <row r="293" spans="24:31" ht="15.75" thickBot="1" x14ac:dyDescent="0.3">
      <c r="X293" s="507"/>
      <c r="Z293" s="587">
        <v>2019</v>
      </c>
      <c r="AA293" s="587">
        <v>2</v>
      </c>
      <c r="AB293" s="587">
        <v>383</v>
      </c>
      <c r="AC293" s="587">
        <v>356</v>
      </c>
      <c r="AD293" s="587">
        <v>314</v>
      </c>
      <c r="AE293" s="587">
        <v>359</v>
      </c>
    </row>
    <row r="294" spans="24:31" ht="15.75" thickBot="1" x14ac:dyDescent="0.3">
      <c r="X294" s="507"/>
      <c r="Z294" s="587">
        <v>2019</v>
      </c>
      <c r="AA294" s="587">
        <v>3</v>
      </c>
      <c r="AB294" s="587">
        <v>345</v>
      </c>
      <c r="AC294" s="587">
        <v>345</v>
      </c>
      <c r="AD294" s="587">
        <v>313</v>
      </c>
      <c r="AE294" s="587">
        <v>363</v>
      </c>
    </row>
    <row r="295" spans="24:31" ht="15.75" thickBot="1" x14ac:dyDescent="0.3">
      <c r="X295" s="507"/>
      <c r="Z295" s="587">
        <v>2019</v>
      </c>
      <c r="AA295" s="587">
        <v>4</v>
      </c>
      <c r="AB295" s="587">
        <v>342</v>
      </c>
      <c r="AC295" s="587">
        <v>351</v>
      </c>
      <c r="AD295" s="587">
        <v>331</v>
      </c>
      <c r="AE295" s="587">
        <v>360</v>
      </c>
    </row>
    <row r="296" spans="24:31" ht="15.75" thickBot="1" x14ac:dyDescent="0.3">
      <c r="X296" s="507"/>
      <c r="Z296" s="587">
        <v>2019</v>
      </c>
      <c r="AA296" s="587">
        <v>5</v>
      </c>
      <c r="AB296" s="587">
        <v>369</v>
      </c>
      <c r="AC296" s="587">
        <v>346</v>
      </c>
      <c r="AD296" s="587">
        <v>326</v>
      </c>
      <c r="AE296" s="587">
        <v>358</v>
      </c>
    </row>
    <row r="297" spans="24:31" ht="15.75" thickBot="1" x14ac:dyDescent="0.3">
      <c r="X297" s="507"/>
      <c r="Z297" s="587">
        <v>2019</v>
      </c>
      <c r="AA297" s="587">
        <v>6</v>
      </c>
      <c r="AB297" s="587">
        <v>370</v>
      </c>
      <c r="AC297" s="587">
        <v>341</v>
      </c>
      <c r="AD297" s="587">
        <v>321</v>
      </c>
      <c r="AE297" s="587">
        <v>364</v>
      </c>
    </row>
    <row r="298" spans="24:31" ht="15.75" thickBot="1" x14ac:dyDescent="0.3">
      <c r="X298" s="507"/>
      <c r="Z298" s="587">
        <v>2019</v>
      </c>
      <c r="AA298" s="587">
        <v>7</v>
      </c>
      <c r="AB298" s="587">
        <v>332</v>
      </c>
      <c r="AC298" s="587">
        <v>337</v>
      </c>
      <c r="AD298" s="587">
        <v>316</v>
      </c>
      <c r="AE298" s="587">
        <v>374</v>
      </c>
    </row>
    <row r="299" spans="24:31" ht="15.75" thickBot="1" x14ac:dyDescent="0.3">
      <c r="X299" s="507"/>
      <c r="Z299" s="587">
        <v>2019</v>
      </c>
      <c r="AA299" s="587">
        <v>8</v>
      </c>
      <c r="AB299" s="587">
        <v>355</v>
      </c>
      <c r="AC299" s="587">
        <v>324</v>
      </c>
      <c r="AD299" s="587">
        <v>315</v>
      </c>
      <c r="AE299" s="587">
        <v>384</v>
      </c>
    </row>
    <row r="300" spans="24:31" ht="15.75" thickBot="1" x14ac:dyDescent="0.3">
      <c r="X300" s="507"/>
      <c r="Z300" s="587">
        <v>2019</v>
      </c>
      <c r="AA300" s="587">
        <v>9</v>
      </c>
      <c r="AB300" s="587">
        <v>328</v>
      </c>
      <c r="AC300" s="587">
        <v>335</v>
      </c>
      <c r="AD300" s="587">
        <v>319</v>
      </c>
      <c r="AE300" s="587">
        <v>375</v>
      </c>
    </row>
    <row r="301" spans="24:31" ht="15.75" thickBot="1" x14ac:dyDescent="0.3">
      <c r="X301" s="507"/>
      <c r="Z301" s="587">
        <v>2019</v>
      </c>
      <c r="AA301" s="587">
        <v>10</v>
      </c>
      <c r="AB301" s="587">
        <v>316</v>
      </c>
      <c r="AC301" s="587">
        <v>336</v>
      </c>
      <c r="AD301" s="587">
        <v>307</v>
      </c>
      <c r="AE301" s="587">
        <v>339</v>
      </c>
    </row>
    <row r="302" spans="24:31" ht="15.75" thickBot="1" x14ac:dyDescent="0.3">
      <c r="X302" s="507"/>
      <c r="Z302" s="587">
        <v>2019</v>
      </c>
      <c r="AA302" s="587">
        <v>11</v>
      </c>
      <c r="AB302" s="587">
        <v>313</v>
      </c>
      <c r="AC302" s="587">
        <v>320</v>
      </c>
      <c r="AD302" s="587">
        <v>270</v>
      </c>
      <c r="AE302" s="587">
        <v>336</v>
      </c>
    </row>
    <row r="303" spans="24:31" ht="15.75" thickBot="1" x14ac:dyDescent="0.3">
      <c r="X303" s="507"/>
      <c r="Z303" s="587">
        <v>2019</v>
      </c>
      <c r="AA303" s="587">
        <v>12</v>
      </c>
      <c r="AB303" s="587">
        <v>279</v>
      </c>
      <c r="AC303" s="587">
        <v>296</v>
      </c>
      <c r="AD303" s="587">
        <v>274</v>
      </c>
      <c r="AE303" s="587">
        <v>322</v>
      </c>
    </row>
    <row r="304" spans="24:31" ht="15.75" thickBot="1" x14ac:dyDescent="0.3">
      <c r="X304" s="507"/>
      <c r="Z304" s="587">
        <v>2020</v>
      </c>
      <c r="AA304" s="587">
        <v>1</v>
      </c>
      <c r="AB304" s="587">
        <v>291</v>
      </c>
      <c r="AC304" s="587">
        <v>304</v>
      </c>
      <c r="AD304" s="587">
        <v>305</v>
      </c>
      <c r="AE304" s="587">
        <v>330</v>
      </c>
    </row>
    <row r="305" spans="24:31" ht="15.75" thickBot="1" x14ac:dyDescent="0.3">
      <c r="X305" s="507"/>
      <c r="Z305" s="587">
        <v>2020</v>
      </c>
      <c r="AA305" s="587">
        <v>2</v>
      </c>
      <c r="AB305" s="587">
        <v>297</v>
      </c>
      <c r="AC305" s="587">
        <v>308</v>
      </c>
      <c r="AD305" s="587">
        <v>306</v>
      </c>
      <c r="AE305" s="587" t="s">
        <v>1135</v>
      </c>
    </row>
    <row r="306" spans="24:31" x14ac:dyDescent="0.25">
      <c r="X306" s="507"/>
    </row>
    <row r="307" spans="24:31" x14ac:dyDescent="0.25">
      <c r="X307" s="50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D72:D74">
    <cfRule type="duplicateValues" dxfId="2" priority="2"/>
  </conditionalFormatting>
  <conditionalFormatting sqref="D81 D79">
    <cfRule type="duplicateValues" dxfId="1" priority="1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Y201"/>
  <sheetViews>
    <sheetView topLeftCell="A14" workbookViewId="0">
      <selection activeCell="M32" sqref="M32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887</v>
      </c>
      <c r="I1" t="s">
        <v>888</v>
      </c>
      <c r="J1">
        <f>1000000*3600/1000000000000000</f>
        <v>3.5999999999999998E-6</v>
      </c>
      <c r="K1" t="s">
        <v>889</v>
      </c>
    </row>
    <row r="2" spans="1:25" x14ac:dyDescent="0.25">
      <c r="B2" t="s">
        <v>890</v>
      </c>
      <c r="I2" t="s">
        <v>835</v>
      </c>
      <c r="J2">
        <f>'H-DRI literature and calcs'!AO130</f>
        <v>120</v>
      </c>
      <c r="K2" t="s">
        <v>434</v>
      </c>
    </row>
    <row r="3" spans="1:25" x14ac:dyDescent="0.25">
      <c r="B3" s="462">
        <v>1</v>
      </c>
      <c r="C3" s="454" t="s">
        <v>891</v>
      </c>
      <c r="I3" t="s">
        <v>892</v>
      </c>
      <c r="J3">
        <f>1/8</f>
        <v>0.125</v>
      </c>
    </row>
    <row r="4" spans="1:25" ht="15.75" thickBot="1" x14ac:dyDescent="0.3">
      <c r="B4">
        <v>11.914999999999999</v>
      </c>
      <c r="C4" t="s">
        <v>893</v>
      </c>
    </row>
    <row r="5" spans="1:25" x14ac:dyDescent="0.25">
      <c r="A5" t="s">
        <v>966</v>
      </c>
      <c r="B5">
        <v>1.1499999999999999</v>
      </c>
      <c r="C5" s="118" t="s">
        <v>815</v>
      </c>
      <c r="K5" s="390"/>
      <c r="L5" s="391"/>
      <c r="M5" s="391"/>
      <c r="N5" s="391"/>
      <c r="O5" s="391"/>
      <c r="P5" s="391"/>
      <c r="Q5" s="391"/>
      <c r="R5" s="391"/>
      <c r="S5" s="391"/>
      <c r="T5" s="391"/>
      <c r="U5" s="391"/>
      <c r="V5" s="391"/>
      <c r="W5" s="391"/>
      <c r="X5" s="391"/>
      <c r="Y5" s="392"/>
    </row>
    <row r="6" spans="1:25" x14ac:dyDescent="0.25">
      <c r="B6" s="268">
        <v>0.85343228200371057</v>
      </c>
      <c r="C6" t="s">
        <v>967</v>
      </c>
      <c r="K6" s="393"/>
      <c r="Y6" s="394"/>
    </row>
    <row r="7" spans="1:25" x14ac:dyDescent="0.25">
      <c r="A7" s="11" t="s">
        <v>965</v>
      </c>
      <c r="B7" s="8"/>
      <c r="C7" s="8"/>
      <c r="D7" s="8"/>
      <c r="E7" s="8"/>
      <c r="F7" s="8"/>
      <c r="G7" s="8"/>
      <c r="H7" s="8"/>
      <c r="I7" s="8"/>
      <c r="K7" s="393"/>
      <c r="Y7" s="394"/>
    </row>
    <row r="8" spans="1:25" x14ac:dyDescent="0.25">
      <c r="A8" s="463" t="s">
        <v>894</v>
      </c>
      <c r="B8" t="s">
        <v>964</v>
      </c>
      <c r="C8" s="268">
        <v>1</v>
      </c>
      <c r="D8" t="s">
        <v>895</v>
      </c>
      <c r="K8" s="393"/>
      <c r="Y8" s="394"/>
    </row>
    <row r="9" spans="1:25" x14ac:dyDescent="0.25">
      <c r="B9" t="s">
        <v>896</v>
      </c>
      <c r="C9" s="363">
        <f>'H-DRI literature and calcs'!AG137*1000000*J1</f>
        <v>2.7107999999999999</v>
      </c>
      <c r="D9" t="s">
        <v>142</v>
      </c>
      <c r="K9" s="393"/>
      <c r="Y9" s="394"/>
    </row>
    <row r="10" spans="1:25" x14ac:dyDescent="0.25">
      <c r="B10" s="480" t="s">
        <v>897</v>
      </c>
      <c r="C10" s="481">
        <v>0</v>
      </c>
      <c r="D10" s="480" t="s">
        <v>895</v>
      </c>
      <c r="E10" s="480"/>
      <c r="K10" s="393"/>
      <c r="Y10" s="394"/>
    </row>
    <row r="11" spans="1:25" x14ac:dyDescent="0.25">
      <c r="B11" s="480" t="s">
        <v>898</v>
      </c>
      <c r="C11" s="480">
        <f>'[16]Facility technicals and LCOE'!E23/1000000</f>
        <v>1</v>
      </c>
      <c r="D11" s="480" t="s">
        <v>895</v>
      </c>
      <c r="E11" s="480"/>
      <c r="F11" s="480"/>
      <c r="K11" s="393"/>
      <c r="Y11" s="394"/>
    </row>
    <row r="12" spans="1:25" x14ac:dyDescent="0.25">
      <c r="K12" s="393"/>
      <c r="Y12" s="394"/>
    </row>
    <row r="13" spans="1:25" x14ac:dyDescent="0.25">
      <c r="B13" t="s">
        <v>899</v>
      </c>
      <c r="C13" s="268">
        <f>C8+C9</f>
        <v>3.7107999999999999</v>
      </c>
      <c r="D13" t="s">
        <v>900</v>
      </c>
      <c r="K13" s="393"/>
      <c r="Y13" s="394"/>
    </row>
    <row r="14" spans="1:25" x14ac:dyDescent="0.25">
      <c r="B14" t="s">
        <v>901</v>
      </c>
      <c r="C14" s="363">
        <f>C8/C13</f>
        <v>0.26948366928964107</v>
      </c>
      <c r="D14" t="s">
        <v>833</v>
      </c>
      <c r="K14" s="393"/>
      <c r="S14" s="464"/>
      <c r="Y14" s="394"/>
    </row>
    <row r="15" spans="1:25" x14ac:dyDescent="0.25">
      <c r="B15" t="s">
        <v>901</v>
      </c>
      <c r="C15" s="363">
        <f>C9/C13</f>
        <v>0.73051633071035893</v>
      </c>
      <c r="D15" t="s">
        <v>38</v>
      </c>
      <c r="K15" s="393"/>
      <c r="O15" s="465"/>
      <c r="U15" s="665"/>
      <c r="V15" s="665"/>
      <c r="Y15" s="394"/>
    </row>
    <row r="16" spans="1:25" x14ac:dyDescent="0.25">
      <c r="K16" s="393"/>
      <c r="S16" s="465"/>
      <c r="Y16" s="394"/>
    </row>
    <row r="17" spans="1:25" x14ac:dyDescent="0.25">
      <c r="B17" s="480" t="s">
        <v>902</v>
      </c>
      <c r="C17" s="480"/>
      <c r="D17" s="480" t="s">
        <v>903</v>
      </c>
      <c r="E17" s="480"/>
      <c r="K17" s="393"/>
      <c r="Y17" s="394"/>
    </row>
    <row r="18" spans="1:25" x14ac:dyDescent="0.25">
      <c r="K18" s="393"/>
      <c r="Y18" s="394"/>
    </row>
    <row r="19" spans="1:25" x14ac:dyDescent="0.25">
      <c r="A19" s="463" t="s">
        <v>904</v>
      </c>
      <c r="B19" s="463" t="s">
        <v>905</v>
      </c>
      <c r="C19" s="463">
        <f>'H-DRI literature and calcs'!AG131</f>
        <v>184</v>
      </c>
      <c r="D19" s="463" t="s">
        <v>857</v>
      </c>
      <c r="K19" s="393"/>
      <c r="Y19" s="394"/>
    </row>
    <row r="20" spans="1:25" x14ac:dyDescent="0.25">
      <c r="C20">
        <f>C19*B5</f>
        <v>211.6</v>
      </c>
      <c r="D20" t="s">
        <v>681</v>
      </c>
      <c r="K20" s="393"/>
      <c r="Y20" s="394"/>
    </row>
    <row r="21" spans="1:25" x14ac:dyDescent="0.25">
      <c r="B21" t="s">
        <v>907</v>
      </c>
      <c r="C21" s="441">
        <f>C20*B4</f>
        <v>2521.2139999999999</v>
      </c>
      <c r="D21" t="s">
        <v>906</v>
      </c>
      <c r="K21" s="393"/>
      <c r="Y21" s="394"/>
    </row>
    <row r="22" spans="1:25" x14ac:dyDescent="0.25">
      <c r="B22" s="480"/>
      <c r="C22" s="483">
        <f>C21</f>
        <v>2521.2139999999999</v>
      </c>
      <c r="D22" s="480" t="s">
        <v>908</v>
      </c>
      <c r="E22" s="480"/>
      <c r="K22" s="466"/>
      <c r="Y22" s="394"/>
    </row>
    <row r="23" spans="1:25" x14ac:dyDescent="0.25">
      <c r="A23" t="s">
        <v>222</v>
      </c>
      <c r="B23" t="s">
        <v>699</v>
      </c>
      <c r="C23" s="441">
        <f>'AMSA reports'!O13*H23</f>
        <v>725.14525500322793</v>
      </c>
      <c r="D23" t="s">
        <v>909</v>
      </c>
      <c r="H23" s="285">
        <v>0.5</v>
      </c>
      <c r="I23" t="s">
        <v>982</v>
      </c>
      <c r="K23" s="393"/>
      <c r="Y23" s="394"/>
    </row>
    <row r="24" spans="1:25" x14ac:dyDescent="0.25">
      <c r="B24" t="s">
        <v>910</v>
      </c>
      <c r="C24" s="441">
        <f>C23*B6</f>
        <v>618.86236976156738</v>
      </c>
      <c r="D24" t="s">
        <v>911</v>
      </c>
      <c r="K24" s="393"/>
      <c r="Y24" s="394"/>
    </row>
    <row r="25" spans="1:25" ht="15.75" thickBot="1" x14ac:dyDescent="0.3">
      <c r="K25" s="393"/>
      <c r="Y25" s="394"/>
    </row>
    <row r="26" spans="1:25" x14ac:dyDescent="0.25">
      <c r="K26" s="391"/>
      <c r="L26" s="391"/>
      <c r="M26" s="391"/>
      <c r="N26" s="391"/>
      <c r="O26" s="391"/>
      <c r="P26" s="391"/>
      <c r="Q26" s="391"/>
      <c r="R26" s="391"/>
      <c r="S26" s="391"/>
      <c r="T26" s="391"/>
      <c r="U26" s="391"/>
      <c r="V26" s="391"/>
      <c r="W26" s="391"/>
      <c r="X26" s="391"/>
      <c r="Y26" s="391"/>
    </row>
    <row r="27" spans="1:25" x14ac:dyDescent="0.25">
      <c r="A27" s="11" t="s">
        <v>983</v>
      </c>
      <c r="B27" s="8"/>
      <c r="C27" s="8"/>
      <c r="D27" s="8"/>
      <c r="E27" s="8"/>
      <c r="F27" s="8"/>
      <c r="G27" s="8"/>
      <c r="H27" s="8"/>
      <c r="I27" s="8"/>
    </row>
    <row r="28" spans="1:25" x14ac:dyDescent="0.25">
      <c r="C28" s="287"/>
      <c r="E28" s="18">
        <v>2020</v>
      </c>
      <c r="F28" s="423">
        <v>2030</v>
      </c>
      <c r="G28" s="423">
        <v>2050</v>
      </c>
    </row>
    <row r="29" spans="1:25" x14ac:dyDescent="0.25">
      <c r="F29" s="467"/>
      <c r="G29" s="467"/>
    </row>
    <row r="30" spans="1:25" ht="21" x14ac:dyDescent="0.35">
      <c r="A30" s="468" t="s">
        <v>917</v>
      </c>
      <c r="B30" t="s">
        <v>896</v>
      </c>
      <c r="C30" s="287">
        <f>'[16]Facility technicals and LCOE'!M56*3.6*'Summary Hydrogen DRI new'!B3/1000000</f>
        <v>10.928571428571427</v>
      </c>
      <c r="D30" t="s">
        <v>142</v>
      </c>
      <c r="F30" s="467"/>
      <c r="G30" s="467"/>
      <c r="H30" t="s">
        <v>913</v>
      </c>
      <c r="I30" t="s">
        <v>914</v>
      </c>
      <c r="K30" s="442"/>
    </row>
    <row r="31" spans="1:25" x14ac:dyDescent="0.25">
      <c r="B31" t="s">
        <v>915</v>
      </c>
      <c r="C31" s="287">
        <f>C30*C34</f>
        <v>6.12</v>
      </c>
      <c r="D31" t="s">
        <v>142</v>
      </c>
      <c r="F31" s="467"/>
      <c r="G31" s="467"/>
      <c r="H31" s="459">
        <f>C31*1000000000/J2</f>
        <v>51000000</v>
      </c>
      <c r="I31" s="303">
        <f>H31/1000000000</f>
        <v>5.0999999999999997E-2</v>
      </c>
      <c r="O31" s="18" t="s">
        <v>1568</v>
      </c>
      <c r="P31" s="18"/>
      <c r="Q31" s="18"/>
      <c r="R31" s="18"/>
      <c r="S31" s="18"/>
      <c r="T31" s="18"/>
      <c r="U31" s="18" t="s">
        <v>393</v>
      </c>
      <c r="V31" s="18"/>
      <c r="W31" s="18" t="s">
        <v>738</v>
      </c>
    </row>
    <row r="32" spans="1:25" x14ac:dyDescent="0.25">
      <c r="B32" t="s">
        <v>916</v>
      </c>
      <c r="C32" s="303">
        <f>I31/J3</f>
        <v>0.40799999999999997</v>
      </c>
      <c r="D32" t="s">
        <v>895</v>
      </c>
      <c r="F32" s="467"/>
      <c r="G32" s="467"/>
      <c r="K32" s="623"/>
      <c r="L32" s="623"/>
      <c r="M32" s="624" t="s">
        <v>1537</v>
      </c>
      <c r="N32" s="625"/>
      <c r="O32" s="626"/>
      <c r="P32" s="626"/>
      <c r="Q32" s="598"/>
      <c r="R32" s="596"/>
      <c r="S32" s="596"/>
      <c r="T32" s="596"/>
      <c r="U32" s="596" t="s">
        <v>1393</v>
      </c>
    </row>
    <row r="33" spans="1:25" x14ac:dyDescent="0.25">
      <c r="I33" s="363"/>
      <c r="K33" s="622" t="s">
        <v>1513</v>
      </c>
      <c r="L33" s="600" t="s">
        <v>1538</v>
      </c>
      <c r="M33" s="600" t="s">
        <v>1539</v>
      </c>
      <c r="N33" s="597" t="s">
        <v>919</v>
      </c>
      <c r="O33" s="598" t="s">
        <v>902</v>
      </c>
      <c r="P33" s="598" t="s">
        <v>902</v>
      </c>
      <c r="Q33" s="598" t="s">
        <v>902</v>
      </c>
      <c r="R33" s="598" t="s">
        <v>902</v>
      </c>
      <c r="S33" s="598" t="s">
        <v>902</v>
      </c>
      <c r="T33" s="598" t="s">
        <v>902</v>
      </c>
      <c r="U33" s="598" t="s">
        <v>1592</v>
      </c>
      <c r="V33" s="598" t="s">
        <v>1569</v>
      </c>
      <c r="W33" s="598" t="s">
        <v>910</v>
      </c>
      <c r="X33" s="598" t="s">
        <v>1030</v>
      </c>
      <c r="Y33" s="598" t="s">
        <v>1028</v>
      </c>
    </row>
    <row r="34" spans="1:25" x14ac:dyDescent="0.25">
      <c r="A34" s="468" t="s">
        <v>917</v>
      </c>
      <c r="B34" s="468" t="s">
        <v>918</v>
      </c>
      <c r="C34" s="468">
        <f>'H-DRI literature and calcs'!AC59</f>
        <v>0.56000000000000005</v>
      </c>
      <c r="D34" s="468"/>
      <c r="E34" s="468"/>
      <c r="F34" s="468">
        <f>'H-DRI literature and calcs'!AD59</f>
        <v>0.63</v>
      </c>
      <c r="G34" s="468">
        <f>'H-DRI literature and calcs'!AE59</f>
        <v>0.67</v>
      </c>
      <c r="K34" t="s">
        <v>538</v>
      </c>
      <c r="L34" t="s">
        <v>39</v>
      </c>
      <c r="M34" s="602"/>
      <c r="N34" s="603"/>
      <c r="O34" s="606">
        <v>20.407577497129733</v>
      </c>
      <c r="P34" s="596"/>
      <c r="Q34" s="605"/>
      <c r="R34" s="596"/>
      <c r="S34" s="596"/>
      <c r="T34" s="596"/>
    </row>
    <row r="35" spans="1:25" x14ac:dyDescent="0.25">
      <c r="B35" t="s">
        <v>919</v>
      </c>
      <c r="C35" s="268">
        <f>1/C34</f>
        <v>1.7857142857142856</v>
      </c>
      <c r="D35" s="268"/>
      <c r="E35" s="268"/>
      <c r="F35" s="268">
        <f>1/F34</f>
        <v>1.5873015873015872</v>
      </c>
      <c r="G35" s="268">
        <f>1/G34</f>
        <v>1.4925373134328357</v>
      </c>
      <c r="L35" t="s">
        <v>38</v>
      </c>
      <c r="M35" s="602"/>
      <c r="N35" s="603"/>
      <c r="O35" s="605"/>
      <c r="P35" s="607">
        <v>4.0379205223880605</v>
      </c>
      <c r="Q35" s="605"/>
      <c r="R35" s="596"/>
      <c r="S35" s="596"/>
      <c r="T35" s="596"/>
    </row>
    <row r="36" spans="1:25" x14ac:dyDescent="0.25">
      <c r="B36" t="s">
        <v>902</v>
      </c>
      <c r="C36" s="287">
        <f>C31</f>
        <v>6.12</v>
      </c>
      <c r="D36" t="s">
        <v>920</v>
      </c>
      <c r="F36" s="469">
        <f>C36*(F34/$C$34)</f>
        <v>6.8849999999999998</v>
      </c>
      <c r="G36" s="469">
        <f>C36*(G34/$C$34)</f>
        <v>7.3221428571428575</v>
      </c>
      <c r="I36" t="s">
        <v>921</v>
      </c>
      <c r="L36" t="s">
        <v>42</v>
      </c>
      <c r="M36" s="602"/>
      <c r="N36" s="603"/>
      <c r="O36" s="605"/>
      <c r="P36" s="605"/>
      <c r="Q36" s="607">
        <v>12.360988518943744</v>
      </c>
      <c r="R36" s="596"/>
      <c r="S36" s="596"/>
      <c r="T36" s="596"/>
    </row>
    <row r="37" spans="1:25" x14ac:dyDescent="0.25">
      <c r="B37" t="s">
        <v>902</v>
      </c>
      <c r="C37" s="303">
        <f>C32</f>
        <v>0.40799999999999997</v>
      </c>
      <c r="D37" t="s">
        <v>922</v>
      </c>
      <c r="F37" s="469">
        <f>C37*(F36/C36)</f>
        <v>0.45899999999999996</v>
      </c>
      <c r="G37" s="469">
        <f>C37*(G36/C36)</f>
        <v>0.4881428571428571</v>
      </c>
      <c r="I37" t="s">
        <v>921</v>
      </c>
      <c r="L37" t="s">
        <v>591</v>
      </c>
      <c r="M37" s="602"/>
      <c r="N37" s="603"/>
      <c r="O37" s="596"/>
      <c r="P37" s="596"/>
      <c r="Q37" s="596"/>
      <c r="R37" s="609">
        <v>0.59433505502672301</v>
      </c>
      <c r="S37" s="596"/>
      <c r="T37" s="596"/>
    </row>
    <row r="38" spans="1:25" x14ac:dyDescent="0.25">
      <c r="B38" t="s">
        <v>902</v>
      </c>
      <c r="C38" s="287">
        <f>C30</f>
        <v>10.928571428571427</v>
      </c>
      <c r="D38" t="s">
        <v>923</v>
      </c>
      <c r="F38" s="467"/>
      <c r="G38" s="467"/>
      <c r="I38" t="s">
        <v>921</v>
      </c>
      <c r="L38" t="s">
        <v>588</v>
      </c>
      <c r="M38" s="602"/>
      <c r="N38" s="604"/>
      <c r="R38" s="605"/>
      <c r="S38" s="610">
        <v>3.8314510321037716</v>
      </c>
      <c r="T38" s="605"/>
    </row>
    <row r="39" spans="1:25" x14ac:dyDescent="0.25">
      <c r="L39" s="602"/>
      <c r="M39" s="99" t="s">
        <v>40</v>
      </c>
      <c r="N39" s="604"/>
      <c r="R39" s="605"/>
      <c r="S39" s="596"/>
      <c r="T39" s="596"/>
      <c r="U39">
        <v>2.81</v>
      </c>
      <c r="W39" s="435">
        <v>4132.8716804986489</v>
      </c>
      <c r="X39" s="435">
        <v>4099.6387421612053</v>
      </c>
      <c r="Y39" s="435">
        <v>20</v>
      </c>
    </row>
    <row r="40" spans="1:25" x14ac:dyDescent="0.25">
      <c r="A40" t="s">
        <v>924</v>
      </c>
      <c r="B40" t="s">
        <v>925</v>
      </c>
      <c r="C40" s="285">
        <f>'[16]Facility technicals and LCOE'!AA24</f>
        <v>0.9</v>
      </c>
      <c r="L40" s="608"/>
      <c r="M40" s="99" t="s">
        <v>1485</v>
      </c>
      <c r="N40" s="604"/>
      <c r="R40" s="605"/>
      <c r="T40" s="596">
        <v>0.3</v>
      </c>
    </row>
    <row r="41" spans="1:25" x14ac:dyDescent="0.25">
      <c r="A41" s="468" t="s">
        <v>917</v>
      </c>
      <c r="B41" s="468" t="s">
        <v>926</v>
      </c>
      <c r="C41" s="468">
        <f>'H-DRI literature and calcs'!AC63</f>
        <v>1800</v>
      </c>
      <c r="D41" s="468" t="s">
        <v>788</v>
      </c>
      <c r="E41" s="468"/>
      <c r="F41" s="468">
        <f>'H-DRI literature and calcs'!AD63</f>
        <v>1500</v>
      </c>
      <c r="G41" s="468">
        <f>'H-DRI literature and calcs'!AE63</f>
        <v>900</v>
      </c>
    </row>
    <row r="42" spans="1:25" x14ac:dyDescent="0.25">
      <c r="A42" s="16" t="s">
        <v>927</v>
      </c>
      <c r="B42" t="s">
        <v>926</v>
      </c>
      <c r="C42" s="441">
        <f>C41*$B$4</f>
        <v>21447</v>
      </c>
      <c r="D42" t="s">
        <v>928</v>
      </c>
      <c r="F42" s="441">
        <f>F41*$B$4</f>
        <v>17872.5</v>
      </c>
      <c r="G42" s="441">
        <f>G41*$B$4</f>
        <v>10723.5</v>
      </c>
    </row>
    <row r="43" spans="1:25" x14ac:dyDescent="0.25">
      <c r="B43" t="s">
        <v>907</v>
      </c>
      <c r="C43" s="441">
        <f>C42</f>
        <v>21447</v>
      </c>
      <c r="D43" t="s">
        <v>929</v>
      </c>
      <c r="F43" s="441">
        <f>F42</f>
        <v>17872.5</v>
      </c>
      <c r="G43" s="441">
        <f>G42</f>
        <v>10723.5</v>
      </c>
    </row>
    <row r="44" spans="1:25" x14ac:dyDescent="0.25">
      <c r="C44" s="268"/>
      <c r="F44" s="268"/>
      <c r="G44" s="268"/>
    </row>
    <row r="45" spans="1:25" x14ac:dyDescent="0.25">
      <c r="C45" s="301"/>
      <c r="F45" s="441"/>
      <c r="G45" s="441"/>
    </row>
    <row r="46" spans="1:25" x14ac:dyDescent="0.25">
      <c r="A46" s="468" t="s">
        <v>917</v>
      </c>
      <c r="B46" s="468" t="s">
        <v>930</v>
      </c>
      <c r="C46" s="468">
        <f>'H-DRI literature and calcs'!AC67</f>
        <v>60000</v>
      </c>
      <c r="D46" s="468" t="s">
        <v>931</v>
      </c>
      <c r="F46" s="468">
        <f>'H-DRI literature and calcs'!AD67</f>
        <v>75000</v>
      </c>
      <c r="G46" s="468">
        <f>'H-DRI literature and calcs'!AE67</f>
        <v>12500</v>
      </c>
    </row>
    <row r="47" spans="1:25" x14ac:dyDescent="0.25">
      <c r="B47" t="s">
        <v>932</v>
      </c>
      <c r="C47">
        <f>ROUNDUP(C46/(8760*$C$40),0)</f>
        <v>8</v>
      </c>
      <c r="D47" t="s">
        <v>754</v>
      </c>
      <c r="F47">
        <f>ROUNDUP(F46/(8760*$C$40),0)</f>
        <v>10</v>
      </c>
      <c r="G47">
        <f>ROUNDUP(G46/(8760*$C$40),0)</f>
        <v>2</v>
      </c>
    </row>
    <row r="49" spans="1:9" x14ac:dyDescent="0.25">
      <c r="A49" s="18" t="s">
        <v>934</v>
      </c>
    </row>
    <row r="50" spans="1:9" x14ac:dyDescent="0.25">
      <c r="C50" s="287"/>
      <c r="F50" s="423">
        <v>2030</v>
      </c>
      <c r="G50" s="423">
        <v>2050</v>
      </c>
    </row>
    <row r="51" spans="1:9" x14ac:dyDescent="0.25">
      <c r="F51" s="467"/>
      <c r="G51" s="467"/>
    </row>
    <row r="52" spans="1:9" x14ac:dyDescent="0.25">
      <c r="A52" s="468" t="s">
        <v>912</v>
      </c>
      <c r="B52" t="s">
        <v>896</v>
      </c>
      <c r="C52" s="287">
        <f>'[16]Facility technicals and LCOE'!M78*3.6*'Summary Hydrogen DRI new'!B3/1000000</f>
        <v>0</v>
      </c>
      <c r="D52" t="s">
        <v>142</v>
      </c>
      <c r="F52" s="467"/>
      <c r="G52" s="467"/>
      <c r="H52" t="s">
        <v>913</v>
      </c>
      <c r="I52" t="s">
        <v>914</v>
      </c>
    </row>
    <row r="53" spans="1:9" x14ac:dyDescent="0.25">
      <c r="B53" t="s">
        <v>915</v>
      </c>
      <c r="C53" s="287">
        <f>C52*'[17]Cost effectiveness'!Z47</f>
        <v>0</v>
      </c>
      <c r="D53" t="s">
        <v>142</v>
      </c>
      <c r="F53" s="467"/>
      <c r="G53" s="467"/>
      <c r="H53" s="459" t="e">
        <f>C53*1000000000/J25</f>
        <v>#DIV/0!</v>
      </c>
      <c r="I53" s="303" t="e">
        <f>H53/1000000000</f>
        <v>#DIV/0!</v>
      </c>
    </row>
    <row r="54" spans="1:9" x14ac:dyDescent="0.25">
      <c r="B54" t="s">
        <v>916</v>
      </c>
      <c r="C54" s="303" t="e">
        <f>I53/J26</f>
        <v>#DIV/0!</v>
      </c>
      <c r="D54" t="s">
        <v>895</v>
      </c>
      <c r="F54" s="467"/>
      <c r="G54" s="467"/>
    </row>
    <row r="55" spans="1:9" x14ac:dyDescent="0.25">
      <c r="I55" s="363"/>
    </row>
    <row r="56" spans="1:9" x14ac:dyDescent="0.25">
      <c r="A56" s="468" t="s">
        <v>917</v>
      </c>
      <c r="B56" s="468" t="s">
        <v>918</v>
      </c>
      <c r="C56" s="472">
        <f>'H-DRI literature and calcs'!AF59</f>
        <v>0.63</v>
      </c>
      <c r="D56" s="468"/>
      <c r="E56" s="468"/>
      <c r="F56" s="472">
        <f>'H-DRI literature and calcs'!AG59</f>
        <v>0.65</v>
      </c>
      <c r="G56" s="472">
        <f>'H-DRI literature and calcs'!AH59</f>
        <v>0.7</v>
      </c>
    </row>
    <row r="57" spans="1:9" x14ac:dyDescent="0.25">
      <c r="B57" s="473" t="s">
        <v>919</v>
      </c>
      <c r="C57" s="474">
        <f>1/C56</f>
        <v>1.5873015873015872</v>
      </c>
      <c r="D57" s="474"/>
      <c r="E57" s="474"/>
      <c r="F57" s="474">
        <f>1/F56</f>
        <v>1.5384615384615383</v>
      </c>
      <c r="G57" s="474">
        <f>1/G56</f>
        <v>1.4285714285714286</v>
      </c>
    </row>
    <row r="58" spans="1:9" x14ac:dyDescent="0.25">
      <c r="B58" t="s">
        <v>902</v>
      </c>
      <c r="C58" s="287">
        <f>C53</f>
        <v>0</v>
      </c>
      <c r="D58" t="s">
        <v>920</v>
      </c>
      <c r="F58" s="469">
        <f>C58*(F56/$C$34)</f>
        <v>0</v>
      </c>
      <c r="G58" s="469">
        <f>C58*(G56/$C$34)</f>
        <v>0</v>
      </c>
      <c r="I58" t="s">
        <v>921</v>
      </c>
    </row>
    <row r="59" spans="1:9" x14ac:dyDescent="0.25">
      <c r="B59" t="s">
        <v>902</v>
      </c>
      <c r="C59" s="303" t="e">
        <f>C54</f>
        <v>#DIV/0!</v>
      </c>
      <c r="D59" t="s">
        <v>922</v>
      </c>
      <c r="F59" s="469" t="e">
        <f>C59*(F58/C58)</f>
        <v>#DIV/0!</v>
      </c>
      <c r="G59" s="469" t="e">
        <f>C59*(G58/C58)</f>
        <v>#DIV/0!</v>
      </c>
      <c r="I59" t="s">
        <v>921</v>
      </c>
    </row>
    <row r="60" spans="1:9" x14ac:dyDescent="0.25">
      <c r="B60" t="s">
        <v>902</v>
      </c>
      <c r="C60" s="287">
        <f>C52</f>
        <v>0</v>
      </c>
      <c r="D60" t="s">
        <v>923</v>
      </c>
      <c r="F60" s="467"/>
      <c r="G60" s="467"/>
      <c r="I60" t="s">
        <v>921</v>
      </c>
    </row>
    <row r="62" spans="1:9" x14ac:dyDescent="0.25">
      <c r="A62" s="473" t="s">
        <v>924</v>
      </c>
      <c r="B62" s="473" t="s">
        <v>925</v>
      </c>
      <c r="C62" s="475">
        <f>C40</f>
        <v>0.9</v>
      </c>
      <c r="I62" t="s">
        <v>401</v>
      </c>
    </row>
    <row r="63" spans="1:9" x14ac:dyDescent="0.25">
      <c r="A63" s="468" t="s">
        <v>917</v>
      </c>
      <c r="B63" s="468" t="s">
        <v>926</v>
      </c>
      <c r="C63" s="468">
        <f>'H-DRI literature and calcs'!AF63</f>
        <v>1400</v>
      </c>
      <c r="D63" s="468" t="s">
        <v>788</v>
      </c>
      <c r="E63" s="468"/>
      <c r="F63" s="468">
        <f>'H-DRI literature and calcs'!AG63</f>
        <v>850</v>
      </c>
      <c r="G63" s="468">
        <f>'H-DRI literature and calcs'!AH63</f>
        <v>700</v>
      </c>
      <c r="H63" t="s">
        <v>935</v>
      </c>
    </row>
    <row r="64" spans="1:9" x14ac:dyDescent="0.25">
      <c r="A64" s="16" t="s">
        <v>927</v>
      </c>
      <c r="B64" t="s">
        <v>926</v>
      </c>
      <c r="C64" s="441">
        <f>C63*$B$4</f>
        <v>16681</v>
      </c>
      <c r="D64" t="s">
        <v>928</v>
      </c>
      <c r="F64" s="441">
        <f>F63*$B$4</f>
        <v>10127.75</v>
      </c>
      <c r="G64" s="441">
        <f>G63*$B$4</f>
        <v>8340.5</v>
      </c>
    </row>
    <row r="65" spans="1:10" x14ac:dyDescent="0.25">
      <c r="B65" s="473" t="s">
        <v>907</v>
      </c>
      <c r="C65" s="476">
        <f>C64</f>
        <v>16681</v>
      </c>
      <c r="D65" s="473" t="s">
        <v>929</v>
      </c>
      <c r="E65" s="477">
        <f>C65</f>
        <v>16681</v>
      </c>
      <c r="F65" s="476">
        <f>F64</f>
        <v>10127.75</v>
      </c>
      <c r="G65" s="476">
        <f>G64</f>
        <v>8340.5</v>
      </c>
    </row>
    <row r="67" spans="1:10" x14ac:dyDescent="0.25">
      <c r="B67" t="s">
        <v>936</v>
      </c>
      <c r="C67" s="441"/>
      <c r="E67" s="285">
        <v>7.0000000000000007E-2</v>
      </c>
      <c r="F67" s="285">
        <v>0.05</v>
      </c>
      <c r="G67" s="285">
        <v>0.05</v>
      </c>
      <c r="H67" t="s">
        <v>937</v>
      </c>
    </row>
    <row r="68" spans="1:10" x14ac:dyDescent="0.25">
      <c r="B68" s="473" t="s">
        <v>938</v>
      </c>
      <c r="C68" s="476"/>
      <c r="D68" s="473"/>
      <c r="E68" s="478">
        <f>E67*E65</f>
        <v>1167.67</v>
      </c>
      <c r="F68" s="478">
        <f>F67*F65</f>
        <v>506.38750000000005</v>
      </c>
      <c r="G68" s="478">
        <f>G67*G65</f>
        <v>417.02500000000003</v>
      </c>
    </row>
    <row r="69" spans="1:10" x14ac:dyDescent="0.25">
      <c r="B69" s="468" t="s">
        <v>926</v>
      </c>
      <c r="C69" s="468">
        <f>'H-DRI literature and calcs'!AF62</f>
        <v>500</v>
      </c>
      <c r="D69" s="468" t="s">
        <v>788</v>
      </c>
      <c r="E69" s="468"/>
      <c r="F69" s="468">
        <f>'H-DRI literature and calcs'!AG62</f>
        <v>400</v>
      </c>
      <c r="G69" s="468">
        <f>'H-DRI literature and calcs'!AH62</f>
        <v>200</v>
      </c>
      <c r="H69" s="16" t="s">
        <v>939</v>
      </c>
    </row>
    <row r="70" spans="1:10" x14ac:dyDescent="0.25">
      <c r="C70" s="301">
        <f>C69*[16]Deflators!$G$15*[16]Deflators!$H$8</f>
        <v>6159.9497526283103</v>
      </c>
      <c r="E70" s="301">
        <f>C70</f>
        <v>6159.9497526283103</v>
      </c>
      <c r="F70" s="301">
        <f>F69*[16]Deflators!$G$15*[16]Deflators!$H$8</f>
        <v>4927.9598021026477</v>
      </c>
      <c r="G70" s="301">
        <f>G69*[16]Deflators!$G$15*[16]Deflators!$H$8</f>
        <v>2463.9799010513238</v>
      </c>
    </row>
    <row r="71" spans="1:10" x14ac:dyDescent="0.25">
      <c r="A71" s="468" t="s">
        <v>917</v>
      </c>
      <c r="B71" s="468" t="s">
        <v>930</v>
      </c>
      <c r="C71" s="468">
        <f>'H-DRI literature and calcs'!AF67</f>
        <v>75000</v>
      </c>
      <c r="D71" s="468" t="s">
        <v>931</v>
      </c>
      <c r="F71" s="468">
        <f>'H-DRI literature and calcs'!AG67</f>
        <v>95000</v>
      </c>
      <c r="G71" s="468">
        <f>'H-DRI literature and calcs'!AH67</f>
        <v>125000</v>
      </c>
      <c r="H71" t="s">
        <v>940</v>
      </c>
    </row>
    <row r="72" spans="1:10" x14ac:dyDescent="0.25">
      <c r="A72" s="468"/>
      <c r="B72" s="468"/>
      <c r="C72" s="468"/>
      <c r="D72" s="468" t="s">
        <v>931</v>
      </c>
      <c r="E72">
        <f>'H-DRI literature and calcs'!AF65</f>
        <v>60000</v>
      </c>
      <c r="F72" s="468">
        <f>'H-DRI literature and calcs'!AG65</f>
        <v>90000</v>
      </c>
      <c r="G72" s="468">
        <f>'H-DRI literature and calcs'!AH65</f>
        <v>100000</v>
      </c>
      <c r="H72" t="s">
        <v>939</v>
      </c>
    </row>
    <row r="73" spans="1:10" x14ac:dyDescent="0.25">
      <c r="B73" s="473" t="s">
        <v>932</v>
      </c>
      <c r="C73" s="473">
        <f>ROUNDUP(C71/(8760*$C$62),0)</f>
        <v>10</v>
      </c>
      <c r="D73" s="473" t="s">
        <v>754</v>
      </c>
      <c r="E73" s="473"/>
      <c r="F73" s="473">
        <f>ROUNDUP(F71/(8760*$C$62),0)</f>
        <v>13</v>
      </c>
      <c r="G73" s="473">
        <f>ROUNDUP(G71/(8760*$C$62),0)</f>
        <v>16</v>
      </c>
    </row>
    <row r="75" spans="1:10" x14ac:dyDescent="0.25">
      <c r="A75" s="18" t="s">
        <v>941</v>
      </c>
    </row>
    <row r="76" spans="1:10" x14ac:dyDescent="0.25">
      <c r="C76" s="287"/>
      <c r="F76" s="423">
        <v>2030</v>
      </c>
      <c r="G76" s="423">
        <v>2050</v>
      </c>
    </row>
    <row r="77" spans="1:10" x14ac:dyDescent="0.25">
      <c r="F77" s="467"/>
      <c r="G77" s="467"/>
    </row>
    <row r="78" spans="1:10" x14ac:dyDescent="0.25">
      <c r="A78" s="468" t="s">
        <v>912</v>
      </c>
      <c r="B78" t="s">
        <v>896</v>
      </c>
      <c r="C78" s="287">
        <f>'[16]Facility technicals and LCOE'!M103*3.6*'Summary Hydrogen DRI new'!B51/1000000</f>
        <v>0</v>
      </c>
      <c r="D78" t="s">
        <v>142</v>
      </c>
      <c r="F78" s="467"/>
      <c r="G78" s="467"/>
      <c r="H78" t="s">
        <v>913</v>
      </c>
      <c r="I78" t="s">
        <v>914</v>
      </c>
      <c r="J78" t="s">
        <v>921</v>
      </c>
    </row>
    <row r="79" spans="1:10" x14ac:dyDescent="0.25">
      <c r="B79" t="s">
        <v>915</v>
      </c>
      <c r="C79" s="287">
        <f>C78*'[17]Cost effectiveness'!Z72</f>
        <v>0</v>
      </c>
      <c r="D79" t="s">
        <v>142</v>
      </c>
      <c r="F79" s="467"/>
      <c r="G79" s="467"/>
      <c r="H79" s="459" t="e">
        <f>C79*1000000000/J50</f>
        <v>#DIV/0!</v>
      </c>
      <c r="I79" s="303" t="e">
        <f>H79/1000000000</f>
        <v>#DIV/0!</v>
      </c>
      <c r="J79" t="s">
        <v>921</v>
      </c>
    </row>
    <row r="80" spans="1:10" x14ac:dyDescent="0.25">
      <c r="B80" t="s">
        <v>916</v>
      </c>
      <c r="C80" s="303" t="e">
        <f>I79/J51</f>
        <v>#DIV/0!</v>
      </c>
      <c r="D80" t="s">
        <v>895</v>
      </c>
      <c r="F80" s="467"/>
      <c r="G80" s="467"/>
      <c r="J80" t="s">
        <v>921</v>
      </c>
    </row>
    <row r="81" spans="1:9" x14ac:dyDescent="0.25">
      <c r="I81" s="363"/>
    </row>
    <row r="82" spans="1:9" x14ac:dyDescent="0.25">
      <c r="A82" s="468" t="s">
        <v>917</v>
      </c>
      <c r="B82" s="468" t="s">
        <v>918</v>
      </c>
      <c r="C82" s="472">
        <f>'H-DRI literature and calcs'!AF60</f>
        <v>0.7</v>
      </c>
      <c r="D82" s="468"/>
      <c r="E82" s="468"/>
      <c r="F82" s="472">
        <f>'H-DRI literature and calcs'!AG60</f>
        <v>0.71</v>
      </c>
      <c r="G82" s="472">
        <f>'H-DRI literature and calcs'!AH60</f>
        <v>0.8</v>
      </c>
      <c r="H82" t="s">
        <v>935</v>
      </c>
    </row>
    <row r="83" spans="1:9" x14ac:dyDescent="0.25">
      <c r="B83" s="473" t="s">
        <v>919</v>
      </c>
      <c r="C83" s="474">
        <f>1/C82</f>
        <v>1.4285714285714286</v>
      </c>
      <c r="D83" s="474"/>
      <c r="E83" s="474"/>
      <c r="F83" s="474">
        <f>1/F82</f>
        <v>1.4084507042253522</v>
      </c>
      <c r="G83" s="474">
        <f>1/G82</f>
        <v>1.25</v>
      </c>
    </row>
    <row r="84" spans="1:9" x14ac:dyDescent="0.25">
      <c r="B84" t="s">
        <v>902</v>
      </c>
      <c r="C84" s="287">
        <f>C79</f>
        <v>0</v>
      </c>
      <c r="D84" t="s">
        <v>920</v>
      </c>
      <c r="F84" s="469">
        <f>C84*(F82/$C$34)</f>
        <v>0</v>
      </c>
      <c r="G84" s="469">
        <f>C84*(G82/$C$34)</f>
        <v>0</v>
      </c>
    </row>
    <row r="85" spans="1:9" x14ac:dyDescent="0.25">
      <c r="B85" t="s">
        <v>902</v>
      </c>
      <c r="C85" s="303" t="e">
        <f>C80</f>
        <v>#DIV/0!</v>
      </c>
      <c r="D85" t="s">
        <v>922</v>
      </c>
      <c r="F85" s="469" t="e">
        <f>C85*(F84/C84)</f>
        <v>#DIV/0!</v>
      </c>
      <c r="G85" s="469" t="e">
        <f>C85*(G84/C84)</f>
        <v>#DIV/0!</v>
      </c>
    </row>
    <row r="86" spans="1:9" x14ac:dyDescent="0.25">
      <c r="B86" t="s">
        <v>902</v>
      </c>
      <c r="C86" s="287">
        <f>C78</f>
        <v>0</v>
      </c>
      <c r="D86" t="s">
        <v>923</v>
      </c>
      <c r="F86" s="467"/>
      <c r="G86" s="467"/>
    </row>
    <row r="88" spans="1:9" x14ac:dyDescent="0.25">
      <c r="A88" t="s">
        <v>924</v>
      </c>
      <c r="B88" t="s">
        <v>925</v>
      </c>
      <c r="C88" s="285"/>
    </row>
    <row r="89" spans="1:9" x14ac:dyDescent="0.25">
      <c r="A89" s="468" t="s">
        <v>917</v>
      </c>
      <c r="B89" s="468" t="s">
        <v>926</v>
      </c>
      <c r="C89" s="468">
        <f>'H-DRI literature and calcs'!AF62</f>
        <v>500</v>
      </c>
      <c r="D89" s="468" t="s">
        <v>788</v>
      </c>
      <c r="E89" s="468"/>
      <c r="F89" s="468">
        <f>'H-DRI literature and calcs'!AG62</f>
        <v>400</v>
      </c>
      <c r="G89" s="468">
        <f>'H-DRI literature and calcs'!AH62</f>
        <v>200</v>
      </c>
    </row>
    <row r="90" spans="1:9" x14ac:dyDescent="0.25">
      <c r="A90" s="16" t="s">
        <v>927</v>
      </c>
      <c r="B90" t="s">
        <v>926</v>
      </c>
      <c r="C90" s="441">
        <f>C89*$B$4</f>
        <v>5957.5</v>
      </c>
      <c r="D90" t="s">
        <v>928</v>
      </c>
      <c r="F90" s="441">
        <f>F89*$B$4</f>
        <v>4766</v>
      </c>
      <c r="G90" s="441">
        <f>G89*$B$4</f>
        <v>2383</v>
      </c>
      <c r="H90" t="s">
        <v>942</v>
      </c>
    </row>
    <row r="91" spans="1:9" x14ac:dyDescent="0.25">
      <c r="B91" s="473" t="s">
        <v>907</v>
      </c>
      <c r="C91" s="476">
        <f>C90</f>
        <v>5957.5</v>
      </c>
      <c r="D91" s="473" t="s">
        <v>929</v>
      </c>
      <c r="E91" s="477">
        <f>C91</f>
        <v>5957.5</v>
      </c>
      <c r="F91" s="476">
        <f>F90</f>
        <v>4766</v>
      </c>
      <c r="G91" s="476">
        <f>G90</f>
        <v>2383</v>
      </c>
    </row>
    <row r="92" spans="1:9" x14ac:dyDescent="0.25">
      <c r="C92" s="441"/>
      <c r="F92" s="441"/>
      <c r="G92" s="441"/>
    </row>
    <row r="93" spans="1:9" x14ac:dyDescent="0.25">
      <c r="B93" t="s">
        <v>936</v>
      </c>
      <c r="C93" s="441"/>
      <c r="E93" s="285">
        <v>7.0000000000000007E-2</v>
      </c>
      <c r="F93" s="285">
        <v>0.05</v>
      </c>
      <c r="G93" s="285">
        <v>0.05</v>
      </c>
      <c r="H93" t="s">
        <v>937</v>
      </c>
    </row>
    <row r="94" spans="1:9" x14ac:dyDescent="0.25">
      <c r="B94" s="473" t="s">
        <v>938</v>
      </c>
      <c r="C94" s="476"/>
      <c r="D94" s="473"/>
      <c r="E94" s="478">
        <f>E93*E91</f>
        <v>417.02500000000003</v>
      </c>
      <c r="F94" s="478">
        <f>F93*F91</f>
        <v>238.3</v>
      </c>
      <c r="G94" s="478">
        <f>G93*G91</f>
        <v>119.15</v>
      </c>
    </row>
    <row r="95" spans="1:9" x14ac:dyDescent="0.25">
      <c r="C95" s="268"/>
      <c r="F95" s="268"/>
      <c r="G95" s="268"/>
    </row>
    <row r="96" spans="1:9" x14ac:dyDescent="0.25">
      <c r="C96" s="301"/>
      <c r="F96" s="441"/>
      <c r="G96" s="441"/>
    </row>
    <row r="97" spans="1:15" x14ac:dyDescent="0.25">
      <c r="A97" s="468" t="s">
        <v>917</v>
      </c>
      <c r="B97" s="468" t="s">
        <v>930</v>
      </c>
      <c r="C97" s="468">
        <f>C71</f>
        <v>75000</v>
      </c>
      <c r="D97" s="468" t="s">
        <v>931</v>
      </c>
      <c r="F97" s="468">
        <f>F71</f>
        <v>95000</v>
      </c>
      <c r="G97" s="468">
        <f>G71</f>
        <v>125000</v>
      </c>
      <c r="H97" t="s">
        <v>943</v>
      </c>
    </row>
    <row r="98" spans="1:1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789</v>
      </c>
    </row>
    <row r="99" spans="1:15" x14ac:dyDescent="0.25">
      <c r="B99" s="473" t="s">
        <v>932</v>
      </c>
      <c r="C99" s="473">
        <f>ROUNDUP(C97/(8760*$C$62),0)</f>
        <v>10</v>
      </c>
      <c r="D99" s="473" t="s">
        <v>754</v>
      </c>
      <c r="E99" s="473">
        <f>C99</f>
        <v>10</v>
      </c>
      <c r="F99" s="473">
        <f>ROUNDUP(F97/(8760*$C$62),0)</f>
        <v>13</v>
      </c>
      <c r="G99" s="473">
        <f>ROUNDUP(G97/(8760*$C$62),0)</f>
        <v>16</v>
      </c>
    </row>
    <row r="102" spans="1:15" ht="15.75" x14ac:dyDescent="0.25">
      <c r="O102" s="509"/>
    </row>
    <row r="103" spans="1:15" x14ac:dyDescent="0.25">
      <c r="A103" s="11" t="s">
        <v>944</v>
      </c>
      <c r="B103" s="8"/>
      <c r="C103" s="8"/>
      <c r="D103" s="8"/>
      <c r="E103" s="8"/>
      <c r="F103" s="8"/>
      <c r="G103" s="8"/>
      <c r="H103" s="8"/>
      <c r="I103" s="8"/>
    </row>
    <row r="104" spans="1:15" x14ac:dyDescent="0.25">
      <c r="F104" s="467"/>
      <c r="G104" s="467"/>
    </row>
    <row r="105" spans="1:15" x14ac:dyDescent="0.25">
      <c r="A105" s="463" t="s">
        <v>945</v>
      </c>
      <c r="B105" t="s">
        <v>946</v>
      </c>
      <c r="C105" s="321">
        <v>6.12</v>
      </c>
      <c r="D105" t="s">
        <v>142</v>
      </c>
      <c r="F105" s="467"/>
      <c r="G105" s="467"/>
    </row>
    <row r="106" spans="1:15" x14ac:dyDescent="0.25">
      <c r="B106" t="s">
        <v>947</v>
      </c>
      <c r="C106">
        <v>1.504</v>
      </c>
      <c r="D106" t="s">
        <v>948</v>
      </c>
      <c r="F106" s="467"/>
      <c r="G106" s="467"/>
    </row>
    <row r="107" spans="1:15" x14ac:dyDescent="0.25">
      <c r="B107" t="s">
        <v>949</v>
      </c>
      <c r="C107" s="320">
        <v>1</v>
      </c>
      <c r="D107" t="s">
        <v>895</v>
      </c>
      <c r="F107" s="467"/>
      <c r="G107" s="467"/>
    </row>
    <row r="108" spans="1:15" x14ac:dyDescent="0.25">
      <c r="B108" s="16" t="s">
        <v>902</v>
      </c>
      <c r="C108" s="16">
        <f>'H-DRI literature and calcs'!AE216*3.6/1.5</f>
        <v>0.74400000000000022</v>
      </c>
      <c r="D108" s="16" t="s">
        <v>950</v>
      </c>
      <c r="E108" s="16" t="s">
        <v>951</v>
      </c>
      <c r="F108" s="479"/>
      <c r="G108" s="479"/>
      <c r="H108" s="16" t="s">
        <v>952</v>
      </c>
    </row>
    <row r="109" spans="1:15" x14ac:dyDescent="0.25">
      <c r="B109" t="s">
        <v>902</v>
      </c>
      <c r="C109">
        <f>C106</f>
        <v>1.504</v>
      </c>
      <c r="D109" t="s">
        <v>37</v>
      </c>
      <c r="F109" s="467"/>
      <c r="G109" s="467"/>
    </row>
    <row r="110" spans="1:15" x14ac:dyDescent="0.25">
      <c r="B110" t="s">
        <v>902</v>
      </c>
      <c r="C110" s="321">
        <f>C105</f>
        <v>6.12</v>
      </c>
      <c r="D110" t="s">
        <v>920</v>
      </c>
    </row>
    <row r="111" spans="1:15" x14ac:dyDescent="0.25">
      <c r="B111" t="s">
        <v>902</v>
      </c>
      <c r="C111" s="320">
        <f>C107</f>
        <v>1</v>
      </c>
      <c r="D111" t="s">
        <v>833</v>
      </c>
    </row>
    <row r="113" spans="1:4" x14ac:dyDescent="0.25">
      <c r="A113" t="s">
        <v>924</v>
      </c>
      <c r="B113" t="s">
        <v>953</v>
      </c>
      <c r="C113" s="285">
        <v>0.9</v>
      </c>
      <c r="D113" t="s">
        <v>954</v>
      </c>
    </row>
    <row r="115" spans="1:4" x14ac:dyDescent="0.25">
      <c r="A115" s="463" t="s">
        <v>904</v>
      </c>
      <c r="B115" s="463" t="s">
        <v>905</v>
      </c>
      <c r="C115" s="463">
        <f>'H-DRI literature and calcs'!AK131</f>
        <v>230</v>
      </c>
      <c r="D115" s="463" t="s">
        <v>857</v>
      </c>
    </row>
    <row r="116" spans="1:4" x14ac:dyDescent="0.25">
      <c r="C116">
        <f>C115*[16]Deflators!D25</f>
        <v>264.5</v>
      </c>
      <c r="D116" t="s">
        <v>660</v>
      </c>
    </row>
    <row r="117" spans="1:4" x14ac:dyDescent="0.25">
      <c r="C117" s="435">
        <f>C116*$B$4</f>
        <v>3151.5174999999999</v>
      </c>
      <c r="D117" t="s">
        <v>955</v>
      </c>
    </row>
    <row r="118" spans="1:4" x14ac:dyDescent="0.25">
      <c r="B118" t="s">
        <v>907</v>
      </c>
      <c r="C118" s="287">
        <f>C117</f>
        <v>3151.5174999999999</v>
      </c>
      <c r="D118" t="s">
        <v>908</v>
      </c>
    </row>
    <row r="119" spans="1:4" x14ac:dyDescent="0.25">
      <c r="C119" s="287"/>
    </row>
    <row r="120" spans="1:4" x14ac:dyDescent="0.25">
      <c r="B120" t="s">
        <v>956</v>
      </c>
      <c r="C120" s="287"/>
    </row>
    <row r="121" spans="1:4" x14ac:dyDescent="0.25">
      <c r="A121" t="s">
        <v>222</v>
      </c>
      <c r="B121" t="s">
        <v>699</v>
      </c>
      <c r="C121" s="441">
        <f>'[16]AMSA 2018 IA report'!D12*[16]Prices!C52</f>
        <v>725.14525500322793</v>
      </c>
      <c r="D121" t="s">
        <v>909</v>
      </c>
    </row>
    <row r="122" spans="1:4" x14ac:dyDescent="0.25">
      <c r="B122" t="s">
        <v>910</v>
      </c>
      <c r="C122" s="441">
        <f>C121*[16]Deflators!H8</f>
        <v>618.86236976156738</v>
      </c>
      <c r="D122" t="s">
        <v>911</v>
      </c>
    </row>
    <row r="125" spans="1:4" x14ac:dyDescent="0.25">
      <c r="C125" s="321"/>
    </row>
    <row r="127" spans="1:4" x14ac:dyDescent="0.25">
      <c r="A127" t="s">
        <v>957</v>
      </c>
    </row>
    <row r="129" spans="1:9" x14ac:dyDescent="0.25">
      <c r="A129" t="s">
        <v>958</v>
      </c>
      <c r="C129" s="435">
        <f>[16]Prices!C16</f>
        <v>318.83499999999998</v>
      </c>
      <c r="D129" t="s">
        <v>959</v>
      </c>
    </row>
    <row r="130" spans="1:9" x14ac:dyDescent="0.25">
      <c r="C130">
        <f>C129*[16]Deflators!C15</f>
        <v>4162.2431015000002</v>
      </c>
      <c r="D130" t="s">
        <v>955</v>
      </c>
    </row>
    <row r="137" spans="1:9" x14ac:dyDescent="0.25">
      <c r="I137" s="598"/>
    </row>
    <row r="187" spans="12:13" x14ac:dyDescent="0.25">
      <c r="L187" s="18"/>
      <c r="M187" s="18"/>
    </row>
    <row r="188" spans="12:13" x14ac:dyDescent="0.25">
      <c r="L188" s="596"/>
    </row>
    <row r="189" spans="12:13" x14ac:dyDescent="0.25">
      <c r="L189" s="598"/>
      <c r="M189" s="598"/>
    </row>
    <row r="201" spans="2:2" ht="21" x14ac:dyDescent="0.35">
      <c r="B201" s="442"/>
    </row>
  </sheetData>
  <mergeCells count="1">
    <mergeCell ref="U15:V15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27" workbookViewId="0"/>
  </sheetViews>
  <sheetFormatPr defaultRowHeight="12.75" x14ac:dyDescent="0.2"/>
  <cols>
    <col min="1" max="1" width="9.140625" style="485"/>
    <col min="2" max="2" width="16.140625" style="485" customWidth="1"/>
    <col min="3" max="3" width="20.42578125" style="485" customWidth="1"/>
    <col min="4" max="16384" width="9.140625" style="485"/>
  </cols>
  <sheetData>
    <row r="1" spans="1:42" ht="15" x14ac:dyDescent="0.25">
      <c r="A1" s="503" t="s">
        <v>1454</v>
      </c>
      <c r="B1" s="503" t="s">
        <v>1026</v>
      </c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  <c r="AA1" s="503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</row>
    <row r="2" spans="1:42" ht="15" x14ac:dyDescent="0.25">
      <c r="A2" s="503"/>
      <c r="B2" s="503" t="s">
        <v>910</v>
      </c>
      <c r="C2" s="503" t="s">
        <v>1015</v>
      </c>
      <c r="D2" s="503" t="s">
        <v>703</v>
      </c>
      <c r="E2" s="503" t="s">
        <v>703</v>
      </c>
      <c r="F2" s="503" t="s">
        <v>703</v>
      </c>
      <c r="G2" s="503" t="s">
        <v>703</v>
      </c>
      <c r="H2" s="503" t="s">
        <v>703</v>
      </c>
      <c r="I2" s="503">
        <v>0</v>
      </c>
      <c r="J2" s="503">
        <v>619</v>
      </c>
      <c r="K2" s="503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3"/>
      <c r="X2" s="503"/>
      <c r="Y2" s="503"/>
      <c r="Z2" s="503"/>
      <c r="AA2" s="503"/>
      <c r="AB2" s="503"/>
      <c r="AC2" s="503"/>
      <c r="AD2" s="503"/>
      <c r="AE2" s="503"/>
      <c r="AF2" s="503"/>
      <c r="AG2" s="503"/>
      <c r="AH2" s="503"/>
      <c r="AI2" s="503"/>
      <c r="AJ2" s="503"/>
      <c r="AK2" s="503"/>
      <c r="AL2" s="503"/>
      <c r="AM2" s="503"/>
      <c r="AN2" s="503"/>
      <c r="AO2" s="503"/>
      <c r="AP2" s="503"/>
    </row>
    <row r="3" spans="1:42" ht="15" x14ac:dyDescent="0.25">
      <c r="A3" s="503"/>
      <c r="B3" s="503" t="s">
        <v>910</v>
      </c>
      <c r="C3" s="503" t="s">
        <v>1013</v>
      </c>
      <c r="D3" s="503" t="s">
        <v>703</v>
      </c>
      <c r="E3" s="503" t="s">
        <v>703</v>
      </c>
      <c r="F3" s="503" t="s">
        <v>703</v>
      </c>
      <c r="G3" s="503" t="s">
        <v>703</v>
      </c>
      <c r="H3" s="503" t="s">
        <v>703</v>
      </c>
      <c r="I3" s="503">
        <v>0</v>
      </c>
      <c r="J3" s="503">
        <v>619</v>
      </c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503"/>
      <c r="Z3" s="503"/>
      <c r="AA3" s="503"/>
      <c r="AB3" s="503"/>
      <c r="AC3" s="503"/>
      <c r="AD3" s="503"/>
      <c r="AE3" s="503"/>
      <c r="AF3" s="503"/>
      <c r="AG3" s="503"/>
      <c r="AH3" s="503"/>
      <c r="AI3" s="503"/>
      <c r="AJ3" s="503"/>
      <c r="AK3" s="503"/>
      <c r="AL3" s="503"/>
      <c r="AM3" s="503"/>
      <c r="AN3" s="503"/>
      <c r="AO3" s="503"/>
      <c r="AP3" s="503"/>
    </row>
    <row r="4" spans="1:42" ht="15" x14ac:dyDescent="0.25">
      <c r="A4" s="503" t="s">
        <v>1010</v>
      </c>
      <c r="B4" s="503" t="s">
        <v>910</v>
      </c>
      <c r="C4" s="503" t="s">
        <v>1009</v>
      </c>
      <c r="D4" s="503" t="s">
        <v>703</v>
      </c>
      <c r="E4" s="503" t="s">
        <v>703</v>
      </c>
      <c r="F4" s="503" t="s">
        <v>703</v>
      </c>
      <c r="G4" s="503" t="s">
        <v>703</v>
      </c>
      <c r="H4" s="503" t="s">
        <v>703</v>
      </c>
      <c r="I4" s="503">
        <v>0</v>
      </c>
      <c r="J4" s="503">
        <v>0</v>
      </c>
      <c r="K4" s="503"/>
      <c r="L4" s="503"/>
      <c r="M4" s="503"/>
      <c r="N4" s="503"/>
      <c r="O4" s="503"/>
      <c r="P4" s="503"/>
      <c r="Q4" s="503"/>
      <c r="R4" s="503"/>
      <c r="S4" s="503"/>
      <c r="T4" s="503"/>
      <c r="U4" s="503"/>
      <c r="V4" s="503"/>
      <c r="W4" s="503"/>
      <c r="X4" s="503"/>
      <c r="Y4" s="503"/>
      <c r="Z4" s="503"/>
      <c r="AA4" s="503"/>
      <c r="AB4" s="503"/>
      <c r="AC4" s="503"/>
      <c r="AD4" s="503"/>
      <c r="AE4" s="503"/>
      <c r="AF4" s="503"/>
      <c r="AG4" s="503"/>
      <c r="AH4" s="503"/>
      <c r="AI4" s="503"/>
      <c r="AJ4" s="503"/>
      <c r="AK4" s="503"/>
      <c r="AL4" s="503"/>
      <c r="AM4" s="503"/>
      <c r="AN4" s="503"/>
      <c r="AO4" s="503"/>
      <c r="AP4" s="503"/>
    </row>
    <row r="5" spans="1:42" ht="15" x14ac:dyDescent="0.25">
      <c r="A5" s="503"/>
      <c r="B5" s="503" t="s">
        <v>910</v>
      </c>
      <c r="C5" s="503" t="s">
        <v>1008</v>
      </c>
      <c r="D5" s="503" t="s">
        <v>703</v>
      </c>
      <c r="E5" s="503" t="s">
        <v>703</v>
      </c>
      <c r="F5" s="503" t="s">
        <v>703</v>
      </c>
      <c r="G5" s="503" t="s">
        <v>703</v>
      </c>
      <c r="H5" s="503" t="s">
        <v>703</v>
      </c>
      <c r="I5" s="503">
        <v>0</v>
      </c>
      <c r="J5" s="503">
        <v>1413</v>
      </c>
      <c r="K5" s="503"/>
      <c r="L5" s="503"/>
      <c r="M5" s="503"/>
      <c r="N5" s="503"/>
      <c r="O5" s="503"/>
      <c r="P5" s="503"/>
      <c r="Q5" s="503"/>
      <c r="R5" s="503"/>
      <c r="S5" s="503"/>
      <c r="T5" s="503"/>
      <c r="U5" s="503"/>
      <c r="V5" s="503"/>
      <c r="W5" s="503"/>
      <c r="X5" s="503"/>
      <c r="Y5" s="503"/>
      <c r="Z5" s="503"/>
      <c r="AA5" s="503"/>
      <c r="AB5" s="503"/>
      <c r="AC5" s="503"/>
      <c r="AD5" s="503"/>
      <c r="AE5" s="503"/>
      <c r="AF5" s="503"/>
      <c r="AG5" s="503"/>
      <c r="AH5" s="503"/>
      <c r="AI5" s="503"/>
      <c r="AJ5" s="503"/>
      <c r="AK5" s="503"/>
      <c r="AL5" s="503"/>
      <c r="AM5" s="503"/>
      <c r="AN5" s="503"/>
      <c r="AO5" s="503"/>
      <c r="AP5" s="503"/>
    </row>
    <row r="6" spans="1:42" ht="15" x14ac:dyDescent="0.25">
      <c r="A6" s="503"/>
      <c r="B6" s="503" t="s">
        <v>919</v>
      </c>
      <c r="C6" s="503" t="s">
        <v>1018</v>
      </c>
      <c r="D6" s="503" t="s">
        <v>703</v>
      </c>
      <c r="E6" s="503" t="s">
        <v>1032</v>
      </c>
      <c r="F6" s="503" t="s">
        <v>703</v>
      </c>
      <c r="G6" s="503" t="s">
        <v>1043</v>
      </c>
      <c r="H6" s="503" t="s">
        <v>703</v>
      </c>
      <c r="I6" s="503">
        <v>0</v>
      </c>
      <c r="J6" s="503">
        <v>1</v>
      </c>
      <c r="K6" s="503"/>
      <c r="L6" s="503"/>
      <c r="M6" s="503"/>
      <c r="N6" s="503"/>
      <c r="O6" s="503"/>
      <c r="P6" s="503"/>
      <c r="Q6" s="503"/>
      <c r="R6" s="503"/>
      <c r="S6" s="503"/>
      <c r="T6" s="503"/>
      <c r="U6" s="503"/>
      <c r="V6" s="503"/>
      <c r="W6" s="503"/>
      <c r="X6" s="503"/>
      <c r="Y6" s="503"/>
      <c r="Z6" s="503"/>
      <c r="AA6" s="503"/>
      <c r="AB6" s="503"/>
      <c r="AC6" s="503"/>
      <c r="AD6" s="503"/>
      <c r="AE6" s="503"/>
      <c r="AF6" s="503"/>
      <c r="AG6" s="503"/>
      <c r="AH6" s="503"/>
      <c r="AI6" s="503"/>
      <c r="AJ6" s="503"/>
      <c r="AK6" s="503"/>
      <c r="AL6" s="503"/>
      <c r="AM6" s="503"/>
      <c r="AN6" s="503"/>
      <c r="AO6" s="503"/>
      <c r="AP6" s="503"/>
    </row>
    <row r="7" spans="1:42" ht="15" x14ac:dyDescent="0.25">
      <c r="A7" s="503"/>
      <c r="B7" s="503" t="s">
        <v>919</v>
      </c>
      <c r="C7" s="503" t="s">
        <v>1017</v>
      </c>
      <c r="D7" s="503" t="s">
        <v>703</v>
      </c>
      <c r="E7" s="503" t="s">
        <v>1032</v>
      </c>
      <c r="F7" s="503" t="s">
        <v>703</v>
      </c>
      <c r="G7" s="503" t="s">
        <v>1043</v>
      </c>
      <c r="H7" s="503" t="s">
        <v>703</v>
      </c>
      <c r="I7" s="503">
        <v>0</v>
      </c>
      <c r="J7" s="503">
        <v>1.43</v>
      </c>
      <c r="K7" s="503"/>
      <c r="L7" s="503"/>
      <c r="M7" s="503"/>
      <c r="N7" s="503"/>
      <c r="O7" s="503"/>
      <c r="P7" s="503"/>
      <c r="Q7" s="503"/>
      <c r="R7" s="504">
        <f>'HDRI scenarios'!Q7</f>
        <v>1.5037593984962405</v>
      </c>
      <c r="U7" s="503"/>
      <c r="V7" s="503"/>
      <c r="W7" s="503"/>
      <c r="X7" s="503"/>
      <c r="Y7" s="503"/>
      <c r="Z7" s="503"/>
      <c r="AA7" s="503"/>
      <c r="AB7" s="504">
        <f>'HDRI scenarios'!R7</f>
        <v>1.4705882352941178</v>
      </c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4">
        <f>'HDRI scenarios'!S7</f>
        <v>1.3333333333333333</v>
      </c>
      <c r="AO7" s="503"/>
      <c r="AP7" s="503"/>
    </row>
    <row r="8" spans="1:42" ht="15" x14ac:dyDescent="0.25">
      <c r="A8" s="503"/>
      <c r="B8" s="503" t="s">
        <v>919</v>
      </c>
      <c r="C8" s="503" t="s">
        <v>1014</v>
      </c>
      <c r="D8" s="503" t="s">
        <v>703</v>
      </c>
      <c r="E8" s="503" t="s">
        <v>1032</v>
      </c>
      <c r="F8" s="503" t="s">
        <v>703</v>
      </c>
      <c r="G8" s="503" t="s">
        <v>1043</v>
      </c>
      <c r="H8" s="503" t="s">
        <v>703</v>
      </c>
      <c r="I8" s="503">
        <v>0</v>
      </c>
      <c r="J8" s="503">
        <v>1</v>
      </c>
      <c r="K8" s="503"/>
      <c r="L8" s="503"/>
      <c r="M8" s="503"/>
      <c r="N8" s="503"/>
      <c r="O8" s="503"/>
      <c r="P8" s="503"/>
      <c r="Q8" s="503"/>
      <c r="R8" s="503"/>
      <c r="S8" s="503"/>
      <c r="T8" s="503"/>
      <c r="U8" s="503"/>
      <c r="V8" s="503"/>
      <c r="W8" s="503"/>
      <c r="X8" s="503"/>
      <c r="Y8" s="503"/>
      <c r="Z8" s="503"/>
      <c r="AA8" s="503"/>
      <c r="AB8" s="503"/>
      <c r="AC8" s="503"/>
      <c r="AD8" s="503"/>
      <c r="AE8" s="503"/>
      <c r="AF8" s="503"/>
      <c r="AG8" s="503"/>
      <c r="AH8" s="503"/>
      <c r="AI8" s="503"/>
      <c r="AJ8" s="503"/>
      <c r="AK8" s="503"/>
      <c r="AL8" s="503"/>
      <c r="AM8" s="503"/>
      <c r="AN8" s="503"/>
      <c r="AO8" s="503"/>
      <c r="AP8" s="503"/>
    </row>
    <row r="9" spans="1:42" ht="15" x14ac:dyDescent="0.25">
      <c r="A9" s="503" t="s">
        <v>1010</v>
      </c>
      <c r="B9" s="503" t="s">
        <v>919</v>
      </c>
      <c r="C9" s="503" t="s">
        <v>1009</v>
      </c>
      <c r="D9" s="503" t="s">
        <v>703</v>
      </c>
      <c r="E9" s="503" t="s">
        <v>1032</v>
      </c>
      <c r="F9" s="503" t="s">
        <v>703</v>
      </c>
      <c r="G9" s="503" t="s">
        <v>1043</v>
      </c>
      <c r="H9" s="503" t="s">
        <v>703</v>
      </c>
      <c r="I9" s="503">
        <v>0</v>
      </c>
      <c r="J9" s="503">
        <v>1</v>
      </c>
      <c r="K9" s="503"/>
      <c r="L9" s="503"/>
      <c r="M9" s="503"/>
      <c r="N9" s="503"/>
      <c r="O9" s="503"/>
      <c r="P9" s="503"/>
      <c r="Q9" s="503"/>
      <c r="R9" s="503"/>
      <c r="S9" s="503"/>
      <c r="T9" s="503"/>
      <c r="U9" s="503"/>
      <c r="V9" s="503"/>
      <c r="W9" s="503"/>
      <c r="X9" s="503"/>
      <c r="Y9" s="503"/>
      <c r="Z9" s="503"/>
      <c r="AA9" s="503"/>
      <c r="AB9" s="503"/>
      <c r="AC9" s="503"/>
      <c r="AD9" s="503"/>
      <c r="AE9" s="503"/>
      <c r="AF9" s="503"/>
      <c r="AG9" s="503"/>
      <c r="AH9" s="503"/>
      <c r="AI9" s="503"/>
      <c r="AJ9" s="503"/>
      <c r="AK9" s="503"/>
      <c r="AL9" s="503"/>
      <c r="AM9" s="503"/>
      <c r="AN9" s="503"/>
      <c r="AO9" s="503"/>
      <c r="AP9" s="503"/>
    </row>
    <row r="10" spans="1:42" ht="15" x14ac:dyDescent="0.25">
      <c r="A10" s="503"/>
      <c r="B10" s="503" t="s">
        <v>919</v>
      </c>
      <c r="C10" s="503" t="s">
        <v>1005</v>
      </c>
      <c r="D10" s="503" t="s">
        <v>703</v>
      </c>
      <c r="E10" s="503" t="s">
        <v>1032</v>
      </c>
      <c r="F10" s="503" t="s">
        <v>703</v>
      </c>
      <c r="G10" s="503" t="s">
        <v>1043</v>
      </c>
      <c r="H10" s="503" t="s">
        <v>703</v>
      </c>
      <c r="I10" s="503">
        <v>0</v>
      </c>
      <c r="J10" s="503">
        <v>1</v>
      </c>
      <c r="K10" s="503"/>
      <c r="L10" s="503"/>
      <c r="M10" s="503"/>
      <c r="N10" s="503"/>
      <c r="O10" s="503"/>
      <c r="P10" s="503"/>
      <c r="Q10" s="503"/>
      <c r="R10" s="503"/>
      <c r="S10" s="503"/>
      <c r="T10" s="503"/>
      <c r="U10" s="503"/>
      <c r="V10" s="503"/>
      <c r="W10" s="503"/>
      <c r="X10" s="503"/>
      <c r="Y10" s="503"/>
      <c r="Z10" s="503"/>
      <c r="AA10" s="503"/>
      <c r="AB10" s="503"/>
      <c r="AC10" s="503"/>
      <c r="AD10" s="503"/>
      <c r="AE10" s="503"/>
      <c r="AF10" s="503"/>
      <c r="AG10" s="503"/>
      <c r="AH10" s="503"/>
      <c r="AI10" s="503"/>
      <c r="AJ10" s="503"/>
      <c r="AK10" s="503"/>
      <c r="AL10" s="503"/>
      <c r="AM10" s="503"/>
      <c r="AN10" s="503"/>
      <c r="AO10" s="503"/>
      <c r="AP10" s="503"/>
    </row>
    <row r="11" spans="1:42" ht="15" x14ac:dyDescent="0.25">
      <c r="A11" s="503"/>
      <c r="B11" s="503" t="s">
        <v>899</v>
      </c>
      <c r="C11" s="503" t="s">
        <v>1015</v>
      </c>
      <c r="D11" s="503" t="s">
        <v>703</v>
      </c>
      <c r="E11" s="503" t="s">
        <v>1001</v>
      </c>
      <c r="F11" s="503" t="s">
        <v>1003</v>
      </c>
      <c r="G11" s="503" t="s">
        <v>1043</v>
      </c>
      <c r="H11" s="503" t="s">
        <v>703</v>
      </c>
      <c r="I11" s="503">
        <v>0</v>
      </c>
      <c r="J11" s="503">
        <v>3.71</v>
      </c>
      <c r="K11" s="503"/>
      <c r="L11" s="503"/>
      <c r="M11" s="503"/>
      <c r="N11" s="503"/>
      <c r="O11" s="503"/>
      <c r="P11" s="503"/>
      <c r="Q11" s="503"/>
      <c r="R11" s="503"/>
      <c r="S11" s="503"/>
      <c r="T11" s="503"/>
      <c r="U11" s="503"/>
      <c r="V11" s="503"/>
      <c r="W11" s="503"/>
      <c r="X11" s="503"/>
      <c r="Y11" s="503"/>
      <c r="Z11" s="503"/>
      <c r="AA11" s="503"/>
      <c r="AB11" s="503"/>
      <c r="AC11" s="503"/>
      <c r="AD11" s="503"/>
      <c r="AE11" s="503"/>
      <c r="AF11" s="503"/>
      <c r="AG11" s="503"/>
      <c r="AH11" s="503"/>
      <c r="AI11" s="503"/>
      <c r="AJ11" s="503"/>
      <c r="AK11" s="503"/>
      <c r="AL11" s="503"/>
      <c r="AM11" s="503"/>
      <c r="AN11" s="503"/>
      <c r="AO11" s="503"/>
      <c r="AP11" s="503"/>
    </row>
    <row r="12" spans="1:42" ht="15" x14ac:dyDescent="0.25">
      <c r="A12" s="503"/>
      <c r="B12" s="503" t="s">
        <v>899</v>
      </c>
      <c r="C12" s="503" t="s">
        <v>1011</v>
      </c>
      <c r="D12" s="503" t="s">
        <v>703</v>
      </c>
      <c r="E12" s="503" t="s">
        <v>1019</v>
      </c>
      <c r="F12" s="503" t="s">
        <v>1021</v>
      </c>
      <c r="G12" s="503" t="s">
        <v>1043</v>
      </c>
      <c r="H12" s="503" t="s">
        <v>703</v>
      </c>
      <c r="I12" s="503">
        <v>0</v>
      </c>
      <c r="J12" s="503">
        <v>0.03</v>
      </c>
      <c r="K12" s="503"/>
      <c r="L12" s="503"/>
      <c r="M12" s="503"/>
      <c r="N12" s="503"/>
      <c r="O12" s="503"/>
      <c r="P12" s="503"/>
      <c r="Q12" s="503"/>
      <c r="R12" s="503"/>
      <c r="S12" s="503"/>
      <c r="T12" s="503"/>
      <c r="U12" s="503"/>
      <c r="V12" s="503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503"/>
      <c r="AH12" s="503"/>
      <c r="AI12" s="503"/>
      <c r="AJ12" s="503"/>
      <c r="AK12" s="503"/>
      <c r="AL12" s="503"/>
      <c r="AM12" s="503"/>
      <c r="AN12" s="503"/>
      <c r="AO12" s="503"/>
      <c r="AP12" s="503"/>
    </row>
    <row r="13" spans="1:42" ht="15" x14ac:dyDescent="0.25">
      <c r="A13" s="503"/>
      <c r="B13" s="503" t="s">
        <v>901</v>
      </c>
      <c r="C13" s="503" t="s">
        <v>1015</v>
      </c>
      <c r="D13" s="503" t="s">
        <v>1024</v>
      </c>
      <c r="E13" s="503" t="s">
        <v>1003</v>
      </c>
      <c r="F13" s="503" t="s">
        <v>703</v>
      </c>
      <c r="G13" s="503" t="s">
        <v>1043</v>
      </c>
      <c r="H13" s="503" t="s">
        <v>1044</v>
      </c>
      <c r="I13" s="503">
        <v>5</v>
      </c>
      <c r="J13" s="503">
        <v>0.26900000000000002</v>
      </c>
      <c r="K13" s="503"/>
      <c r="L13" s="503"/>
      <c r="M13" s="503"/>
      <c r="N13" s="503"/>
      <c r="O13" s="503"/>
      <c r="P13" s="503"/>
      <c r="Q13" s="503"/>
      <c r="R13" s="503"/>
      <c r="S13" s="503"/>
      <c r="T13" s="503"/>
      <c r="U13" s="503"/>
      <c r="V13" s="503"/>
      <c r="W13" s="503"/>
      <c r="X13" s="503"/>
      <c r="Y13" s="503"/>
      <c r="Z13" s="503"/>
      <c r="AA13" s="503"/>
      <c r="AB13" s="503"/>
      <c r="AC13" s="503"/>
      <c r="AD13" s="503"/>
      <c r="AE13" s="503"/>
      <c r="AF13" s="503"/>
      <c r="AG13" s="503"/>
      <c r="AH13" s="503"/>
      <c r="AI13" s="503"/>
      <c r="AJ13" s="503"/>
      <c r="AK13" s="503"/>
      <c r="AL13" s="503"/>
      <c r="AM13" s="503"/>
      <c r="AN13" s="503"/>
      <c r="AO13" s="503"/>
      <c r="AP13" s="503"/>
    </row>
    <row r="14" spans="1:42" ht="15" x14ac:dyDescent="0.25">
      <c r="A14" s="503"/>
      <c r="B14" s="503" t="s">
        <v>901</v>
      </c>
      <c r="C14" s="503" t="s">
        <v>1015</v>
      </c>
      <c r="D14" s="503" t="s">
        <v>1021</v>
      </c>
      <c r="E14" s="503" t="s">
        <v>1003</v>
      </c>
      <c r="F14" s="503" t="s">
        <v>703</v>
      </c>
      <c r="G14" s="503" t="s">
        <v>1043</v>
      </c>
      <c r="H14" s="503" t="s">
        <v>1044</v>
      </c>
      <c r="I14" s="503">
        <v>5</v>
      </c>
      <c r="J14" s="503">
        <v>0.73099999999999998</v>
      </c>
      <c r="K14" s="503"/>
      <c r="L14" s="503"/>
      <c r="M14" s="503"/>
      <c r="N14" s="503"/>
      <c r="O14" s="503"/>
      <c r="P14" s="503"/>
      <c r="Q14" s="503"/>
      <c r="R14" s="503"/>
      <c r="S14" s="503"/>
      <c r="T14" s="503"/>
      <c r="U14" s="503"/>
      <c r="V14" s="503"/>
      <c r="W14" s="503"/>
      <c r="X14" s="503"/>
      <c r="Y14" s="503"/>
      <c r="Z14" s="503"/>
      <c r="AA14" s="503"/>
      <c r="AB14" s="503"/>
      <c r="AC14" s="503"/>
      <c r="AD14" s="503"/>
      <c r="AE14" s="503"/>
      <c r="AF14" s="503"/>
      <c r="AG14" s="503"/>
      <c r="AH14" s="503"/>
      <c r="AI14" s="503"/>
      <c r="AJ14" s="503"/>
      <c r="AK14" s="503"/>
      <c r="AL14" s="503"/>
      <c r="AM14" s="503"/>
      <c r="AN14" s="503"/>
      <c r="AO14" s="503"/>
      <c r="AP14" s="503"/>
    </row>
    <row r="15" spans="1:42" ht="15" x14ac:dyDescent="0.25">
      <c r="A15" s="503"/>
      <c r="B15" s="503" t="s">
        <v>1035</v>
      </c>
      <c r="C15" s="503" t="s">
        <v>1016</v>
      </c>
      <c r="D15" s="503" t="s">
        <v>703</v>
      </c>
      <c r="E15" s="503" t="s">
        <v>703</v>
      </c>
      <c r="F15" s="503" t="s">
        <v>703</v>
      </c>
      <c r="G15" s="503" t="s">
        <v>1043</v>
      </c>
      <c r="H15" s="503" t="s">
        <v>590</v>
      </c>
      <c r="I15" s="503">
        <v>0</v>
      </c>
      <c r="J15" s="503"/>
      <c r="K15" s="503"/>
      <c r="L15" s="503"/>
      <c r="M15" s="503"/>
      <c r="N15" s="503"/>
      <c r="O15" s="503"/>
      <c r="P15" s="503"/>
      <c r="Q15" s="503"/>
      <c r="R15" s="503">
        <v>1</v>
      </c>
      <c r="S15" s="503"/>
      <c r="T15" s="503"/>
      <c r="U15" s="503"/>
      <c r="V15" s="503"/>
      <c r="W15" s="503"/>
      <c r="X15" s="503"/>
      <c r="Y15" s="503"/>
      <c r="Z15" s="503"/>
      <c r="AA15" s="503"/>
      <c r="AB15" s="503"/>
      <c r="AC15" s="503"/>
      <c r="AD15" s="503"/>
      <c r="AE15" s="503"/>
      <c r="AF15" s="503"/>
      <c r="AG15" s="503"/>
      <c r="AH15" s="503"/>
      <c r="AI15" s="503"/>
      <c r="AJ15" s="503"/>
      <c r="AK15" s="503"/>
      <c r="AL15" s="503"/>
      <c r="AM15" s="503"/>
      <c r="AN15" s="503"/>
      <c r="AO15" s="503"/>
      <c r="AP15" s="503"/>
    </row>
    <row r="16" spans="1:42" ht="15" x14ac:dyDescent="0.25">
      <c r="A16" s="503"/>
      <c r="B16" s="503" t="s">
        <v>1035</v>
      </c>
      <c r="C16" s="503" t="s">
        <v>1013</v>
      </c>
      <c r="D16" s="503" t="s">
        <v>703</v>
      </c>
      <c r="E16" s="503" t="s">
        <v>703</v>
      </c>
      <c r="F16" s="503" t="s">
        <v>703</v>
      </c>
      <c r="G16" s="503" t="s">
        <v>1043</v>
      </c>
      <c r="H16" s="503" t="s">
        <v>590</v>
      </c>
      <c r="I16" s="503">
        <v>0</v>
      </c>
      <c r="J16" s="503">
        <v>0.9</v>
      </c>
      <c r="K16" s="503"/>
      <c r="L16" s="503"/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3"/>
      <c r="AH16" s="503"/>
      <c r="AI16" s="503"/>
      <c r="AJ16" s="503"/>
      <c r="AK16" s="503"/>
      <c r="AL16" s="503"/>
      <c r="AM16" s="503"/>
      <c r="AN16" s="503"/>
      <c r="AO16" s="503"/>
      <c r="AP16" s="503"/>
    </row>
    <row r="17" spans="1:42" ht="15" x14ac:dyDescent="0.25">
      <c r="A17" s="503" t="s">
        <v>1010</v>
      </c>
      <c r="B17" s="503" t="s">
        <v>1035</v>
      </c>
      <c r="C17" s="503" t="s">
        <v>1009</v>
      </c>
      <c r="D17" s="503" t="s">
        <v>703</v>
      </c>
      <c r="E17" s="503" t="s">
        <v>703</v>
      </c>
      <c r="F17" s="503" t="s">
        <v>703</v>
      </c>
      <c r="G17" s="503" t="s">
        <v>1042</v>
      </c>
      <c r="H17" s="503" t="s">
        <v>590</v>
      </c>
      <c r="I17" s="503">
        <v>0</v>
      </c>
      <c r="J17" s="503">
        <v>0</v>
      </c>
      <c r="K17" s="503"/>
      <c r="L17" s="503"/>
      <c r="M17" s="503"/>
      <c r="N17" s="503"/>
      <c r="O17" s="503"/>
      <c r="P17" s="503"/>
      <c r="Q17" s="503"/>
      <c r="R17" s="503"/>
      <c r="S17" s="503"/>
      <c r="T17" s="503"/>
      <c r="U17" s="503"/>
      <c r="V17" s="503"/>
      <c r="W17" s="503"/>
      <c r="X17" s="503"/>
      <c r="Y17" s="503"/>
      <c r="Z17" s="503"/>
      <c r="AA17" s="503"/>
      <c r="AB17" s="503"/>
      <c r="AC17" s="503"/>
      <c r="AD17" s="503"/>
      <c r="AE17" s="503"/>
      <c r="AF17" s="503"/>
      <c r="AG17" s="503"/>
      <c r="AH17" s="503"/>
      <c r="AI17" s="503"/>
      <c r="AJ17" s="503"/>
      <c r="AK17" s="503"/>
      <c r="AL17" s="503"/>
      <c r="AM17" s="503"/>
      <c r="AN17" s="503"/>
      <c r="AO17" s="503"/>
      <c r="AP17" s="503"/>
    </row>
    <row r="18" spans="1:42" ht="15" x14ac:dyDescent="0.25">
      <c r="A18" s="503" t="s">
        <v>1010</v>
      </c>
      <c r="B18" s="503" t="s">
        <v>1035</v>
      </c>
      <c r="C18" s="503" t="s">
        <v>1009</v>
      </c>
      <c r="D18" s="503" t="s">
        <v>703</v>
      </c>
      <c r="E18" s="503" t="s">
        <v>703</v>
      </c>
      <c r="F18" s="503" t="s">
        <v>703</v>
      </c>
      <c r="G18" s="503" t="s">
        <v>1041</v>
      </c>
      <c r="H18" s="503" t="s">
        <v>590</v>
      </c>
      <c r="I18" s="503">
        <v>0</v>
      </c>
      <c r="J18" s="503">
        <v>0.62631000000000003</v>
      </c>
      <c r="K18" s="503"/>
      <c r="L18" s="503"/>
      <c r="M18" s="503"/>
      <c r="N18" s="503"/>
      <c r="O18" s="503"/>
      <c r="P18" s="503"/>
      <c r="Q18" s="503"/>
      <c r="R18" s="503"/>
      <c r="S18" s="503"/>
      <c r="T18" s="503"/>
      <c r="U18" s="503"/>
      <c r="V18" s="503"/>
      <c r="W18" s="503"/>
      <c r="X18" s="503"/>
      <c r="Y18" s="503"/>
      <c r="Z18" s="503"/>
      <c r="AA18" s="503"/>
      <c r="AB18" s="503"/>
      <c r="AC18" s="503"/>
      <c r="AD18" s="503"/>
      <c r="AE18" s="503"/>
      <c r="AF18" s="503"/>
      <c r="AG18" s="503"/>
      <c r="AH18" s="503"/>
      <c r="AI18" s="503"/>
      <c r="AJ18" s="503"/>
      <c r="AK18" s="503"/>
      <c r="AL18" s="503"/>
      <c r="AM18" s="503"/>
      <c r="AN18" s="503"/>
      <c r="AO18" s="503"/>
      <c r="AP18" s="503"/>
    </row>
    <row r="19" spans="1:42" ht="15" x14ac:dyDescent="0.25">
      <c r="A19" s="503" t="s">
        <v>1010</v>
      </c>
      <c r="B19" s="503" t="s">
        <v>1035</v>
      </c>
      <c r="C19" s="503" t="s">
        <v>1009</v>
      </c>
      <c r="D19" s="503" t="s">
        <v>703</v>
      </c>
      <c r="E19" s="503" t="s">
        <v>703</v>
      </c>
      <c r="F19" s="503" t="s">
        <v>703</v>
      </c>
      <c r="G19" s="503" t="s">
        <v>1040</v>
      </c>
      <c r="H19" s="503" t="s">
        <v>590</v>
      </c>
      <c r="I19" s="503">
        <v>0</v>
      </c>
      <c r="J19" s="503">
        <v>0</v>
      </c>
      <c r="K19" s="503"/>
      <c r="L19" s="503"/>
      <c r="M19" s="503"/>
      <c r="N19" s="503"/>
      <c r="O19" s="503"/>
      <c r="P19" s="503"/>
      <c r="Q19" s="503"/>
      <c r="R19" s="503"/>
      <c r="S19" s="503"/>
      <c r="T19" s="503"/>
      <c r="U19" s="503"/>
      <c r="V19" s="503"/>
      <c r="W19" s="503"/>
      <c r="X19" s="503"/>
      <c r="Y19" s="503"/>
      <c r="Z19" s="503"/>
      <c r="AA19" s="503"/>
      <c r="AB19" s="503"/>
      <c r="AC19" s="503"/>
      <c r="AD19" s="503"/>
      <c r="AE19" s="503"/>
      <c r="AF19" s="503"/>
      <c r="AG19" s="503"/>
      <c r="AH19" s="503"/>
      <c r="AI19" s="503"/>
      <c r="AJ19" s="503"/>
      <c r="AK19" s="503"/>
      <c r="AL19" s="503"/>
      <c r="AM19" s="503"/>
      <c r="AN19" s="503"/>
      <c r="AO19" s="503"/>
      <c r="AP19" s="503"/>
    </row>
    <row r="20" spans="1:42" ht="15" x14ac:dyDescent="0.25">
      <c r="A20" s="503" t="s">
        <v>1010</v>
      </c>
      <c r="B20" s="503" t="s">
        <v>1035</v>
      </c>
      <c r="C20" s="503" t="s">
        <v>1009</v>
      </c>
      <c r="D20" s="503" t="s">
        <v>703</v>
      </c>
      <c r="E20" s="503" t="s">
        <v>703</v>
      </c>
      <c r="F20" s="503" t="s">
        <v>703</v>
      </c>
      <c r="G20" s="503" t="s">
        <v>1039</v>
      </c>
      <c r="H20" s="503" t="s">
        <v>590</v>
      </c>
      <c r="I20" s="503">
        <v>0</v>
      </c>
      <c r="J20" s="503">
        <v>0</v>
      </c>
      <c r="K20" s="503"/>
      <c r="L20" s="503"/>
      <c r="M20" s="503"/>
      <c r="N20" s="503"/>
      <c r="O20" s="503"/>
      <c r="P20" s="503"/>
      <c r="Q20" s="503"/>
      <c r="R20" s="503"/>
      <c r="S20" s="503"/>
      <c r="T20" s="503"/>
      <c r="U20" s="503"/>
      <c r="V20" s="503"/>
      <c r="W20" s="503"/>
      <c r="X20" s="503"/>
      <c r="Y20" s="503"/>
      <c r="Z20" s="503"/>
      <c r="AA20" s="503"/>
      <c r="AB20" s="503"/>
      <c r="AC20" s="503"/>
      <c r="AD20" s="503"/>
      <c r="AE20" s="503"/>
      <c r="AF20" s="503"/>
      <c r="AG20" s="503"/>
      <c r="AH20" s="503"/>
      <c r="AI20" s="503"/>
      <c r="AJ20" s="503"/>
      <c r="AK20" s="503"/>
      <c r="AL20" s="503"/>
      <c r="AM20" s="503"/>
      <c r="AN20" s="503"/>
      <c r="AO20" s="503"/>
      <c r="AP20" s="503"/>
    </row>
    <row r="21" spans="1:42" ht="15" x14ac:dyDescent="0.25">
      <c r="A21" s="503" t="s">
        <v>1010</v>
      </c>
      <c r="B21" s="503" t="s">
        <v>1035</v>
      </c>
      <c r="C21" s="503" t="s">
        <v>1009</v>
      </c>
      <c r="D21" s="503" t="s">
        <v>703</v>
      </c>
      <c r="E21" s="503" t="s">
        <v>703</v>
      </c>
      <c r="F21" s="503" t="s">
        <v>703</v>
      </c>
      <c r="G21" s="503" t="s">
        <v>1038</v>
      </c>
      <c r="H21" s="503" t="s">
        <v>590</v>
      </c>
      <c r="I21" s="503">
        <v>0</v>
      </c>
      <c r="J21" s="503">
        <v>0.33245999999999998</v>
      </c>
      <c r="K21" s="503"/>
      <c r="L21" s="503"/>
      <c r="M21" s="503"/>
      <c r="N21" s="503"/>
      <c r="O21" s="503"/>
      <c r="P21" s="503"/>
      <c r="Q21" s="503"/>
      <c r="R21" s="503"/>
      <c r="S21" s="503"/>
      <c r="T21" s="503"/>
      <c r="U21" s="503"/>
      <c r="V21" s="503"/>
      <c r="W21" s="503"/>
      <c r="X21" s="503"/>
      <c r="Y21" s="503"/>
      <c r="Z21" s="503"/>
      <c r="AA21" s="503"/>
      <c r="AB21" s="503"/>
      <c r="AC21" s="503"/>
      <c r="AD21" s="503"/>
      <c r="AE21" s="503"/>
      <c r="AF21" s="503"/>
      <c r="AG21" s="503"/>
      <c r="AH21" s="503"/>
      <c r="AI21" s="503"/>
      <c r="AJ21" s="503"/>
      <c r="AK21" s="503"/>
      <c r="AL21" s="503"/>
      <c r="AM21" s="503"/>
      <c r="AN21" s="503"/>
      <c r="AO21" s="503"/>
      <c r="AP21" s="503"/>
    </row>
    <row r="22" spans="1:42" ht="15" x14ac:dyDescent="0.25">
      <c r="A22" s="503" t="s">
        <v>1010</v>
      </c>
      <c r="B22" s="503" t="s">
        <v>1035</v>
      </c>
      <c r="C22" s="503" t="s">
        <v>1009</v>
      </c>
      <c r="D22" s="503" t="s">
        <v>703</v>
      </c>
      <c r="E22" s="503" t="s">
        <v>703</v>
      </c>
      <c r="F22" s="503" t="s">
        <v>703</v>
      </c>
      <c r="G22" s="503" t="s">
        <v>1037</v>
      </c>
      <c r="H22" s="503" t="s">
        <v>590</v>
      </c>
      <c r="I22" s="503">
        <v>0</v>
      </c>
      <c r="J22" s="503">
        <v>0.71133000000000002</v>
      </c>
      <c r="K22" s="503"/>
      <c r="L22" s="503"/>
      <c r="M22" s="503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/>
      <c r="AA22" s="503"/>
      <c r="AB22" s="503"/>
      <c r="AC22" s="503"/>
      <c r="AD22" s="503"/>
      <c r="AE22" s="503"/>
      <c r="AF22" s="503"/>
      <c r="AG22" s="503"/>
      <c r="AH22" s="503"/>
      <c r="AI22" s="503"/>
      <c r="AJ22" s="503"/>
      <c r="AK22" s="503"/>
      <c r="AL22" s="503"/>
      <c r="AM22" s="503"/>
      <c r="AN22" s="503"/>
      <c r="AO22" s="503"/>
      <c r="AP22" s="503"/>
    </row>
    <row r="23" spans="1:42" ht="15" x14ac:dyDescent="0.25">
      <c r="A23" s="503" t="s">
        <v>1010</v>
      </c>
      <c r="B23" s="503" t="s">
        <v>1035</v>
      </c>
      <c r="C23" s="503" t="s">
        <v>1009</v>
      </c>
      <c r="D23" s="503" t="s">
        <v>703</v>
      </c>
      <c r="E23" s="503" t="s">
        <v>703</v>
      </c>
      <c r="F23" s="503" t="s">
        <v>703</v>
      </c>
      <c r="G23" s="503" t="s">
        <v>1036</v>
      </c>
      <c r="H23" s="503" t="s">
        <v>590</v>
      </c>
      <c r="I23" s="503">
        <v>0</v>
      </c>
      <c r="J23" s="503">
        <v>0</v>
      </c>
      <c r="K23" s="503"/>
      <c r="L23" s="503"/>
      <c r="M23" s="503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/>
      <c r="AA23" s="503"/>
      <c r="AB23" s="503"/>
      <c r="AC23" s="503"/>
      <c r="AD23" s="503"/>
      <c r="AE23" s="503"/>
      <c r="AF23" s="503"/>
      <c r="AG23" s="503"/>
      <c r="AH23" s="503"/>
      <c r="AI23" s="503"/>
      <c r="AJ23" s="503"/>
      <c r="AK23" s="503"/>
      <c r="AL23" s="503"/>
      <c r="AM23" s="503"/>
      <c r="AN23" s="503"/>
      <c r="AO23" s="503"/>
      <c r="AP23" s="503"/>
    </row>
    <row r="24" spans="1:42" ht="15" x14ac:dyDescent="0.25">
      <c r="A24" s="503" t="s">
        <v>1010</v>
      </c>
      <c r="B24" s="503" t="s">
        <v>1035</v>
      </c>
      <c r="C24" s="503" t="s">
        <v>1009</v>
      </c>
      <c r="D24" s="503" t="s">
        <v>703</v>
      </c>
      <c r="E24" s="503" t="s">
        <v>703</v>
      </c>
      <c r="F24" s="503" t="s">
        <v>703</v>
      </c>
      <c r="G24" s="503" t="s">
        <v>1034</v>
      </c>
      <c r="H24" s="503" t="s">
        <v>590</v>
      </c>
      <c r="I24" s="503">
        <v>0</v>
      </c>
      <c r="J24" s="503">
        <v>0</v>
      </c>
      <c r="K24" s="503"/>
      <c r="L24" s="503"/>
      <c r="M24" s="503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/>
      <c r="AA24" s="503"/>
      <c r="AB24" s="503"/>
      <c r="AC24" s="503"/>
      <c r="AD24" s="503"/>
      <c r="AE24" s="503"/>
      <c r="AF24" s="503"/>
      <c r="AG24" s="503"/>
      <c r="AH24" s="503"/>
      <c r="AI24" s="503"/>
      <c r="AJ24" s="503"/>
      <c r="AK24" s="503"/>
      <c r="AL24" s="503"/>
      <c r="AM24" s="503"/>
      <c r="AN24" s="503"/>
      <c r="AO24" s="503"/>
      <c r="AP24" s="503"/>
    </row>
    <row r="25" spans="1:42" ht="15" x14ac:dyDescent="0.25">
      <c r="B25" s="503" t="s">
        <v>953</v>
      </c>
      <c r="C25" s="503" t="s">
        <v>1017</v>
      </c>
      <c r="D25" s="503" t="s">
        <v>703</v>
      </c>
      <c r="E25" s="503" t="s">
        <v>703</v>
      </c>
      <c r="F25" s="503" t="s">
        <v>703</v>
      </c>
      <c r="G25" s="503" t="s">
        <v>703</v>
      </c>
      <c r="H25" s="503" t="s">
        <v>590</v>
      </c>
      <c r="I25" s="503">
        <v>3</v>
      </c>
      <c r="J25" s="503">
        <v>0.9</v>
      </c>
      <c r="K25" s="503"/>
      <c r="L25" s="503"/>
      <c r="M25" s="503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/>
      <c r="AA25" s="503"/>
      <c r="AB25" s="503"/>
      <c r="AC25" s="503"/>
      <c r="AD25" s="503"/>
      <c r="AE25" s="503"/>
      <c r="AF25" s="503"/>
      <c r="AG25" s="503"/>
      <c r="AH25" s="503"/>
      <c r="AI25" s="503"/>
      <c r="AJ25" s="503"/>
      <c r="AK25" s="503"/>
      <c r="AL25" s="503"/>
      <c r="AM25" s="503"/>
      <c r="AN25" s="503"/>
      <c r="AO25" s="503"/>
      <c r="AP25" s="503"/>
    </row>
    <row r="26" spans="1:42" ht="15" x14ac:dyDescent="0.25">
      <c r="B26" s="503" t="s">
        <v>953</v>
      </c>
      <c r="C26" s="503" t="s">
        <v>1016</v>
      </c>
      <c r="D26" s="503" t="s">
        <v>703</v>
      </c>
      <c r="E26" s="503" t="s">
        <v>703</v>
      </c>
      <c r="F26" s="503" t="s">
        <v>703</v>
      </c>
      <c r="G26" s="503" t="s">
        <v>703</v>
      </c>
      <c r="H26" s="503" t="s">
        <v>590</v>
      </c>
      <c r="I26" s="503">
        <v>0</v>
      </c>
      <c r="J26" s="503">
        <v>0.85</v>
      </c>
      <c r="K26" s="503"/>
      <c r="L26" s="503"/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  <c r="AD26" s="503"/>
      <c r="AE26" s="503"/>
      <c r="AF26" s="503"/>
      <c r="AG26" s="503"/>
      <c r="AH26" s="503"/>
      <c r="AI26" s="503"/>
      <c r="AJ26" s="503"/>
      <c r="AK26" s="503"/>
      <c r="AL26" s="503"/>
      <c r="AM26" s="503"/>
      <c r="AN26" s="503"/>
      <c r="AO26" s="503"/>
      <c r="AP26" s="503"/>
    </row>
    <row r="27" spans="1:42" ht="15" x14ac:dyDescent="0.25">
      <c r="B27" s="503" t="s">
        <v>953</v>
      </c>
      <c r="C27" s="503" t="s">
        <v>1015</v>
      </c>
      <c r="D27" s="503" t="s">
        <v>703</v>
      </c>
      <c r="E27" s="503" t="s">
        <v>703</v>
      </c>
      <c r="F27" s="503" t="s">
        <v>703</v>
      </c>
      <c r="G27" s="503" t="s">
        <v>703</v>
      </c>
      <c r="H27" s="503" t="s">
        <v>590</v>
      </c>
      <c r="I27" s="503">
        <v>0</v>
      </c>
      <c r="J27" s="503">
        <v>0.9</v>
      </c>
      <c r="K27" s="503"/>
      <c r="L27" s="503"/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  <c r="AD27" s="503"/>
      <c r="AE27" s="503"/>
      <c r="AF27" s="503"/>
      <c r="AG27" s="503"/>
      <c r="AH27" s="503"/>
      <c r="AI27" s="503"/>
      <c r="AJ27" s="503"/>
      <c r="AK27" s="503"/>
      <c r="AL27" s="503"/>
      <c r="AM27" s="503"/>
      <c r="AN27" s="503"/>
      <c r="AO27" s="503"/>
      <c r="AP27" s="503"/>
    </row>
    <row r="28" spans="1:42" ht="15" x14ac:dyDescent="0.25">
      <c r="B28" s="503" t="s">
        <v>1033</v>
      </c>
      <c r="C28" s="503" t="s">
        <v>1016</v>
      </c>
      <c r="D28" s="503" t="s">
        <v>703</v>
      </c>
      <c r="E28" s="503" t="s">
        <v>1032</v>
      </c>
      <c r="F28" s="503" t="s">
        <v>703</v>
      </c>
      <c r="G28" s="503" t="s">
        <v>1031</v>
      </c>
      <c r="H28" s="503" t="s">
        <v>703</v>
      </c>
      <c r="I28" s="503">
        <v>0</v>
      </c>
      <c r="J28" s="503">
        <v>0.16600000000000001</v>
      </c>
      <c r="K28" s="503"/>
      <c r="L28" s="503"/>
      <c r="M28" s="503"/>
      <c r="N28" s="503"/>
      <c r="O28" s="503"/>
      <c r="P28" s="503"/>
      <c r="Q28" s="503"/>
      <c r="R28" s="503"/>
      <c r="S28" s="503"/>
      <c r="T28" s="503"/>
      <c r="U28" s="503"/>
      <c r="V28" s="503"/>
      <c r="W28" s="503"/>
      <c r="X28" s="503"/>
      <c r="Y28" s="503"/>
      <c r="Z28" s="503"/>
      <c r="AA28" s="503"/>
      <c r="AB28" s="503"/>
      <c r="AC28" s="503"/>
      <c r="AD28" s="503"/>
      <c r="AE28" s="503"/>
      <c r="AF28" s="503"/>
      <c r="AG28" s="503"/>
      <c r="AH28" s="503"/>
      <c r="AI28" s="503"/>
      <c r="AJ28" s="503"/>
      <c r="AK28" s="503"/>
      <c r="AL28" s="503"/>
      <c r="AM28" s="503"/>
      <c r="AN28" s="503"/>
      <c r="AO28" s="503"/>
      <c r="AP28" s="503"/>
    </row>
    <row r="29" spans="1:42" ht="15" x14ac:dyDescent="0.25">
      <c r="B29" s="503" t="s">
        <v>1030</v>
      </c>
      <c r="C29" s="503" t="s">
        <v>1018</v>
      </c>
      <c r="D29" s="503" t="s">
        <v>703</v>
      </c>
      <c r="E29" s="503" t="s">
        <v>703</v>
      </c>
      <c r="F29" s="503" t="s">
        <v>703</v>
      </c>
      <c r="G29" s="503" t="s">
        <v>703</v>
      </c>
      <c r="H29" s="503" t="s">
        <v>703</v>
      </c>
      <c r="I29" s="503">
        <v>0</v>
      </c>
      <c r="J29" s="503">
        <v>1E-3</v>
      </c>
      <c r="K29" s="503"/>
      <c r="L29" s="503"/>
      <c r="M29" s="503"/>
      <c r="N29" s="503"/>
      <c r="O29" s="503"/>
      <c r="P29" s="503"/>
      <c r="Q29" s="503"/>
      <c r="R29" s="503"/>
      <c r="S29" s="503"/>
      <c r="T29" s="503"/>
      <c r="U29" s="503"/>
      <c r="V29" s="503"/>
      <c r="W29" s="503"/>
      <c r="X29" s="503"/>
      <c r="Y29" s="503"/>
      <c r="Z29" s="503"/>
      <c r="AA29" s="503"/>
      <c r="AB29" s="503"/>
      <c r="AC29" s="503"/>
      <c r="AD29" s="503"/>
      <c r="AE29" s="503"/>
      <c r="AF29" s="503"/>
      <c r="AG29" s="503"/>
      <c r="AH29" s="503"/>
      <c r="AI29" s="503"/>
      <c r="AJ29" s="503"/>
      <c r="AK29" s="503"/>
      <c r="AL29" s="503"/>
      <c r="AM29" s="503"/>
      <c r="AN29" s="503"/>
      <c r="AO29" s="503"/>
      <c r="AP29" s="503"/>
    </row>
    <row r="30" spans="1:42" ht="15" x14ac:dyDescent="0.25">
      <c r="B30" s="503" t="s">
        <v>1030</v>
      </c>
      <c r="C30" s="503" t="s">
        <v>1017</v>
      </c>
      <c r="D30" s="503" t="s">
        <v>703</v>
      </c>
      <c r="E30" s="503" t="s">
        <v>703</v>
      </c>
      <c r="F30" s="503" t="s">
        <v>703</v>
      </c>
      <c r="G30" s="503" t="s">
        <v>703</v>
      </c>
      <c r="H30" s="503" t="s">
        <v>703</v>
      </c>
      <c r="I30" s="503">
        <v>0</v>
      </c>
      <c r="J30" s="503">
        <v>16903</v>
      </c>
      <c r="K30" s="503"/>
      <c r="L30" s="503"/>
      <c r="M30" s="503"/>
      <c r="N30" s="503"/>
      <c r="O30" s="503"/>
      <c r="P30" s="503"/>
      <c r="Q30" s="503"/>
      <c r="R30" s="505">
        <f>'HDRI scenarios'!Q6</f>
        <v>11152.439999999999</v>
      </c>
      <c r="S30" s="503"/>
      <c r="T30" s="503"/>
      <c r="U30" s="503"/>
      <c r="V30" s="503"/>
      <c r="W30" s="503"/>
      <c r="X30" s="503"/>
      <c r="Y30" s="503"/>
      <c r="Z30" s="503"/>
      <c r="AA30" s="503"/>
      <c r="AB30" s="505">
        <f>'HDRI scenarios'!R6</f>
        <v>7446.8749999999991</v>
      </c>
      <c r="AC30" s="503"/>
      <c r="AD30" s="503"/>
      <c r="AE30" s="503"/>
      <c r="AF30" s="503"/>
      <c r="AG30" s="503"/>
      <c r="AH30" s="503"/>
      <c r="AI30" s="503"/>
      <c r="AJ30" s="503"/>
      <c r="AK30" s="503"/>
      <c r="AL30" s="503"/>
      <c r="AM30" s="503"/>
      <c r="AN30" s="505">
        <f>'HDRI scenarios'!S6</f>
        <v>5361.75</v>
      </c>
      <c r="AO30" s="503"/>
      <c r="AP30" s="503"/>
    </row>
    <row r="31" spans="1:42" ht="15" x14ac:dyDescent="0.25">
      <c r="B31" s="503" t="s">
        <v>1030</v>
      </c>
      <c r="C31" s="503" t="s">
        <v>1016</v>
      </c>
      <c r="D31" s="503" t="s">
        <v>703</v>
      </c>
      <c r="E31" s="503" t="s">
        <v>703</v>
      </c>
      <c r="F31" s="503" t="s">
        <v>703</v>
      </c>
      <c r="G31" s="503" t="s">
        <v>703</v>
      </c>
      <c r="H31" s="503" t="s">
        <v>703</v>
      </c>
      <c r="I31" s="503">
        <v>0</v>
      </c>
      <c r="J31" s="503"/>
      <c r="K31" s="503"/>
      <c r="L31" s="503"/>
      <c r="M31" s="503"/>
      <c r="N31" s="503"/>
      <c r="O31" s="503">
        <v>27165.063840116502</v>
      </c>
      <c r="P31" s="503"/>
      <c r="Q31" s="503"/>
      <c r="R31" s="503">
        <v>20309.8105</v>
      </c>
      <c r="S31" s="503"/>
      <c r="T31" s="503"/>
      <c r="U31" s="503"/>
      <c r="V31" s="503"/>
      <c r="W31" s="503">
        <v>14178.547</v>
      </c>
      <c r="X31" s="503"/>
      <c r="Y31" s="503"/>
      <c r="Z31" s="503"/>
      <c r="AA31" s="503"/>
      <c r="AB31" s="503">
        <v>9963.3032999999996</v>
      </c>
      <c r="AC31" s="503"/>
      <c r="AD31" s="503"/>
      <c r="AE31" s="503"/>
      <c r="AF31" s="503"/>
      <c r="AG31" s="503"/>
      <c r="AH31" s="503"/>
      <c r="AI31" s="503"/>
      <c r="AJ31" s="503"/>
      <c r="AK31" s="503"/>
      <c r="AL31" s="503">
        <v>9196.8953000000001</v>
      </c>
      <c r="AM31" s="503"/>
      <c r="AN31" s="503">
        <v>9196.8953000000001</v>
      </c>
      <c r="AO31" s="503"/>
      <c r="AP31" s="503"/>
    </row>
    <row r="32" spans="1:42" ht="15" x14ac:dyDescent="0.25">
      <c r="B32" s="503" t="s">
        <v>1030</v>
      </c>
      <c r="C32" s="503" t="s">
        <v>1015</v>
      </c>
      <c r="D32" s="503" t="s">
        <v>703</v>
      </c>
      <c r="E32" s="503" t="s">
        <v>703</v>
      </c>
      <c r="F32" s="503" t="s">
        <v>703</v>
      </c>
      <c r="G32" s="503" t="s">
        <v>703</v>
      </c>
      <c r="H32" s="503" t="s">
        <v>703</v>
      </c>
      <c r="I32" s="503">
        <v>0</v>
      </c>
      <c r="J32" s="503">
        <v>2607</v>
      </c>
      <c r="K32" s="503"/>
      <c r="L32" s="503"/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/>
      <c r="AA32" s="503"/>
      <c r="AB32" s="503"/>
      <c r="AC32" s="503"/>
      <c r="AD32" s="503"/>
      <c r="AE32" s="503"/>
      <c r="AF32" s="503"/>
      <c r="AG32" s="503"/>
      <c r="AH32" s="503"/>
      <c r="AI32" s="503"/>
      <c r="AJ32" s="503"/>
      <c r="AK32" s="503"/>
      <c r="AL32" s="503"/>
      <c r="AM32" s="503"/>
      <c r="AN32" s="503"/>
      <c r="AO32" s="503"/>
      <c r="AP32" s="503"/>
    </row>
    <row r="33" spans="1:42" ht="15" x14ac:dyDescent="0.25">
      <c r="B33" s="503" t="s">
        <v>1030</v>
      </c>
      <c r="C33" s="503" t="s">
        <v>1014</v>
      </c>
      <c r="D33" s="503" t="s">
        <v>703</v>
      </c>
      <c r="E33" s="503" t="s">
        <v>703</v>
      </c>
      <c r="F33" s="503" t="s">
        <v>703</v>
      </c>
      <c r="G33" s="503" t="s">
        <v>703</v>
      </c>
      <c r="H33" s="503" t="s">
        <v>703</v>
      </c>
      <c r="I33" s="503">
        <v>0</v>
      </c>
      <c r="J33" s="503">
        <v>1</v>
      </c>
      <c r="K33" s="503"/>
      <c r="L33" s="503"/>
      <c r="M33" s="503"/>
      <c r="N33" s="503"/>
      <c r="O33" s="503"/>
      <c r="P33" s="503"/>
      <c r="Q33" s="503"/>
      <c r="R33" s="503"/>
      <c r="S33" s="503"/>
      <c r="T33" s="503"/>
      <c r="U33" s="503"/>
      <c r="V33" s="503"/>
      <c r="W33" s="503"/>
      <c r="X33" s="503"/>
      <c r="Y33" s="503"/>
      <c r="Z33" s="503"/>
      <c r="AA33" s="503"/>
      <c r="AB33" s="503"/>
      <c r="AC33" s="503"/>
      <c r="AD33" s="503"/>
      <c r="AE33" s="503"/>
      <c r="AF33" s="503"/>
      <c r="AG33" s="503"/>
      <c r="AH33" s="503"/>
      <c r="AI33" s="503"/>
      <c r="AJ33" s="503"/>
      <c r="AK33" s="503"/>
      <c r="AL33" s="503"/>
      <c r="AM33" s="503"/>
      <c r="AN33" s="503"/>
      <c r="AO33" s="503"/>
      <c r="AP33" s="503"/>
    </row>
    <row r="34" spans="1:42" ht="15" x14ac:dyDescent="0.25">
      <c r="B34" s="503" t="s">
        <v>1030</v>
      </c>
      <c r="C34" s="503" t="s">
        <v>1013</v>
      </c>
      <c r="D34" s="503" t="s">
        <v>703</v>
      </c>
      <c r="E34" s="503" t="s">
        <v>703</v>
      </c>
      <c r="F34" s="503" t="s">
        <v>703</v>
      </c>
      <c r="G34" s="503" t="s">
        <v>703</v>
      </c>
      <c r="H34" s="503" t="s">
        <v>703</v>
      </c>
      <c r="I34" s="503">
        <v>0</v>
      </c>
      <c r="J34" s="503">
        <v>3000.89</v>
      </c>
      <c r="K34" s="503"/>
      <c r="L34" s="503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</row>
    <row r="35" spans="1:42" ht="15" x14ac:dyDescent="0.25">
      <c r="B35" s="503" t="s">
        <v>1030</v>
      </c>
      <c r="C35" s="503" t="s">
        <v>1011</v>
      </c>
      <c r="D35" s="503" t="s">
        <v>703</v>
      </c>
      <c r="E35" s="503" t="s">
        <v>703</v>
      </c>
      <c r="F35" s="503" t="s">
        <v>703</v>
      </c>
      <c r="G35" s="503" t="s">
        <v>703</v>
      </c>
      <c r="H35" s="503" t="s">
        <v>703</v>
      </c>
      <c r="I35" s="503">
        <v>3</v>
      </c>
      <c r="J35" s="503"/>
      <c r="K35" s="503"/>
      <c r="L35" s="503"/>
      <c r="M35" s="503"/>
      <c r="N35" s="503"/>
      <c r="O35" s="503"/>
      <c r="P35" s="503"/>
      <c r="Q35" s="503"/>
      <c r="R35" s="503">
        <v>52205</v>
      </c>
      <c r="S35" s="503"/>
      <c r="T35" s="503"/>
      <c r="U35" s="503"/>
      <c r="V35" s="503"/>
      <c r="W35" s="503"/>
      <c r="X35" s="503"/>
      <c r="Y35" s="503"/>
      <c r="Z35" s="503"/>
      <c r="AA35" s="503"/>
      <c r="AB35" s="503">
        <v>34977</v>
      </c>
      <c r="AC35" s="503"/>
      <c r="AD35" s="503"/>
      <c r="AE35" s="503"/>
      <c r="AF35" s="503"/>
      <c r="AG35" s="503"/>
      <c r="AH35" s="503"/>
      <c r="AI35" s="503"/>
      <c r="AJ35" s="503"/>
      <c r="AK35" s="503"/>
      <c r="AL35" s="503"/>
      <c r="AM35" s="503"/>
      <c r="AN35" s="503">
        <v>31479.67</v>
      </c>
      <c r="AO35" s="503"/>
      <c r="AP35" s="503"/>
    </row>
    <row r="36" spans="1:42" ht="15" x14ac:dyDescent="0.25">
      <c r="A36" s="503" t="s">
        <v>1010</v>
      </c>
      <c r="B36" s="503" t="s">
        <v>1030</v>
      </c>
      <c r="C36" s="503" t="s">
        <v>1009</v>
      </c>
      <c r="D36" s="503" t="s">
        <v>703</v>
      </c>
      <c r="E36" s="503" t="s">
        <v>703</v>
      </c>
      <c r="F36" s="503" t="s">
        <v>703</v>
      </c>
      <c r="G36" s="503" t="s">
        <v>703</v>
      </c>
      <c r="H36" s="503" t="s">
        <v>703</v>
      </c>
      <c r="I36" s="503">
        <v>0</v>
      </c>
      <c r="J36" s="503">
        <v>30646.6829</v>
      </c>
      <c r="K36" s="503"/>
      <c r="L36" s="503"/>
      <c r="M36" s="503"/>
      <c r="N36" s="503"/>
      <c r="O36" s="503">
        <v>14788.1867465005</v>
      </c>
      <c r="P36" s="503"/>
      <c r="Q36" s="503"/>
      <c r="R36" s="503">
        <v>9084</v>
      </c>
      <c r="S36" s="503"/>
      <c r="T36" s="503"/>
      <c r="U36" s="503"/>
      <c r="V36" s="503"/>
      <c r="W36" s="503">
        <v>6659.5</v>
      </c>
      <c r="X36" s="503"/>
      <c r="Y36" s="503"/>
      <c r="Z36" s="503"/>
      <c r="AA36" s="503"/>
      <c r="AB36" s="503">
        <v>4235</v>
      </c>
      <c r="AC36" s="503"/>
      <c r="AD36" s="503"/>
      <c r="AE36" s="503"/>
      <c r="AF36" s="503"/>
      <c r="AG36" s="503"/>
      <c r="AH36" s="503"/>
      <c r="AI36" s="503"/>
      <c r="AJ36" s="503"/>
      <c r="AK36" s="503"/>
      <c r="AL36" s="503">
        <v>3353.13</v>
      </c>
      <c r="AM36" s="503"/>
      <c r="AN36" s="503">
        <v>3090</v>
      </c>
      <c r="AO36" s="503"/>
      <c r="AP36" s="503"/>
    </row>
    <row r="37" spans="1:42" ht="15" x14ac:dyDescent="0.25">
      <c r="B37" s="503" t="s">
        <v>1030</v>
      </c>
      <c r="C37" s="503" t="s">
        <v>1005</v>
      </c>
      <c r="D37" s="503" t="s">
        <v>703</v>
      </c>
      <c r="E37" s="503" t="s">
        <v>703</v>
      </c>
      <c r="F37" s="503" t="s">
        <v>703</v>
      </c>
      <c r="G37" s="503" t="s">
        <v>703</v>
      </c>
      <c r="H37" s="503" t="s">
        <v>703</v>
      </c>
      <c r="I37" s="503">
        <v>0</v>
      </c>
      <c r="J37" s="503">
        <v>1E-3</v>
      </c>
      <c r="K37" s="503"/>
      <c r="L37" s="503"/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/>
      <c r="AA37" s="503"/>
      <c r="AB37" s="503"/>
      <c r="AC37" s="503"/>
      <c r="AD37" s="503"/>
      <c r="AE37" s="503"/>
      <c r="AF37" s="503"/>
      <c r="AG37" s="503"/>
      <c r="AH37" s="503"/>
      <c r="AI37" s="503"/>
      <c r="AJ37" s="503"/>
      <c r="AK37" s="503"/>
      <c r="AL37" s="503"/>
      <c r="AM37" s="503"/>
      <c r="AN37" s="503"/>
      <c r="AO37" s="503"/>
      <c r="AP37" s="503"/>
    </row>
    <row r="38" spans="1:42" ht="15" x14ac:dyDescent="0.25">
      <c r="B38" s="503" t="s">
        <v>938</v>
      </c>
      <c r="C38" s="503" t="s">
        <v>1017</v>
      </c>
      <c r="D38" s="503" t="s">
        <v>703</v>
      </c>
      <c r="E38" s="503" t="s">
        <v>703</v>
      </c>
      <c r="F38" s="503" t="s">
        <v>703</v>
      </c>
      <c r="G38" s="503" t="s">
        <v>703</v>
      </c>
      <c r="H38" s="503" t="s">
        <v>703</v>
      </c>
      <c r="I38" s="503">
        <v>0</v>
      </c>
      <c r="J38" s="503">
        <v>431.2</v>
      </c>
      <c r="K38" s="503"/>
      <c r="L38" s="503"/>
      <c r="M38" s="503"/>
      <c r="N38" s="503"/>
      <c r="O38" s="503"/>
      <c r="P38" s="503"/>
      <c r="Q38" s="503"/>
      <c r="R38" s="504">
        <f>'HDRI scenarios'!Q9</f>
        <v>557.62199999999996</v>
      </c>
      <c r="U38" s="503"/>
      <c r="V38" s="503"/>
      <c r="Y38" s="503"/>
      <c r="Z38" s="503"/>
      <c r="AA38" s="503"/>
      <c r="AB38" s="504">
        <f>'HDRI scenarios'!R9</f>
        <v>372.34375</v>
      </c>
      <c r="AD38" s="503"/>
      <c r="AE38" s="503"/>
      <c r="AF38" s="503"/>
      <c r="AG38" s="503"/>
      <c r="AH38" s="503"/>
      <c r="AI38" s="503"/>
      <c r="AJ38" s="503"/>
      <c r="AK38" s="503"/>
      <c r="AL38" s="503"/>
      <c r="AM38" s="503"/>
      <c r="AN38" s="504">
        <f>'HDRI scenarios'!S9</f>
        <v>268.08750000000003</v>
      </c>
      <c r="AO38" s="503"/>
      <c r="AP38" s="503"/>
    </row>
    <row r="39" spans="1:42" ht="15" x14ac:dyDescent="0.25">
      <c r="B39" s="503" t="s">
        <v>938</v>
      </c>
      <c r="C39" s="503" t="s">
        <v>1016</v>
      </c>
      <c r="D39" s="503" t="s">
        <v>703</v>
      </c>
      <c r="E39" s="503" t="s">
        <v>703</v>
      </c>
      <c r="F39" s="503" t="s">
        <v>703</v>
      </c>
      <c r="G39" s="503" t="s">
        <v>703</v>
      </c>
      <c r="H39" s="503" t="s">
        <v>703</v>
      </c>
      <c r="I39" s="503">
        <v>0</v>
      </c>
      <c r="J39" s="503">
        <v>622.613480055021</v>
      </c>
      <c r="K39" s="503"/>
      <c r="L39" s="503"/>
      <c r="M39" s="503"/>
      <c r="N39" s="503"/>
      <c r="O39" s="503"/>
      <c r="P39" s="503"/>
      <c r="Q39" s="503"/>
      <c r="R39" s="503"/>
      <c r="S39" s="503"/>
      <c r="T39" s="503"/>
      <c r="U39" s="503"/>
      <c r="V39" s="503"/>
      <c r="W39" s="503"/>
      <c r="X39" s="503"/>
      <c r="Y39" s="503"/>
      <c r="Z39" s="503"/>
      <c r="AA39" s="503"/>
      <c r="AB39" s="503"/>
      <c r="AC39" s="503"/>
      <c r="AD39" s="503"/>
      <c r="AE39" s="503"/>
      <c r="AF39" s="503"/>
      <c r="AG39" s="503"/>
      <c r="AH39" s="503"/>
      <c r="AI39" s="503"/>
      <c r="AJ39" s="503"/>
      <c r="AK39" s="503"/>
      <c r="AL39" s="503"/>
      <c r="AM39" s="503"/>
      <c r="AN39" s="503"/>
      <c r="AO39" s="503"/>
      <c r="AP39" s="503"/>
    </row>
    <row r="40" spans="1:42" ht="15" x14ac:dyDescent="0.25">
      <c r="B40" s="503" t="s">
        <v>938</v>
      </c>
      <c r="C40" s="503" t="s">
        <v>1013</v>
      </c>
      <c r="D40" s="503" t="s">
        <v>703</v>
      </c>
      <c r="E40" s="503" t="s">
        <v>703</v>
      </c>
      <c r="F40" s="503" t="s">
        <v>703</v>
      </c>
      <c r="G40" s="503" t="s">
        <v>703</v>
      </c>
      <c r="H40" s="503" t="s">
        <v>703</v>
      </c>
      <c r="I40" s="503">
        <v>0</v>
      </c>
      <c r="J40" s="503">
        <v>150</v>
      </c>
      <c r="K40" s="503"/>
      <c r="L40" s="503"/>
      <c r="M40" s="503"/>
      <c r="N40" s="503"/>
      <c r="O40" s="503"/>
      <c r="P40" s="503"/>
      <c r="Q40" s="503"/>
      <c r="R40" s="503"/>
      <c r="S40" s="503"/>
      <c r="T40" s="503"/>
      <c r="U40" s="503"/>
      <c r="V40" s="503"/>
      <c r="W40" s="503"/>
      <c r="X40" s="503"/>
      <c r="Y40" s="503"/>
      <c r="Z40" s="503"/>
      <c r="AA40" s="503"/>
      <c r="AB40" s="503"/>
      <c r="AC40" s="503"/>
      <c r="AD40" s="503"/>
      <c r="AE40" s="503"/>
      <c r="AF40" s="503"/>
      <c r="AG40" s="503"/>
      <c r="AH40" s="503"/>
      <c r="AI40" s="503"/>
      <c r="AJ40" s="503"/>
      <c r="AK40" s="503"/>
      <c r="AL40" s="503"/>
      <c r="AM40" s="503"/>
      <c r="AN40" s="503"/>
      <c r="AO40" s="503"/>
      <c r="AP40" s="503"/>
    </row>
    <row r="41" spans="1:42" ht="15" x14ac:dyDescent="0.25">
      <c r="B41" s="503" t="s">
        <v>938</v>
      </c>
      <c r="C41" s="503" t="s">
        <v>1011</v>
      </c>
      <c r="D41" s="503" t="s">
        <v>703</v>
      </c>
      <c r="E41" s="503" t="s">
        <v>703</v>
      </c>
      <c r="F41" s="503" t="s">
        <v>703</v>
      </c>
      <c r="G41" s="503" t="s">
        <v>703</v>
      </c>
      <c r="H41" s="503" t="s">
        <v>703</v>
      </c>
      <c r="I41" s="503">
        <v>0</v>
      </c>
      <c r="J41" s="503"/>
      <c r="K41" s="503"/>
      <c r="L41" s="503"/>
      <c r="M41" s="503"/>
      <c r="N41" s="503"/>
      <c r="O41" s="503"/>
      <c r="P41" s="503"/>
      <c r="Q41" s="503"/>
      <c r="R41" s="503">
        <v>522.04999999999995</v>
      </c>
      <c r="S41" s="503"/>
      <c r="T41" s="503"/>
      <c r="U41" s="503"/>
      <c r="V41" s="503"/>
      <c r="W41" s="503"/>
      <c r="X41" s="503"/>
      <c r="Y41" s="503"/>
      <c r="Z41" s="503"/>
      <c r="AA41" s="503"/>
      <c r="AB41" s="503">
        <v>349.77</v>
      </c>
      <c r="AC41" s="503"/>
      <c r="AD41" s="503"/>
      <c r="AE41" s="503"/>
      <c r="AF41" s="503"/>
      <c r="AG41" s="503"/>
      <c r="AH41" s="503"/>
      <c r="AI41" s="503"/>
      <c r="AJ41" s="503"/>
      <c r="AK41" s="503"/>
      <c r="AL41" s="503"/>
      <c r="AM41" s="503"/>
      <c r="AN41" s="503">
        <v>314.8</v>
      </c>
      <c r="AO41" s="503"/>
      <c r="AP41" s="503"/>
    </row>
    <row r="42" spans="1:42" ht="15" x14ac:dyDescent="0.25">
      <c r="A42" s="503" t="s">
        <v>1010</v>
      </c>
      <c r="B42" s="503" t="s">
        <v>938</v>
      </c>
      <c r="C42" s="503" t="s">
        <v>1009</v>
      </c>
      <c r="D42" s="503" t="s">
        <v>703</v>
      </c>
      <c r="E42" s="503" t="s">
        <v>703</v>
      </c>
      <c r="F42" s="503" t="s">
        <v>703</v>
      </c>
      <c r="G42" s="503" t="s">
        <v>703</v>
      </c>
      <c r="H42" s="503" t="s">
        <v>703</v>
      </c>
      <c r="I42" s="503">
        <v>0</v>
      </c>
      <c r="J42" s="503">
        <v>285.84836960919199</v>
      </c>
      <c r="K42" s="503"/>
      <c r="L42" s="503"/>
      <c r="M42" s="503"/>
      <c r="N42" s="503"/>
      <c r="O42" s="503"/>
      <c r="P42" s="503"/>
      <c r="Q42" s="503"/>
      <c r="R42" s="503">
        <v>285.84840000000003</v>
      </c>
      <c r="S42" s="503"/>
      <c r="T42" s="503"/>
      <c r="U42" s="503"/>
      <c r="V42" s="503"/>
      <c r="W42" s="503">
        <v>232.25</v>
      </c>
      <c r="X42" s="503"/>
      <c r="Y42" s="503"/>
      <c r="Z42" s="503"/>
      <c r="AA42" s="503"/>
      <c r="AB42" s="503">
        <v>178.6</v>
      </c>
      <c r="AC42" s="503"/>
      <c r="AD42" s="503"/>
      <c r="AE42" s="503"/>
      <c r="AF42" s="503"/>
      <c r="AG42" s="503"/>
      <c r="AH42" s="503"/>
      <c r="AI42" s="503"/>
      <c r="AJ42" s="503"/>
      <c r="AK42" s="503"/>
      <c r="AL42" s="503"/>
      <c r="AM42" s="503"/>
      <c r="AN42" s="503"/>
      <c r="AO42" s="503"/>
      <c r="AP42" s="503"/>
    </row>
    <row r="43" spans="1:42" ht="15" x14ac:dyDescent="0.25">
      <c r="B43" s="503" t="s">
        <v>1029</v>
      </c>
      <c r="C43" s="503" t="s">
        <v>1017</v>
      </c>
      <c r="D43" s="503" t="s">
        <v>703</v>
      </c>
      <c r="E43" s="503" t="s">
        <v>703</v>
      </c>
      <c r="F43" s="503" t="s">
        <v>703</v>
      </c>
      <c r="G43" s="503" t="s">
        <v>703</v>
      </c>
      <c r="H43" s="503" t="s">
        <v>703</v>
      </c>
      <c r="I43" s="503">
        <v>0</v>
      </c>
      <c r="J43" s="503">
        <v>-1</v>
      </c>
      <c r="K43" s="503"/>
      <c r="L43" s="503"/>
      <c r="M43" s="503"/>
      <c r="N43" s="503"/>
      <c r="O43" s="503"/>
      <c r="P43" s="503"/>
      <c r="Q43" s="503"/>
      <c r="R43" s="503">
        <v>-1</v>
      </c>
      <c r="S43" s="503"/>
      <c r="T43" s="503"/>
      <c r="U43" s="503"/>
      <c r="V43" s="503"/>
      <c r="W43" s="503"/>
      <c r="X43" s="503"/>
      <c r="Y43" s="503"/>
      <c r="Z43" s="503"/>
      <c r="AA43" s="503"/>
      <c r="AB43" s="503"/>
      <c r="AC43" s="503"/>
      <c r="AD43" s="503"/>
      <c r="AE43" s="503"/>
      <c r="AF43" s="503"/>
      <c r="AG43" s="503"/>
      <c r="AH43" s="503"/>
      <c r="AI43" s="503"/>
      <c r="AJ43" s="503"/>
      <c r="AK43" s="503"/>
      <c r="AL43" s="503"/>
      <c r="AM43" s="503"/>
      <c r="AN43" s="503"/>
      <c r="AO43" s="503"/>
      <c r="AP43" s="503"/>
    </row>
    <row r="44" spans="1:42" ht="15" x14ac:dyDescent="0.25">
      <c r="B44" s="503" t="s">
        <v>1029</v>
      </c>
      <c r="C44" s="503" t="s">
        <v>1016</v>
      </c>
      <c r="D44" s="503" t="s">
        <v>703</v>
      </c>
      <c r="E44" s="503" t="s">
        <v>703</v>
      </c>
      <c r="F44" s="503" t="s">
        <v>703</v>
      </c>
      <c r="G44" s="503" t="s">
        <v>703</v>
      </c>
      <c r="H44" s="503" t="s">
        <v>703</v>
      </c>
      <c r="I44" s="503">
        <v>0</v>
      </c>
      <c r="J44" s="503">
        <v>-1</v>
      </c>
      <c r="K44" s="503"/>
      <c r="L44" s="503"/>
      <c r="M44" s="503"/>
      <c r="N44" s="503"/>
      <c r="O44" s="503"/>
      <c r="P44" s="503"/>
      <c r="Q44" s="503"/>
      <c r="R44" s="503"/>
      <c r="S44" s="503"/>
      <c r="T44" s="503"/>
      <c r="U44" s="503"/>
      <c r="V44" s="503"/>
      <c r="W44" s="503"/>
      <c r="X44" s="503"/>
      <c r="Y44" s="503"/>
      <c r="Z44" s="503"/>
      <c r="AA44" s="503"/>
      <c r="AB44" s="503"/>
      <c r="AC44" s="503"/>
      <c r="AD44" s="503"/>
      <c r="AE44" s="503"/>
      <c r="AF44" s="503"/>
      <c r="AG44" s="503"/>
      <c r="AH44" s="503"/>
      <c r="AI44" s="503"/>
      <c r="AJ44" s="503"/>
      <c r="AK44" s="503"/>
      <c r="AL44" s="503"/>
      <c r="AM44" s="503"/>
      <c r="AN44" s="503"/>
      <c r="AO44" s="503"/>
      <c r="AP44" s="503"/>
    </row>
    <row r="45" spans="1:42" ht="15" x14ac:dyDescent="0.25">
      <c r="B45" s="503" t="s">
        <v>1029</v>
      </c>
      <c r="C45" s="503" t="s">
        <v>1015</v>
      </c>
      <c r="D45" s="503" t="s">
        <v>703</v>
      </c>
      <c r="E45" s="503" t="s">
        <v>703</v>
      </c>
      <c r="F45" s="503" t="s">
        <v>703</v>
      </c>
      <c r="G45" s="503" t="s">
        <v>703</v>
      </c>
      <c r="H45" s="503" t="s">
        <v>703</v>
      </c>
      <c r="I45" s="503">
        <v>0</v>
      </c>
      <c r="J45" s="503">
        <v>-1</v>
      </c>
      <c r="K45" s="503"/>
      <c r="L45" s="503"/>
      <c r="M45" s="503"/>
      <c r="N45" s="503"/>
      <c r="O45" s="503"/>
      <c r="P45" s="503"/>
      <c r="Q45" s="503"/>
      <c r="R45" s="503"/>
      <c r="S45" s="503"/>
      <c r="T45" s="503"/>
      <c r="U45" s="503"/>
      <c r="V45" s="503"/>
      <c r="W45" s="503"/>
      <c r="X45" s="503"/>
      <c r="Y45" s="503"/>
      <c r="Z45" s="503"/>
      <c r="AA45" s="503"/>
      <c r="AB45" s="503"/>
      <c r="AC45" s="503"/>
      <c r="AD45" s="503"/>
      <c r="AE45" s="503"/>
      <c r="AF45" s="503"/>
      <c r="AG45" s="503"/>
      <c r="AH45" s="503"/>
      <c r="AI45" s="503"/>
      <c r="AJ45" s="503"/>
      <c r="AK45" s="503"/>
      <c r="AL45" s="503"/>
      <c r="AM45" s="503"/>
      <c r="AN45" s="503"/>
      <c r="AO45" s="503"/>
      <c r="AP45" s="503"/>
    </row>
    <row r="46" spans="1:42" ht="15" x14ac:dyDescent="0.25">
      <c r="B46" s="503" t="s">
        <v>1029</v>
      </c>
      <c r="C46" s="503" t="s">
        <v>1013</v>
      </c>
      <c r="D46" s="503" t="s">
        <v>703</v>
      </c>
      <c r="E46" s="503" t="s">
        <v>703</v>
      </c>
      <c r="F46" s="503" t="s">
        <v>703</v>
      </c>
      <c r="G46" s="503" t="s">
        <v>703</v>
      </c>
      <c r="H46" s="503" t="s">
        <v>703</v>
      </c>
      <c r="I46" s="503">
        <v>0</v>
      </c>
      <c r="J46" s="503">
        <v>-1</v>
      </c>
      <c r="K46" s="503"/>
      <c r="L46" s="503"/>
      <c r="M46" s="503"/>
      <c r="N46" s="503"/>
      <c r="O46" s="503"/>
      <c r="P46" s="503"/>
      <c r="Q46" s="503"/>
      <c r="R46" s="503"/>
      <c r="S46" s="503"/>
      <c r="T46" s="503"/>
      <c r="U46" s="503"/>
      <c r="V46" s="503"/>
      <c r="W46" s="503"/>
      <c r="X46" s="503"/>
      <c r="Y46" s="503"/>
      <c r="Z46" s="503"/>
      <c r="AA46" s="503"/>
      <c r="AB46" s="503"/>
      <c r="AC46" s="503"/>
      <c r="AD46" s="503"/>
      <c r="AE46" s="503"/>
      <c r="AF46" s="503"/>
      <c r="AG46" s="503"/>
      <c r="AH46" s="503"/>
      <c r="AI46" s="503"/>
      <c r="AJ46" s="503"/>
      <c r="AK46" s="503"/>
      <c r="AL46" s="503"/>
      <c r="AM46" s="503"/>
      <c r="AN46" s="503"/>
      <c r="AO46" s="503"/>
      <c r="AP46" s="503"/>
    </row>
    <row r="47" spans="1:42" ht="15" x14ac:dyDescent="0.25">
      <c r="B47" s="503" t="s">
        <v>1029</v>
      </c>
      <c r="C47" s="503" t="s">
        <v>1011</v>
      </c>
      <c r="D47" s="503" t="s">
        <v>703</v>
      </c>
      <c r="E47" s="503" t="s">
        <v>703</v>
      </c>
      <c r="F47" s="503" t="s">
        <v>703</v>
      </c>
      <c r="G47" s="503" t="s">
        <v>703</v>
      </c>
      <c r="H47" s="503" t="s">
        <v>703</v>
      </c>
      <c r="I47" s="503">
        <v>0</v>
      </c>
      <c r="J47" s="503">
        <v>-1</v>
      </c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503"/>
      <c r="V47" s="503"/>
      <c r="W47" s="503"/>
      <c r="X47" s="503"/>
      <c r="Y47" s="503"/>
      <c r="Z47" s="503"/>
      <c r="AA47" s="503"/>
      <c r="AB47" s="503"/>
      <c r="AC47" s="503"/>
      <c r="AD47" s="503"/>
      <c r="AE47" s="503"/>
      <c r="AF47" s="503"/>
      <c r="AG47" s="503"/>
      <c r="AH47" s="503"/>
      <c r="AI47" s="503"/>
      <c r="AJ47" s="503"/>
      <c r="AK47" s="503"/>
      <c r="AL47" s="503"/>
      <c r="AM47" s="503"/>
      <c r="AN47" s="503"/>
      <c r="AO47" s="503"/>
      <c r="AP47" s="503"/>
    </row>
    <row r="48" spans="1:42" ht="15" x14ac:dyDescent="0.25">
      <c r="A48" s="503" t="s">
        <v>1010</v>
      </c>
      <c r="B48" s="503" t="s">
        <v>1029</v>
      </c>
      <c r="C48" s="503" t="s">
        <v>1009</v>
      </c>
      <c r="D48" s="503" t="s">
        <v>703</v>
      </c>
      <c r="E48" s="503" t="s">
        <v>703</v>
      </c>
      <c r="F48" s="503" t="s">
        <v>703</v>
      </c>
      <c r="G48" s="503" t="s">
        <v>703</v>
      </c>
      <c r="H48" s="503" t="s">
        <v>703</v>
      </c>
      <c r="I48" s="503">
        <v>0</v>
      </c>
      <c r="J48" s="503">
        <v>-1</v>
      </c>
      <c r="K48" s="503"/>
      <c r="L48" s="503"/>
      <c r="M48" s="503"/>
      <c r="N48" s="503"/>
      <c r="O48" s="503"/>
      <c r="P48" s="503"/>
      <c r="Q48" s="503"/>
      <c r="R48" s="503"/>
      <c r="S48" s="503"/>
      <c r="T48" s="503"/>
      <c r="U48" s="503"/>
      <c r="V48" s="503"/>
      <c r="W48" s="503"/>
      <c r="X48" s="503"/>
      <c r="Y48" s="503"/>
      <c r="Z48" s="503"/>
      <c r="AA48" s="503"/>
      <c r="AB48" s="503"/>
      <c r="AC48" s="503"/>
      <c r="AD48" s="503"/>
      <c r="AE48" s="503"/>
      <c r="AF48" s="503"/>
      <c r="AG48" s="503"/>
      <c r="AH48" s="503"/>
      <c r="AI48" s="503"/>
      <c r="AJ48" s="503"/>
      <c r="AK48" s="503"/>
      <c r="AL48" s="503"/>
      <c r="AM48" s="503"/>
      <c r="AN48" s="503"/>
      <c r="AO48" s="503"/>
      <c r="AP48" s="503"/>
    </row>
    <row r="49" spans="1:42" ht="15" x14ac:dyDescent="0.25">
      <c r="B49" s="503" t="s">
        <v>1028</v>
      </c>
      <c r="C49" s="503" t="s">
        <v>1017</v>
      </c>
      <c r="D49" s="503" t="s">
        <v>703</v>
      </c>
      <c r="E49" s="503" t="s">
        <v>703</v>
      </c>
      <c r="F49" s="503" t="s">
        <v>703</v>
      </c>
      <c r="G49" s="503" t="s">
        <v>703</v>
      </c>
      <c r="H49" s="503" t="s">
        <v>703</v>
      </c>
      <c r="I49" s="503">
        <v>0</v>
      </c>
      <c r="J49" s="503">
        <v>10</v>
      </c>
      <c r="K49" s="503"/>
      <c r="L49" s="503"/>
      <c r="M49" s="503"/>
      <c r="N49" s="503"/>
      <c r="O49" s="503"/>
      <c r="P49" s="503"/>
      <c r="Q49" s="503"/>
      <c r="R49" s="504">
        <f>'HDRI scenarios'!Q8</f>
        <v>10</v>
      </c>
      <c r="U49" s="503"/>
      <c r="X49" s="503"/>
      <c r="Y49" s="503"/>
      <c r="Z49" s="503"/>
      <c r="AA49" s="503"/>
      <c r="AB49" s="504">
        <f>'HDRI scenarios'!R8</f>
        <v>13</v>
      </c>
      <c r="AD49" s="503"/>
      <c r="AF49" s="503"/>
      <c r="AG49" s="503"/>
      <c r="AH49" s="503"/>
      <c r="AI49" s="503"/>
      <c r="AJ49" s="503"/>
      <c r="AK49" s="503"/>
      <c r="AL49" s="503"/>
      <c r="AM49" s="503"/>
      <c r="AN49" s="504">
        <f>'HDRI scenarios'!S8</f>
        <v>16</v>
      </c>
      <c r="AO49" s="503"/>
      <c r="AP49" s="503"/>
    </row>
    <row r="50" spans="1:42" ht="15" x14ac:dyDescent="0.25">
      <c r="B50" s="503" t="s">
        <v>1028</v>
      </c>
      <c r="C50" s="503" t="s">
        <v>1016</v>
      </c>
      <c r="D50" s="503" t="s">
        <v>703</v>
      </c>
      <c r="E50" s="503" t="s">
        <v>703</v>
      </c>
      <c r="F50" s="503" t="s">
        <v>703</v>
      </c>
      <c r="G50" s="503" t="s">
        <v>703</v>
      </c>
      <c r="H50" s="503" t="s">
        <v>703</v>
      </c>
      <c r="I50" s="503">
        <v>0</v>
      </c>
      <c r="J50" s="503">
        <v>15</v>
      </c>
      <c r="K50" s="503"/>
      <c r="L50" s="503"/>
      <c r="M50" s="503"/>
      <c r="N50" s="503"/>
      <c r="O50" s="503"/>
      <c r="P50" s="503"/>
      <c r="Q50" s="503"/>
      <c r="R50" s="503"/>
      <c r="S50" s="503"/>
      <c r="T50" s="503"/>
      <c r="U50" s="503"/>
      <c r="V50" s="503"/>
      <c r="W50" s="503"/>
      <c r="X50" s="503"/>
      <c r="Y50" s="503"/>
      <c r="Z50" s="503"/>
      <c r="AA50" s="503"/>
      <c r="AB50" s="503"/>
      <c r="AC50" s="503"/>
      <c r="AD50" s="503"/>
      <c r="AE50" s="503"/>
      <c r="AF50" s="503"/>
      <c r="AG50" s="503"/>
      <c r="AH50" s="503"/>
      <c r="AI50" s="503"/>
      <c r="AJ50" s="503"/>
      <c r="AK50" s="503"/>
      <c r="AL50" s="503"/>
      <c r="AM50" s="503"/>
      <c r="AN50" s="503"/>
      <c r="AO50" s="503"/>
      <c r="AP50" s="503"/>
    </row>
    <row r="51" spans="1:42" ht="15" x14ac:dyDescent="0.25">
      <c r="B51" s="503" t="s">
        <v>1028</v>
      </c>
      <c r="C51" s="503" t="s">
        <v>1015</v>
      </c>
      <c r="D51" s="503" t="s">
        <v>703</v>
      </c>
      <c r="E51" s="503" t="s">
        <v>703</v>
      </c>
      <c r="F51" s="503" t="s">
        <v>703</v>
      </c>
      <c r="G51" s="503" t="s">
        <v>703</v>
      </c>
      <c r="H51" s="503" t="s">
        <v>703</v>
      </c>
      <c r="I51" s="503">
        <v>0</v>
      </c>
      <c r="J51" s="503">
        <v>20</v>
      </c>
      <c r="K51" s="503"/>
      <c r="L51" s="503"/>
      <c r="M51" s="503"/>
      <c r="N51" s="503"/>
      <c r="O51" s="503"/>
      <c r="P51" s="503"/>
      <c r="Q51" s="503"/>
      <c r="R51" s="503"/>
      <c r="S51" s="503"/>
      <c r="T51" s="503"/>
      <c r="U51" s="503"/>
      <c r="V51" s="503"/>
      <c r="W51" s="503"/>
      <c r="X51" s="503"/>
      <c r="Y51" s="503"/>
      <c r="Z51" s="503"/>
      <c r="AA51" s="503"/>
      <c r="AB51" s="503"/>
      <c r="AC51" s="503"/>
      <c r="AD51" s="503"/>
      <c r="AE51" s="503"/>
      <c r="AF51" s="503"/>
      <c r="AG51" s="503"/>
      <c r="AH51" s="503"/>
      <c r="AI51" s="503"/>
      <c r="AJ51" s="503"/>
      <c r="AK51" s="503"/>
      <c r="AL51" s="503"/>
      <c r="AM51" s="503"/>
      <c r="AN51" s="503"/>
      <c r="AO51" s="503"/>
      <c r="AP51" s="503"/>
    </row>
    <row r="52" spans="1:42" ht="15" x14ac:dyDescent="0.25">
      <c r="B52" s="503" t="s">
        <v>1028</v>
      </c>
      <c r="C52" s="503" t="s">
        <v>1013</v>
      </c>
      <c r="D52" s="503" t="s">
        <v>703</v>
      </c>
      <c r="E52" s="503" t="s">
        <v>703</v>
      </c>
      <c r="F52" s="503" t="s">
        <v>703</v>
      </c>
      <c r="G52" s="503" t="s">
        <v>703</v>
      </c>
      <c r="H52" s="503" t="s">
        <v>703</v>
      </c>
      <c r="I52" s="503">
        <v>0</v>
      </c>
      <c r="J52" s="503">
        <v>20</v>
      </c>
      <c r="K52" s="503"/>
      <c r="L52" s="503"/>
      <c r="M52" s="503"/>
      <c r="N52" s="503"/>
      <c r="O52" s="503"/>
      <c r="P52" s="503"/>
      <c r="Q52" s="503"/>
      <c r="R52" s="503"/>
      <c r="S52" s="503"/>
      <c r="T52" s="503"/>
      <c r="U52" s="503"/>
      <c r="V52" s="503"/>
      <c r="W52" s="503"/>
      <c r="X52" s="503"/>
      <c r="Y52" s="503"/>
      <c r="Z52" s="503"/>
      <c r="AA52" s="503"/>
      <c r="AB52" s="503"/>
      <c r="AC52" s="503"/>
      <c r="AD52" s="503"/>
      <c r="AE52" s="503"/>
      <c r="AF52" s="503"/>
      <c r="AG52" s="503"/>
      <c r="AH52" s="503"/>
      <c r="AI52" s="503"/>
      <c r="AJ52" s="503"/>
      <c r="AK52" s="503"/>
      <c r="AL52" s="503"/>
      <c r="AM52" s="503"/>
      <c r="AN52" s="503"/>
      <c r="AO52" s="503"/>
      <c r="AP52" s="503"/>
    </row>
    <row r="53" spans="1:42" ht="15" x14ac:dyDescent="0.25">
      <c r="B53" s="503" t="s">
        <v>1028</v>
      </c>
      <c r="C53" s="503" t="s">
        <v>1011</v>
      </c>
      <c r="D53" s="503" t="s">
        <v>703</v>
      </c>
      <c r="E53" s="503" t="s">
        <v>703</v>
      </c>
      <c r="F53" s="503" t="s">
        <v>703</v>
      </c>
      <c r="G53" s="503" t="s">
        <v>703</v>
      </c>
      <c r="H53" s="503" t="s">
        <v>703</v>
      </c>
      <c r="I53" s="503">
        <v>0</v>
      </c>
      <c r="J53" s="503">
        <v>20</v>
      </c>
      <c r="K53" s="503"/>
      <c r="L53" s="503"/>
      <c r="M53" s="503"/>
      <c r="N53" s="503"/>
      <c r="O53" s="503"/>
      <c r="P53" s="503"/>
      <c r="Q53" s="503"/>
      <c r="R53" s="503"/>
      <c r="S53" s="503"/>
      <c r="T53" s="503"/>
      <c r="U53" s="503"/>
      <c r="V53" s="503"/>
      <c r="W53" s="503"/>
      <c r="X53" s="503"/>
      <c r="Y53" s="503"/>
      <c r="Z53" s="503"/>
      <c r="AA53" s="503"/>
      <c r="AB53" s="503"/>
      <c r="AC53" s="503"/>
      <c r="AD53" s="503"/>
      <c r="AE53" s="503"/>
      <c r="AF53" s="503"/>
      <c r="AG53" s="503"/>
      <c r="AH53" s="503"/>
      <c r="AI53" s="503"/>
      <c r="AJ53" s="503"/>
      <c r="AK53" s="503"/>
      <c r="AL53" s="503"/>
      <c r="AM53" s="503"/>
      <c r="AN53" s="503"/>
      <c r="AO53" s="503"/>
      <c r="AP53" s="503"/>
    </row>
    <row r="54" spans="1:42" ht="15" x14ac:dyDescent="0.25">
      <c r="A54" s="503" t="s">
        <v>1010</v>
      </c>
      <c r="B54" s="503" t="s">
        <v>1028</v>
      </c>
      <c r="C54" s="503" t="s">
        <v>1009</v>
      </c>
      <c r="D54" s="503" t="s">
        <v>703</v>
      </c>
      <c r="E54" s="503" t="s">
        <v>703</v>
      </c>
      <c r="F54" s="503" t="s">
        <v>703</v>
      </c>
      <c r="G54" s="503" t="s">
        <v>703</v>
      </c>
      <c r="H54" s="503" t="s">
        <v>703</v>
      </c>
      <c r="I54" s="503">
        <v>0</v>
      </c>
      <c r="J54" s="503">
        <v>25</v>
      </c>
      <c r="K54" s="503"/>
      <c r="L54" s="503"/>
      <c r="M54" s="503"/>
      <c r="N54" s="503"/>
      <c r="O54" s="503"/>
      <c r="P54" s="503"/>
      <c r="Q54" s="503"/>
      <c r="R54" s="503"/>
      <c r="S54" s="503"/>
      <c r="T54" s="503"/>
      <c r="U54" s="503"/>
      <c r="V54" s="503"/>
      <c r="W54" s="503"/>
      <c r="X54" s="503"/>
      <c r="Y54" s="503"/>
      <c r="Z54" s="503"/>
      <c r="AA54" s="503"/>
      <c r="AB54" s="503"/>
      <c r="AC54" s="503"/>
      <c r="AD54" s="503"/>
      <c r="AE54" s="503"/>
      <c r="AF54" s="503"/>
      <c r="AG54" s="503"/>
      <c r="AH54" s="503"/>
      <c r="AI54" s="503"/>
      <c r="AJ54" s="503"/>
      <c r="AK54" s="503"/>
      <c r="AL54" s="503"/>
      <c r="AM54" s="503"/>
      <c r="AN54" s="503"/>
      <c r="AO54" s="503"/>
      <c r="AP54" s="503"/>
    </row>
    <row r="55" spans="1:42" ht="15" x14ac:dyDescent="0.25">
      <c r="B55" s="503" t="s">
        <v>902</v>
      </c>
      <c r="C55" s="503" t="s">
        <v>1015</v>
      </c>
      <c r="D55" s="503" t="s">
        <v>703</v>
      </c>
      <c r="E55" s="503" t="s">
        <v>40</v>
      </c>
      <c r="F55" s="503" t="s">
        <v>703</v>
      </c>
      <c r="G55" s="503" t="s">
        <v>703</v>
      </c>
      <c r="H55" s="503" t="s">
        <v>703</v>
      </c>
      <c r="I55" s="503">
        <v>0</v>
      </c>
      <c r="J55" s="503">
        <v>0</v>
      </c>
      <c r="K55" s="503"/>
      <c r="L55" s="503"/>
      <c r="M55" s="503"/>
      <c r="N55" s="503"/>
      <c r="O55" s="503"/>
      <c r="P55" s="503"/>
      <c r="Q55" s="503"/>
      <c r="R55" s="503"/>
      <c r="S55" s="503"/>
      <c r="T55" s="503"/>
      <c r="U55" s="503"/>
      <c r="V55" s="503"/>
      <c r="W55" s="503"/>
      <c r="X55" s="503"/>
      <c r="Y55" s="503"/>
      <c r="Z55" s="503"/>
      <c r="AA55" s="503"/>
      <c r="AB55" s="503"/>
      <c r="AC55" s="503"/>
      <c r="AD55" s="503"/>
      <c r="AE55" s="503"/>
      <c r="AF55" s="503"/>
      <c r="AG55" s="503"/>
      <c r="AH55" s="503"/>
      <c r="AI55" s="503"/>
      <c r="AJ55" s="503"/>
      <c r="AK55" s="503"/>
      <c r="AL55" s="503"/>
      <c r="AM55" s="503"/>
      <c r="AN55" s="503"/>
      <c r="AO55" s="503"/>
      <c r="AP55" s="503"/>
    </row>
    <row r="56" spans="1:42" ht="15" x14ac:dyDescent="0.25">
      <c r="B56" s="503" t="s">
        <v>902</v>
      </c>
      <c r="C56" s="503" t="s">
        <v>1013</v>
      </c>
      <c r="D56" s="503" t="s">
        <v>703</v>
      </c>
      <c r="E56" s="503" t="s">
        <v>1025</v>
      </c>
      <c r="F56" s="503" t="s">
        <v>703</v>
      </c>
      <c r="G56" s="503" t="s">
        <v>703</v>
      </c>
      <c r="H56" s="503" t="s">
        <v>703</v>
      </c>
      <c r="I56" s="503">
        <v>0</v>
      </c>
      <c r="J56" s="503">
        <v>1.504</v>
      </c>
      <c r="K56" s="503"/>
      <c r="L56" s="503"/>
      <c r="M56" s="503"/>
      <c r="N56" s="503"/>
      <c r="O56" s="503"/>
      <c r="P56" s="503"/>
      <c r="Q56" s="503"/>
      <c r="R56" s="503"/>
      <c r="S56" s="503"/>
      <c r="T56" s="503"/>
      <c r="U56" s="503"/>
      <c r="V56" s="503"/>
      <c r="W56" s="503"/>
      <c r="X56" s="503"/>
      <c r="Y56" s="503"/>
      <c r="Z56" s="503"/>
      <c r="AA56" s="503"/>
      <c r="AB56" s="503"/>
      <c r="AC56" s="503"/>
      <c r="AD56" s="503"/>
      <c r="AE56" s="503"/>
      <c r="AF56" s="503"/>
      <c r="AG56" s="503"/>
      <c r="AH56" s="503"/>
      <c r="AI56" s="503"/>
      <c r="AJ56" s="503"/>
      <c r="AK56" s="503"/>
      <c r="AL56" s="503"/>
      <c r="AM56" s="503"/>
      <c r="AN56" s="503"/>
      <c r="AO56" s="503"/>
      <c r="AP56" s="503"/>
    </row>
    <row r="57" spans="1:42" ht="15" x14ac:dyDescent="0.25">
      <c r="B57" s="503" t="s">
        <v>902</v>
      </c>
      <c r="C57" s="503" t="s">
        <v>1013</v>
      </c>
      <c r="D57" s="503" t="s">
        <v>703</v>
      </c>
      <c r="E57" s="503" t="s">
        <v>1024</v>
      </c>
      <c r="F57" s="503" t="s">
        <v>703</v>
      </c>
      <c r="G57" s="503" t="s">
        <v>703</v>
      </c>
      <c r="H57" s="503" t="s">
        <v>703</v>
      </c>
      <c r="I57" s="503">
        <v>0</v>
      </c>
      <c r="J57" s="503">
        <v>1</v>
      </c>
      <c r="K57" s="503"/>
      <c r="L57" s="503"/>
      <c r="M57" s="503"/>
      <c r="N57" s="503"/>
      <c r="O57" s="503"/>
      <c r="P57" s="503"/>
      <c r="Q57" s="503"/>
      <c r="R57" s="503"/>
      <c r="S57" s="503"/>
      <c r="T57" s="503"/>
      <c r="U57" s="503"/>
      <c r="V57" s="503"/>
      <c r="W57" s="503"/>
      <c r="X57" s="503"/>
      <c r="Y57" s="503"/>
      <c r="Z57" s="503"/>
      <c r="AA57" s="503"/>
      <c r="AB57" s="503"/>
      <c r="AC57" s="503"/>
      <c r="AD57" s="503"/>
      <c r="AE57" s="503"/>
      <c r="AF57" s="503"/>
      <c r="AG57" s="503"/>
      <c r="AH57" s="503"/>
      <c r="AI57" s="503"/>
      <c r="AJ57" s="503"/>
      <c r="AK57" s="503"/>
      <c r="AL57" s="503"/>
      <c r="AM57" s="503"/>
      <c r="AN57" s="503"/>
      <c r="AO57" s="503"/>
      <c r="AP57" s="503"/>
    </row>
    <row r="58" spans="1:42" ht="15" x14ac:dyDescent="0.25">
      <c r="B58" s="503" t="s">
        <v>902</v>
      </c>
      <c r="C58" s="503" t="s">
        <v>1013</v>
      </c>
      <c r="D58" s="503" t="s">
        <v>703</v>
      </c>
      <c r="E58" s="503" t="s">
        <v>1019</v>
      </c>
      <c r="F58" s="503" t="s">
        <v>703</v>
      </c>
      <c r="G58" s="503" t="s">
        <v>703</v>
      </c>
      <c r="H58" s="503" t="s">
        <v>703</v>
      </c>
      <c r="I58" s="503">
        <v>0</v>
      </c>
      <c r="J58" s="503">
        <v>6.12</v>
      </c>
      <c r="K58" s="503"/>
      <c r="L58" s="503"/>
      <c r="M58" s="503"/>
      <c r="N58" s="503"/>
      <c r="O58" s="503"/>
      <c r="P58" s="503"/>
      <c r="Q58" s="503"/>
      <c r="R58" s="503"/>
      <c r="S58" s="503"/>
      <c r="T58" s="503"/>
      <c r="U58" s="503"/>
      <c r="V58" s="503"/>
      <c r="W58" s="503"/>
      <c r="X58" s="503"/>
      <c r="Y58" s="503"/>
      <c r="Z58" s="503"/>
      <c r="AA58" s="503"/>
      <c r="AB58" s="503"/>
      <c r="AC58" s="503"/>
      <c r="AD58" s="503"/>
      <c r="AE58" s="503"/>
      <c r="AF58" s="503"/>
      <c r="AG58" s="503"/>
      <c r="AH58" s="503"/>
      <c r="AI58" s="503"/>
      <c r="AJ58" s="503"/>
      <c r="AK58" s="503"/>
      <c r="AL58" s="503"/>
      <c r="AM58" s="503"/>
      <c r="AN58" s="503"/>
      <c r="AO58" s="503"/>
      <c r="AP58" s="503"/>
    </row>
    <row r="59" spans="1:42" ht="15" x14ac:dyDescent="0.25">
      <c r="B59" s="503" t="s">
        <v>1027</v>
      </c>
      <c r="C59" s="503" t="s">
        <v>1016</v>
      </c>
      <c r="D59" s="503" t="s">
        <v>703</v>
      </c>
      <c r="E59" s="503" t="s">
        <v>703</v>
      </c>
      <c r="F59" s="503" t="s">
        <v>703</v>
      </c>
      <c r="G59" s="503" t="s">
        <v>703</v>
      </c>
      <c r="H59" s="503" t="s">
        <v>703</v>
      </c>
      <c r="I59" s="503">
        <v>0</v>
      </c>
      <c r="J59" s="503">
        <v>0.89</v>
      </c>
      <c r="K59" s="503"/>
      <c r="L59" s="503"/>
      <c r="M59" s="503"/>
      <c r="N59" s="503"/>
      <c r="O59" s="503"/>
      <c r="P59" s="503"/>
      <c r="Q59" s="503"/>
      <c r="R59" s="503"/>
      <c r="S59" s="503"/>
      <c r="T59" s="503"/>
      <c r="U59" s="503"/>
      <c r="V59" s="503"/>
      <c r="W59" s="503"/>
      <c r="X59" s="503"/>
      <c r="Y59" s="503"/>
      <c r="Z59" s="503"/>
      <c r="AA59" s="503"/>
      <c r="AB59" s="503"/>
      <c r="AC59" s="503"/>
      <c r="AD59" s="503"/>
      <c r="AE59" s="503"/>
      <c r="AF59" s="503"/>
      <c r="AG59" s="503"/>
      <c r="AH59" s="503"/>
      <c r="AI59" s="503"/>
      <c r="AJ59" s="503"/>
      <c r="AK59" s="503"/>
      <c r="AL59" s="503"/>
      <c r="AM59" s="503"/>
      <c r="AN59" s="503"/>
      <c r="AO59" s="503"/>
      <c r="AP59" s="503"/>
    </row>
    <row r="60" spans="1:42" ht="15" x14ac:dyDescent="0.25">
      <c r="B60" s="503" t="s">
        <v>1027</v>
      </c>
      <c r="C60" s="503" t="s">
        <v>1011</v>
      </c>
      <c r="D60" s="503" t="s">
        <v>703</v>
      </c>
      <c r="E60" s="503" t="s">
        <v>703</v>
      </c>
      <c r="F60" s="503" t="s">
        <v>703</v>
      </c>
      <c r="G60" s="503" t="s">
        <v>703</v>
      </c>
      <c r="H60" s="503" t="s">
        <v>703</v>
      </c>
      <c r="I60" s="503">
        <v>0</v>
      </c>
      <c r="J60" s="503">
        <v>0.99</v>
      </c>
      <c r="K60" s="503"/>
      <c r="L60" s="503"/>
      <c r="M60" s="503"/>
      <c r="N60" s="503"/>
      <c r="O60" s="503"/>
      <c r="P60" s="503"/>
      <c r="Q60" s="503"/>
      <c r="R60" s="503"/>
      <c r="S60" s="503"/>
      <c r="T60" s="503"/>
      <c r="U60" s="503"/>
      <c r="V60" s="503"/>
      <c r="W60" s="503"/>
      <c r="X60" s="503"/>
      <c r="Y60" s="503"/>
      <c r="Z60" s="503"/>
      <c r="AA60" s="503"/>
      <c r="AB60" s="503"/>
      <c r="AC60" s="503"/>
      <c r="AD60" s="503"/>
      <c r="AE60" s="503"/>
      <c r="AF60" s="503"/>
      <c r="AG60" s="503"/>
      <c r="AH60" s="503"/>
      <c r="AI60" s="503"/>
      <c r="AJ60" s="503"/>
      <c r="AK60" s="503"/>
      <c r="AL60" s="503"/>
      <c r="AM60" s="503"/>
      <c r="AN60" s="503"/>
      <c r="AO60" s="503"/>
      <c r="AP60" s="503"/>
    </row>
    <row r="61" spans="1:42" ht="15" x14ac:dyDescent="0.25">
      <c r="B61" t="s">
        <v>919</v>
      </c>
      <c r="C61" t="s">
        <v>1483</v>
      </c>
      <c r="D61" t="s">
        <v>703</v>
      </c>
      <c r="E61" t="s">
        <v>1032</v>
      </c>
      <c r="F61" t="s">
        <v>703</v>
      </c>
      <c r="G61" t="s">
        <v>1043</v>
      </c>
      <c r="H61" t="s">
        <v>703</v>
      </c>
      <c r="I61">
        <v>0</v>
      </c>
      <c r="J61">
        <v>1</v>
      </c>
    </row>
    <row r="62" spans="1:42" ht="15" x14ac:dyDescent="0.25">
      <c r="C62" s="503"/>
    </row>
  </sheetData>
  <autoFilter ref="A1:J61" xr:uid="{1A3D971A-3AB5-43BD-9E42-F007147A85A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/>
  </sheetViews>
  <sheetFormatPr defaultRowHeight="12.75" x14ac:dyDescent="0.2"/>
  <cols>
    <col min="1" max="1" width="9.140625" style="485"/>
    <col min="2" max="2" width="16.42578125" style="485" customWidth="1"/>
    <col min="3" max="3" width="27" style="485" customWidth="1"/>
    <col min="4" max="4" width="9.42578125" style="485" bestFit="1" customWidth="1"/>
    <col min="5" max="5" width="19.140625" style="485" bestFit="1" customWidth="1"/>
    <col min="6" max="16384" width="9.140625" style="485"/>
  </cols>
  <sheetData>
    <row r="1" spans="1:9" ht="15" x14ac:dyDescent="0.25">
      <c r="A1" s="503" t="s">
        <v>1455</v>
      </c>
      <c r="B1" s="503" t="s">
        <v>1026</v>
      </c>
      <c r="C1" s="503"/>
      <c r="D1" s="503"/>
      <c r="E1" s="503"/>
      <c r="F1" s="503"/>
      <c r="G1" s="503"/>
      <c r="H1" s="503"/>
      <c r="I1" s="503"/>
    </row>
    <row r="2" spans="1:9" ht="15" x14ac:dyDescent="0.25">
      <c r="A2" s="503"/>
      <c r="B2" s="503" t="s">
        <v>1053</v>
      </c>
      <c r="C2" s="503" t="s">
        <v>703</v>
      </c>
      <c r="D2" s="503" t="s">
        <v>1024</v>
      </c>
      <c r="E2" s="503" t="s">
        <v>1003</v>
      </c>
      <c r="F2" s="503" t="s">
        <v>703</v>
      </c>
      <c r="G2" s="503" t="s">
        <v>703</v>
      </c>
      <c r="H2" s="503" t="s">
        <v>703</v>
      </c>
      <c r="I2" s="503">
        <v>1</v>
      </c>
    </row>
    <row r="3" spans="1:9" ht="15" x14ac:dyDescent="0.25">
      <c r="A3" s="503"/>
      <c r="B3" s="503" t="s">
        <v>1053</v>
      </c>
      <c r="C3" s="503" t="s">
        <v>703</v>
      </c>
      <c r="D3" s="503" t="s">
        <v>1024</v>
      </c>
      <c r="E3" s="503" t="s">
        <v>1057</v>
      </c>
      <c r="F3" s="503" t="s">
        <v>703</v>
      </c>
      <c r="G3" s="503" t="s">
        <v>703</v>
      </c>
      <c r="H3" s="503" t="s">
        <v>703</v>
      </c>
      <c r="I3" s="503">
        <v>1</v>
      </c>
    </row>
    <row r="4" spans="1:9" ht="15" x14ac:dyDescent="0.25">
      <c r="A4" s="503"/>
      <c r="B4" s="503" t="s">
        <v>1053</v>
      </c>
      <c r="C4" s="503" t="s">
        <v>703</v>
      </c>
      <c r="D4" s="503" t="s">
        <v>1023</v>
      </c>
      <c r="E4" s="503" t="s">
        <v>1001</v>
      </c>
      <c r="F4" s="503" t="s">
        <v>703</v>
      </c>
      <c r="G4" s="503" t="s">
        <v>703</v>
      </c>
      <c r="H4" s="503" t="s">
        <v>703</v>
      </c>
      <c r="I4" s="503">
        <v>1</v>
      </c>
    </row>
    <row r="5" spans="1:9" ht="15" x14ac:dyDescent="0.25">
      <c r="A5" s="503"/>
      <c r="B5" s="503" t="s">
        <v>1053</v>
      </c>
      <c r="C5" s="503" t="s">
        <v>703</v>
      </c>
      <c r="D5" s="503" t="s">
        <v>1021</v>
      </c>
      <c r="E5" s="503" t="s">
        <v>1003</v>
      </c>
      <c r="F5" s="503" t="s">
        <v>703</v>
      </c>
      <c r="G5" s="503" t="s">
        <v>703</v>
      </c>
      <c r="H5" s="503" t="s">
        <v>703</v>
      </c>
      <c r="I5" s="503">
        <v>1</v>
      </c>
    </row>
    <row r="6" spans="1:9" ht="15" x14ac:dyDescent="0.25">
      <c r="A6" s="503"/>
      <c r="B6" s="503" t="s">
        <v>1053</v>
      </c>
      <c r="C6" s="503" t="s">
        <v>703</v>
      </c>
      <c r="D6" s="503" t="s">
        <v>1021</v>
      </c>
      <c r="E6" s="503" t="s">
        <v>1055</v>
      </c>
      <c r="F6" s="503" t="s">
        <v>703</v>
      </c>
      <c r="G6" s="503" t="s">
        <v>703</v>
      </c>
      <c r="H6" s="503" t="s">
        <v>703</v>
      </c>
      <c r="I6" s="503">
        <v>1</v>
      </c>
    </row>
    <row r="7" spans="1:9" ht="15" x14ac:dyDescent="0.25">
      <c r="A7" s="503"/>
      <c r="B7" s="503" t="s">
        <v>1053</v>
      </c>
      <c r="C7" s="503" t="s">
        <v>703</v>
      </c>
      <c r="D7" s="503" t="s">
        <v>1021</v>
      </c>
      <c r="E7" s="503" t="s">
        <v>1056</v>
      </c>
      <c r="F7" s="503" t="s">
        <v>703</v>
      </c>
      <c r="G7" s="503" t="s">
        <v>703</v>
      </c>
      <c r="H7" s="503" t="s">
        <v>703</v>
      </c>
      <c r="I7" s="503">
        <v>1</v>
      </c>
    </row>
    <row r="8" spans="1:9" ht="15" x14ac:dyDescent="0.25">
      <c r="A8" s="503"/>
      <c r="B8" s="503" t="s">
        <v>1053</v>
      </c>
      <c r="C8" s="503" t="s">
        <v>703</v>
      </c>
      <c r="D8" s="503" t="s">
        <v>1019</v>
      </c>
      <c r="E8" s="503" t="s">
        <v>1055</v>
      </c>
      <c r="F8" s="503" t="s">
        <v>703</v>
      </c>
      <c r="G8" s="503" t="s">
        <v>703</v>
      </c>
      <c r="H8" s="503" t="s">
        <v>703</v>
      </c>
      <c r="I8" s="503">
        <v>1</v>
      </c>
    </row>
    <row r="9" spans="1:9" ht="15" x14ac:dyDescent="0.25">
      <c r="A9" s="503"/>
      <c r="B9" s="503" t="s">
        <v>1053</v>
      </c>
      <c r="C9" s="503" t="s">
        <v>703</v>
      </c>
      <c r="D9" s="503" t="s">
        <v>1019</v>
      </c>
      <c r="E9" s="503" t="s">
        <v>1054</v>
      </c>
      <c r="F9" s="503" t="s">
        <v>703</v>
      </c>
      <c r="G9" s="503" t="s">
        <v>703</v>
      </c>
      <c r="H9" s="503" t="s">
        <v>703</v>
      </c>
      <c r="I9" s="503">
        <v>1</v>
      </c>
    </row>
    <row r="10" spans="1:9" ht="15" x14ac:dyDescent="0.25">
      <c r="A10" s="503"/>
      <c r="B10" s="503" t="s">
        <v>1053</v>
      </c>
      <c r="C10" s="503" t="s">
        <v>703</v>
      </c>
      <c r="D10" s="503" t="s">
        <v>1019</v>
      </c>
      <c r="E10" s="503" t="s">
        <v>1052</v>
      </c>
      <c r="F10" s="503" t="s">
        <v>703</v>
      </c>
      <c r="G10" s="503" t="s">
        <v>703</v>
      </c>
      <c r="H10" s="503" t="s">
        <v>703</v>
      </c>
      <c r="I10" s="503">
        <v>1</v>
      </c>
    </row>
    <row r="11" spans="1:9" ht="15" x14ac:dyDescent="0.25">
      <c r="A11" s="503"/>
      <c r="B11" s="503" t="s">
        <v>1051</v>
      </c>
      <c r="C11" s="503" t="s">
        <v>1018</v>
      </c>
      <c r="D11" s="503" t="s">
        <v>703</v>
      </c>
      <c r="E11" s="503" t="s">
        <v>703</v>
      </c>
      <c r="F11" s="503" t="s">
        <v>703</v>
      </c>
      <c r="G11" s="503" t="s">
        <v>703</v>
      </c>
      <c r="H11" s="503" t="s">
        <v>703</v>
      </c>
      <c r="I11" s="503">
        <v>2020</v>
      </c>
    </row>
    <row r="12" spans="1:9" ht="15" x14ac:dyDescent="0.25">
      <c r="A12" s="503"/>
      <c r="B12" s="503" t="s">
        <v>1051</v>
      </c>
      <c r="C12" s="503" t="s">
        <v>1017</v>
      </c>
      <c r="D12" s="503" t="s">
        <v>703</v>
      </c>
      <c r="E12" s="503" t="s">
        <v>703</v>
      </c>
      <c r="F12" s="503" t="s">
        <v>703</v>
      </c>
      <c r="G12" s="503" t="s">
        <v>703</v>
      </c>
      <c r="H12" s="503" t="s">
        <v>703</v>
      </c>
      <c r="I12" s="504">
        <f>'HDRI scenarios'!B9</f>
        <v>2028</v>
      </c>
    </row>
    <row r="13" spans="1:9" ht="15" x14ac:dyDescent="0.25">
      <c r="A13" s="503"/>
      <c r="B13" s="503" t="s">
        <v>1051</v>
      </c>
      <c r="C13" s="503" t="s">
        <v>1016</v>
      </c>
      <c r="D13" s="503" t="s">
        <v>703</v>
      </c>
      <c r="E13" s="503" t="s">
        <v>703</v>
      </c>
      <c r="F13" s="503" t="s">
        <v>703</v>
      </c>
      <c r="G13" s="503" t="s">
        <v>703</v>
      </c>
      <c r="H13" s="503" t="s">
        <v>703</v>
      </c>
      <c r="I13" s="503">
        <v>2020</v>
      </c>
    </row>
    <row r="14" spans="1:9" ht="15" x14ac:dyDescent="0.25">
      <c r="A14" s="503"/>
      <c r="B14" s="503" t="s">
        <v>1051</v>
      </c>
      <c r="C14" s="503" t="s">
        <v>1015</v>
      </c>
      <c r="D14" s="503" t="s">
        <v>703</v>
      </c>
      <c r="E14" s="503" t="s">
        <v>703</v>
      </c>
      <c r="F14" s="503" t="s">
        <v>703</v>
      </c>
      <c r="G14" s="503" t="s">
        <v>703</v>
      </c>
      <c r="H14" s="503" t="s">
        <v>703</v>
      </c>
      <c r="I14" s="503">
        <v>2020</v>
      </c>
    </row>
    <row r="15" spans="1:9" ht="15" x14ac:dyDescent="0.25">
      <c r="A15" s="503"/>
      <c r="B15" s="503" t="s">
        <v>1051</v>
      </c>
      <c r="C15" s="503" t="s">
        <v>1013</v>
      </c>
      <c r="D15" s="503" t="s">
        <v>703</v>
      </c>
      <c r="E15" s="503" t="s">
        <v>703</v>
      </c>
      <c r="F15" s="503" t="s">
        <v>703</v>
      </c>
      <c r="G15" s="503" t="s">
        <v>703</v>
      </c>
      <c r="H15" s="503" t="s">
        <v>703</v>
      </c>
      <c r="I15" s="503">
        <v>2020</v>
      </c>
    </row>
    <row r="16" spans="1:9" ht="15" x14ac:dyDescent="0.25">
      <c r="A16" s="503"/>
      <c r="B16" s="503" t="s">
        <v>1051</v>
      </c>
      <c r="C16" s="503" t="s">
        <v>1011</v>
      </c>
      <c r="D16" s="503" t="s">
        <v>703</v>
      </c>
      <c r="E16" s="503" t="s">
        <v>703</v>
      </c>
      <c r="F16" s="503" t="s">
        <v>703</v>
      </c>
      <c r="G16" s="503" t="s">
        <v>703</v>
      </c>
      <c r="H16" s="503" t="s">
        <v>703</v>
      </c>
      <c r="I16" s="503">
        <v>2020</v>
      </c>
    </row>
    <row r="17" spans="1:9" ht="15" x14ac:dyDescent="0.25">
      <c r="A17" s="502" t="s">
        <v>1010</v>
      </c>
      <c r="B17" s="503" t="s">
        <v>1051</v>
      </c>
      <c r="C17" s="503" t="s">
        <v>1009</v>
      </c>
      <c r="D17" s="503" t="s">
        <v>703</v>
      </c>
      <c r="E17" s="503" t="s">
        <v>703</v>
      </c>
      <c r="F17" s="503" t="s">
        <v>703</v>
      </c>
      <c r="G17" s="503" t="s">
        <v>703</v>
      </c>
      <c r="H17" s="503" t="s">
        <v>703</v>
      </c>
      <c r="I17" s="503">
        <v>2020</v>
      </c>
    </row>
    <row r="18" spans="1:9" ht="15" x14ac:dyDescent="0.25">
      <c r="B18" s="503" t="s">
        <v>1051</v>
      </c>
      <c r="C18" s="503" t="s">
        <v>1005</v>
      </c>
      <c r="D18" s="503" t="s">
        <v>703</v>
      </c>
      <c r="E18" s="503" t="s">
        <v>703</v>
      </c>
      <c r="F18" s="503" t="s">
        <v>703</v>
      </c>
      <c r="G18" s="503" t="s">
        <v>703</v>
      </c>
      <c r="H18" s="503" t="s">
        <v>703</v>
      </c>
      <c r="I18" s="503">
        <v>2020</v>
      </c>
    </row>
    <row r="19" spans="1:9" ht="15" x14ac:dyDescent="0.25">
      <c r="B19" s="503" t="s">
        <v>1050</v>
      </c>
      <c r="C19" s="503" t="s">
        <v>1018</v>
      </c>
      <c r="D19" s="503" t="s">
        <v>703</v>
      </c>
      <c r="E19" s="503" t="s">
        <v>41</v>
      </c>
      <c r="F19" s="503" t="s">
        <v>703</v>
      </c>
      <c r="G19" s="503" t="s">
        <v>703</v>
      </c>
      <c r="H19" s="503" t="s">
        <v>703</v>
      </c>
      <c r="I19" s="503">
        <v>1</v>
      </c>
    </row>
    <row r="20" spans="1:9" ht="15" x14ac:dyDescent="0.25">
      <c r="B20" s="503" t="s">
        <v>1050</v>
      </c>
      <c r="C20" s="503" t="s">
        <v>1017</v>
      </c>
      <c r="D20" s="503" t="s">
        <v>703</v>
      </c>
      <c r="E20" s="503" t="s">
        <v>1021</v>
      </c>
      <c r="F20" s="503" t="s">
        <v>703</v>
      </c>
      <c r="G20" s="503" t="s">
        <v>703</v>
      </c>
      <c r="H20" s="503" t="s">
        <v>703</v>
      </c>
      <c r="I20" s="503">
        <v>1</v>
      </c>
    </row>
    <row r="21" spans="1:9" ht="15" x14ac:dyDescent="0.25">
      <c r="B21" s="503" t="s">
        <v>1050</v>
      </c>
      <c r="C21" s="503" t="s">
        <v>1016</v>
      </c>
      <c r="D21" s="503" t="s">
        <v>703</v>
      </c>
      <c r="E21" s="503" t="s">
        <v>1021</v>
      </c>
      <c r="F21" s="503" t="s">
        <v>703</v>
      </c>
      <c r="G21" s="503" t="s">
        <v>703</v>
      </c>
      <c r="H21" s="503" t="s">
        <v>703</v>
      </c>
      <c r="I21" s="503">
        <v>1</v>
      </c>
    </row>
    <row r="22" spans="1:9" ht="15" x14ac:dyDescent="0.25">
      <c r="B22" s="503" t="s">
        <v>1050</v>
      </c>
      <c r="C22" s="503" t="s">
        <v>1015</v>
      </c>
      <c r="D22" s="503" t="s">
        <v>703</v>
      </c>
      <c r="E22" s="503" t="s">
        <v>1023</v>
      </c>
      <c r="F22" s="503" t="s">
        <v>703</v>
      </c>
      <c r="G22" s="503" t="s">
        <v>703</v>
      </c>
      <c r="H22" s="503" t="s">
        <v>703</v>
      </c>
      <c r="I22" s="503">
        <v>1</v>
      </c>
    </row>
    <row r="23" spans="1:9" ht="15" x14ac:dyDescent="0.25">
      <c r="B23" s="503" t="s">
        <v>1050</v>
      </c>
      <c r="C23" s="503" t="s">
        <v>1014</v>
      </c>
      <c r="D23" s="503" t="s">
        <v>703</v>
      </c>
      <c r="E23" s="503" t="s">
        <v>1024</v>
      </c>
      <c r="F23" s="503" t="s">
        <v>703</v>
      </c>
      <c r="G23" s="503" t="s">
        <v>703</v>
      </c>
      <c r="H23" s="503" t="s">
        <v>703</v>
      </c>
      <c r="I23" s="503">
        <v>1</v>
      </c>
    </row>
    <row r="24" spans="1:9" ht="15" x14ac:dyDescent="0.25">
      <c r="B24" s="503" t="s">
        <v>1050</v>
      </c>
      <c r="C24" s="503" t="s">
        <v>1013</v>
      </c>
      <c r="D24" s="503" t="s">
        <v>703</v>
      </c>
      <c r="E24" s="503" t="s">
        <v>1024</v>
      </c>
      <c r="F24" s="503" t="s">
        <v>703</v>
      </c>
      <c r="G24" s="503" t="s">
        <v>703</v>
      </c>
      <c r="H24" s="503" t="s">
        <v>703</v>
      </c>
      <c r="I24" s="503">
        <v>1</v>
      </c>
    </row>
    <row r="25" spans="1:9" ht="15" x14ac:dyDescent="0.25">
      <c r="B25" s="503" t="s">
        <v>1050</v>
      </c>
      <c r="C25" s="503" t="s">
        <v>1011</v>
      </c>
      <c r="D25" s="503" t="s">
        <v>703</v>
      </c>
      <c r="E25" s="503" t="s">
        <v>1019</v>
      </c>
      <c r="F25" s="503" t="s">
        <v>703</v>
      </c>
      <c r="G25" s="503" t="s">
        <v>703</v>
      </c>
      <c r="H25" s="503" t="s">
        <v>703</v>
      </c>
      <c r="I25" s="503">
        <v>1</v>
      </c>
    </row>
    <row r="26" spans="1:9" ht="15" x14ac:dyDescent="0.25">
      <c r="A26" s="502" t="s">
        <v>1010</v>
      </c>
      <c r="B26" s="503" t="s">
        <v>1050</v>
      </c>
      <c r="C26" s="503" t="s">
        <v>1009</v>
      </c>
      <c r="D26" s="503" t="s">
        <v>703</v>
      </c>
      <c r="E26" s="503" t="s">
        <v>1021</v>
      </c>
      <c r="F26" s="503" t="s">
        <v>703</v>
      </c>
      <c r="G26" s="503" t="s">
        <v>703</v>
      </c>
      <c r="H26" s="503" t="s">
        <v>703</v>
      </c>
      <c r="I26" s="503">
        <v>1</v>
      </c>
    </row>
    <row r="27" spans="1:9" ht="15" x14ac:dyDescent="0.25">
      <c r="B27" s="503" t="s">
        <v>1050</v>
      </c>
      <c r="C27" s="503" t="s">
        <v>1008</v>
      </c>
      <c r="D27" s="503" t="s">
        <v>703</v>
      </c>
      <c r="E27" s="503" t="s">
        <v>1025</v>
      </c>
      <c r="F27" s="503" t="s">
        <v>703</v>
      </c>
      <c r="G27" s="503" t="s">
        <v>703</v>
      </c>
      <c r="H27" s="503" t="s">
        <v>703</v>
      </c>
      <c r="I27" s="503">
        <v>1</v>
      </c>
    </row>
    <row r="28" spans="1:9" ht="15" x14ac:dyDescent="0.25">
      <c r="B28" s="503" t="s">
        <v>1050</v>
      </c>
      <c r="C28" s="503" t="s">
        <v>1005</v>
      </c>
      <c r="D28" s="503" t="s">
        <v>703</v>
      </c>
      <c r="E28" s="503" t="s">
        <v>1021</v>
      </c>
      <c r="F28" s="503" t="s">
        <v>703</v>
      </c>
      <c r="G28" s="503" t="s">
        <v>703</v>
      </c>
      <c r="H28" s="503" t="s">
        <v>703</v>
      </c>
      <c r="I28" s="503">
        <v>1</v>
      </c>
    </row>
    <row r="29" spans="1:9" ht="15" x14ac:dyDescent="0.25">
      <c r="B29" s="503" t="s">
        <v>1049</v>
      </c>
      <c r="C29" s="503" t="s">
        <v>1018</v>
      </c>
      <c r="D29" s="503" t="s">
        <v>703</v>
      </c>
      <c r="E29" s="503" t="s">
        <v>703</v>
      </c>
      <c r="F29" s="503" t="s">
        <v>703</v>
      </c>
      <c r="G29" s="503" t="s">
        <v>703</v>
      </c>
      <c r="H29" s="503" t="s">
        <v>703</v>
      </c>
      <c r="I29" s="503">
        <v>1</v>
      </c>
    </row>
    <row r="30" spans="1:9" ht="15" x14ac:dyDescent="0.25">
      <c r="B30" s="503" t="s">
        <v>1049</v>
      </c>
      <c r="C30" s="503" t="s">
        <v>1017</v>
      </c>
      <c r="D30" s="503" t="s">
        <v>703</v>
      </c>
      <c r="E30" s="503" t="s">
        <v>703</v>
      </c>
      <c r="F30" s="503" t="s">
        <v>703</v>
      </c>
      <c r="G30" s="503" t="s">
        <v>703</v>
      </c>
      <c r="H30" s="503" t="s">
        <v>703</v>
      </c>
      <c r="I30" s="503">
        <v>31.536000000000001</v>
      </c>
    </row>
    <row r="31" spans="1:9" ht="15" x14ac:dyDescent="0.25">
      <c r="B31" s="503" t="s">
        <v>1049</v>
      </c>
      <c r="C31" s="503" t="s">
        <v>1016</v>
      </c>
      <c r="D31" s="503" t="s">
        <v>703</v>
      </c>
      <c r="E31" s="503" t="s">
        <v>703</v>
      </c>
      <c r="F31" s="503" t="s">
        <v>703</v>
      </c>
      <c r="G31" s="503" t="s">
        <v>703</v>
      </c>
      <c r="H31" s="503" t="s">
        <v>703</v>
      </c>
      <c r="I31" s="503">
        <v>31.536000000000001</v>
      </c>
    </row>
    <row r="32" spans="1:9" ht="15" x14ac:dyDescent="0.25">
      <c r="B32" s="503" t="s">
        <v>1049</v>
      </c>
      <c r="C32" s="503" t="s">
        <v>1015</v>
      </c>
      <c r="D32" s="503" t="s">
        <v>703</v>
      </c>
      <c r="E32" s="503" t="s">
        <v>703</v>
      </c>
      <c r="F32" s="503" t="s">
        <v>703</v>
      </c>
      <c r="G32" s="503" t="s">
        <v>703</v>
      </c>
      <c r="H32" s="503" t="s">
        <v>703</v>
      </c>
      <c r="I32" s="503">
        <v>1</v>
      </c>
    </row>
    <row r="33" spans="1:9" ht="15" x14ac:dyDescent="0.25">
      <c r="B33" s="503" t="s">
        <v>1049</v>
      </c>
      <c r="C33" s="503" t="s">
        <v>1014</v>
      </c>
      <c r="D33" s="503" t="s">
        <v>703</v>
      </c>
      <c r="E33" s="503" t="s">
        <v>703</v>
      </c>
      <c r="F33" s="503" t="s">
        <v>703</v>
      </c>
      <c r="G33" s="503" t="s">
        <v>703</v>
      </c>
      <c r="H33" s="503" t="s">
        <v>703</v>
      </c>
      <c r="I33" s="503">
        <v>1</v>
      </c>
    </row>
    <row r="34" spans="1:9" ht="15" x14ac:dyDescent="0.25">
      <c r="B34" s="503" t="s">
        <v>1049</v>
      </c>
      <c r="C34" s="503" t="s">
        <v>1013</v>
      </c>
      <c r="D34" s="503" t="s">
        <v>703</v>
      </c>
      <c r="E34" s="503" t="s">
        <v>703</v>
      </c>
      <c r="F34" s="503" t="s">
        <v>703</v>
      </c>
      <c r="G34" s="503" t="s">
        <v>703</v>
      </c>
      <c r="H34" s="503" t="s">
        <v>703</v>
      </c>
      <c r="I34" s="503">
        <v>1</v>
      </c>
    </row>
    <row r="35" spans="1:9" ht="15" x14ac:dyDescent="0.25">
      <c r="B35" s="503" t="s">
        <v>1049</v>
      </c>
      <c r="C35" s="503" t="s">
        <v>1011</v>
      </c>
      <c r="D35" s="503" t="s">
        <v>703</v>
      </c>
      <c r="E35" s="503" t="s">
        <v>703</v>
      </c>
      <c r="F35" s="503" t="s">
        <v>703</v>
      </c>
      <c r="G35" s="503" t="s">
        <v>703</v>
      </c>
      <c r="H35" s="503" t="s">
        <v>703</v>
      </c>
      <c r="I35" s="503">
        <v>1</v>
      </c>
    </row>
    <row r="36" spans="1:9" ht="15" x14ac:dyDescent="0.25">
      <c r="A36" s="502" t="s">
        <v>1010</v>
      </c>
      <c r="B36" s="503" t="s">
        <v>1049</v>
      </c>
      <c r="C36" s="503" t="s">
        <v>1009</v>
      </c>
      <c r="D36" s="503" t="s">
        <v>703</v>
      </c>
      <c r="E36" s="503" t="s">
        <v>703</v>
      </c>
      <c r="F36" s="503" t="s">
        <v>703</v>
      </c>
      <c r="G36" s="503" t="s">
        <v>703</v>
      </c>
      <c r="H36" s="503" t="s">
        <v>703</v>
      </c>
      <c r="I36" s="503">
        <v>31.536000000000001</v>
      </c>
    </row>
    <row r="37" spans="1:9" ht="15" x14ac:dyDescent="0.25">
      <c r="B37" s="503" t="s">
        <v>1049</v>
      </c>
      <c r="C37" s="503" t="s">
        <v>1008</v>
      </c>
      <c r="D37" s="503" t="s">
        <v>703</v>
      </c>
      <c r="E37" s="503" t="s">
        <v>703</v>
      </c>
      <c r="F37" s="503" t="s">
        <v>703</v>
      </c>
      <c r="G37" s="503" t="s">
        <v>703</v>
      </c>
      <c r="H37" s="503" t="s">
        <v>703</v>
      </c>
      <c r="I37" s="503">
        <v>1</v>
      </c>
    </row>
    <row r="38" spans="1:9" ht="15" x14ac:dyDescent="0.25">
      <c r="B38" s="503" t="s">
        <v>1049</v>
      </c>
      <c r="C38" s="503" t="s">
        <v>1005</v>
      </c>
      <c r="D38" s="503" t="s">
        <v>703</v>
      </c>
      <c r="E38" s="503" t="s">
        <v>703</v>
      </c>
      <c r="F38" s="503" t="s">
        <v>703</v>
      </c>
      <c r="G38" s="503" t="s">
        <v>703</v>
      </c>
      <c r="H38" s="503" t="s">
        <v>703</v>
      </c>
      <c r="I38" s="503">
        <v>1</v>
      </c>
    </row>
    <row r="39" spans="1:9" ht="15" x14ac:dyDescent="0.25">
      <c r="B39" s="503" t="s">
        <v>1048</v>
      </c>
      <c r="C39" s="503" t="s">
        <v>1017</v>
      </c>
      <c r="D39" s="503" t="s">
        <v>703</v>
      </c>
      <c r="E39" s="503" t="s">
        <v>703</v>
      </c>
      <c r="F39" s="503" t="s">
        <v>703</v>
      </c>
      <c r="G39" s="503" t="s">
        <v>703</v>
      </c>
      <c r="H39" s="503" t="s">
        <v>703</v>
      </c>
      <c r="I39" s="503">
        <v>1</v>
      </c>
    </row>
    <row r="40" spans="1:9" ht="15" x14ac:dyDescent="0.25">
      <c r="B40" s="503" t="s">
        <v>1046</v>
      </c>
      <c r="C40" s="503" t="s">
        <v>1018</v>
      </c>
      <c r="D40" s="503" t="s">
        <v>1023</v>
      </c>
      <c r="E40" s="503" t="s">
        <v>703</v>
      </c>
      <c r="F40" s="503" t="s">
        <v>703</v>
      </c>
      <c r="G40" s="503" t="s">
        <v>703</v>
      </c>
      <c r="H40" s="503" t="s">
        <v>703</v>
      </c>
      <c r="I40" s="503">
        <v>1</v>
      </c>
    </row>
    <row r="41" spans="1:9" ht="15" x14ac:dyDescent="0.25">
      <c r="B41" s="503" t="s">
        <v>1046</v>
      </c>
      <c r="C41" s="503" t="s">
        <v>1017</v>
      </c>
      <c r="D41" s="503" t="s">
        <v>1021</v>
      </c>
      <c r="E41" s="503" t="s">
        <v>703</v>
      </c>
      <c r="F41" s="503" t="s">
        <v>703</v>
      </c>
      <c r="G41" s="503" t="s">
        <v>703</v>
      </c>
      <c r="H41" s="503" t="s">
        <v>703</v>
      </c>
      <c r="I41" s="503">
        <v>1</v>
      </c>
    </row>
    <row r="42" spans="1:9" ht="15" x14ac:dyDescent="0.25">
      <c r="B42" s="503" t="s">
        <v>1046</v>
      </c>
      <c r="C42" s="503" t="s">
        <v>1016</v>
      </c>
      <c r="D42" s="503" t="s">
        <v>1021</v>
      </c>
      <c r="E42" s="503" t="s">
        <v>703</v>
      </c>
      <c r="F42" s="503" t="s">
        <v>703</v>
      </c>
      <c r="G42" s="503" t="s">
        <v>703</v>
      </c>
      <c r="H42" s="503" t="s">
        <v>703</v>
      </c>
      <c r="I42" s="503">
        <v>1</v>
      </c>
    </row>
    <row r="43" spans="1:9" ht="15" x14ac:dyDescent="0.25">
      <c r="B43" s="503" t="s">
        <v>1046</v>
      </c>
      <c r="C43" s="503" t="s">
        <v>1015</v>
      </c>
      <c r="D43" s="503" t="s">
        <v>1024</v>
      </c>
      <c r="E43" s="503" t="s">
        <v>703</v>
      </c>
      <c r="F43" s="503" t="s">
        <v>703</v>
      </c>
      <c r="G43" s="503" t="s">
        <v>703</v>
      </c>
      <c r="H43" s="503" t="s">
        <v>703</v>
      </c>
      <c r="I43" s="503">
        <v>1</v>
      </c>
    </row>
    <row r="44" spans="1:9" ht="15" x14ac:dyDescent="0.25">
      <c r="B44" s="503" t="s">
        <v>1046</v>
      </c>
      <c r="C44" s="503" t="s">
        <v>1015</v>
      </c>
      <c r="D44" s="503" t="s">
        <v>1021</v>
      </c>
      <c r="E44" s="503" t="s">
        <v>703</v>
      </c>
      <c r="F44" s="503" t="s">
        <v>703</v>
      </c>
      <c r="G44" s="503" t="s">
        <v>703</v>
      </c>
      <c r="H44" s="503" t="s">
        <v>703</v>
      </c>
      <c r="I44" s="503">
        <v>1</v>
      </c>
    </row>
    <row r="45" spans="1:9" ht="15" x14ac:dyDescent="0.25">
      <c r="B45" s="503" t="s">
        <v>1046</v>
      </c>
      <c r="C45" s="503" t="s">
        <v>1015</v>
      </c>
      <c r="D45" s="503" t="s">
        <v>40</v>
      </c>
      <c r="E45" s="503" t="s">
        <v>703</v>
      </c>
      <c r="F45" s="503" t="s">
        <v>703</v>
      </c>
      <c r="G45" s="503" t="s">
        <v>703</v>
      </c>
      <c r="H45" s="503" t="s">
        <v>703</v>
      </c>
      <c r="I45" s="503">
        <v>1</v>
      </c>
    </row>
    <row r="46" spans="1:9" ht="15" x14ac:dyDescent="0.25">
      <c r="B46" s="503" t="s">
        <v>1046</v>
      </c>
      <c r="C46" s="503" t="s">
        <v>1014</v>
      </c>
      <c r="D46" s="503" t="s">
        <v>1024</v>
      </c>
      <c r="E46" s="503" t="s">
        <v>703</v>
      </c>
      <c r="F46" s="503" t="s">
        <v>703</v>
      </c>
      <c r="G46" s="503" t="s">
        <v>703</v>
      </c>
      <c r="H46" s="503" t="s">
        <v>703</v>
      </c>
      <c r="I46" s="503">
        <v>1</v>
      </c>
    </row>
    <row r="47" spans="1:9" ht="15" x14ac:dyDescent="0.25">
      <c r="B47" s="503" t="s">
        <v>1046</v>
      </c>
      <c r="C47" s="503" t="s">
        <v>1013</v>
      </c>
      <c r="D47" s="503" t="s">
        <v>1025</v>
      </c>
      <c r="E47" s="503" t="s">
        <v>703</v>
      </c>
      <c r="F47" s="503" t="s">
        <v>703</v>
      </c>
      <c r="G47" s="503" t="s">
        <v>703</v>
      </c>
      <c r="H47" s="503" t="s">
        <v>703</v>
      </c>
      <c r="I47" s="503">
        <v>1</v>
      </c>
    </row>
    <row r="48" spans="1:9" ht="15" x14ac:dyDescent="0.25">
      <c r="B48" s="503" t="s">
        <v>1046</v>
      </c>
      <c r="C48" s="503" t="s">
        <v>1013</v>
      </c>
      <c r="D48" s="503" t="s">
        <v>1019</v>
      </c>
      <c r="E48" s="503" t="s">
        <v>703</v>
      </c>
      <c r="F48" s="503" t="s">
        <v>703</v>
      </c>
      <c r="G48" s="503" t="s">
        <v>703</v>
      </c>
      <c r="H48" s="503" t="s">
        <v>703</v>
      </c>
      <c r="I48" s="503">
        <v>1</v>
      </c>
    </row>
    <row r="49" spans="1:9" ht="15" x14ac:dyDescent="0.25">
      <c r="B49" s="503" t="s">
        <v>1046</v>
      </c>
      <c r="C49" s="503" t="s">
        <v>1011</v>
      </c>
      <c r="D49" s="503" t="s">
        <v>1021</v>
      </c>
      <c r="E49" s="503" t="s">
        <v>703</v>
      </c>
      <c r="F49" s="503" t="s">
        <v>703</v>
      </c>
      <c r="G49" s="503" t="s">
        <v>703</v>
      </c>
      <c r="H49" s="503" t="s">
        <v>703</v>
      </c>
      <c r="I49" s="503">
        <v>1</v>
      </c>
    </row>
    <row r="50" spans="1:9" ht="15" x14ac:dyDescent="0.25">
      <c r="B50" s="503" t="s">
        <v>1046</v>
      </c>
      <c r="C50" s="503" t="s">
        <v>1011</v>
      </c>
      <c r="D50" s="503" t="s">
        <v>1019</v>
      </c>
      <c r="E50" s="503" t="s">
        <v>703</v>
      </c>
      <c r="F50" s="503" t="s">
        <v>703</v>
      </c>
      <c r="G50" s="503" t="s">
        <v>703</v>
      </c>
      <c r="H50" s="503" t="s">
        <v>703</v>
      </c>
      <c r="I50" s="503">
        <v>1</v>
      </c>
    </row>
    <row r="51" spans="1:9" ht="15" x14ac:dyDescent="0.25">
      <c r="A51" s="502" t="s">
        <v>1010</v>
      </c>
      <c r="B51" s="503" t="s">
        <v>1046</v>
      </c>
      <c r="C51" s="503" t="s">
        <v>1009</v>
      </c>
      <c r="D51" s="503" t="s">
        <v>1047</v>
      </c>
      <c r="E51" s="503" t="s">
        <v>703</v>
      </c>
      <c r="F51" s="503" t="s">
        <v>703</v>
      </c>
      <c r="G51" s="503" t="s">
        <v>703</v>
      </c>
      <c r="H51" s="503" t="s">
        <v>703</v>
      </c>
      <c r="I51" s="503">
        <v>1</v>
      </c>
    </row>
    <row r="52" spans="1:9" ht="15" x14ac:dyDescent="0.25">
      <c r="B52" s="503" t="s">
        <v>1046</v>
      </c>
      <c r="C52" s="503" t="s">
        <v>1005</v>
      </c>
      <c r="D52" s="503" t="s">
        <v>38</v>
      </c>
      <c r="E52" s="503" t="s">
        <v>703</v>
      </c>
      <c r="F52" s="503" t="s">
        <v>703</v>
      </c>
      <c r="G52" s="503" t="s">
        <v>703</v>
      </c>
      <c r="H52" s="503" t="s">
        <v>703</v>
      </c>
      <c r="I52" s="503">
        <v>1</v>
      </c>
    </row>
    <row r="53" spans="1:9" ht="15" x14ac:dyDescent="0.25">
      <c r="B53" s="503" t="s">
        <v>1045</v>
      </c>
      <c r="C53" s="503" t="s">
        <v>1018</v>
      </c>
      <c r="D53" s="503" t="s">
        <v>41</v>
      </c>
      <c r="E53" s="503" t="s">
        <v>703</v>
      </c>
      <c r="F53" s="503" t="s">
        <v>703</v>
      </c>
      <c r="G53" s="503" t="s">
        <v>703</v>
      </c>
      <c r="H53" s="503" t="s">
        <v>703</v>
      </c>
      <c r="I53" s="503">
        <v>1</v>
      </c>
    </row>
    <row r="54" spans="1:9" ht="15" x14ac:dyDescent="0.25">
      <c r="B54" s="503" t="s">
        <v>1045</v>
      </c>
      <c r="C54" s="503" t="s">
        <v>1017</v>
      </c>
      <c r="D54" s="503" t="s">
        <v>1019</v>
      </c>
      <c r="E54" s="503" t="s">
        <v>703</v>
      </c>
      <c r="F54" s="503" t="s">
        <v>703</v>
      </c>
      <c r="G54" s="503" t="s">
        <v>703</v>
      </c>
      <c r="H54" s="503" t="s">
        <v>703</v>
      </c>
      <c r="I54" s="503">
        <v>1</v>
      </c>
    </row>
    <row r="55" spans="1:9" ht="15" x14ac:dyDescent="0.25">
      <c r="B55" s="503" t="s">
        <v>1045</v>
      </c>
      <c r="C55" s="503" t="s">
        <v>1016</v>
      </c>
      <c r="D55" s="503" t="s">
        <v>1021</v>
      </c>
      <c r="E55" s="503" t="s">
        <v>703</v>
      </c>
      <c r="F55" s="503" t="s">
        <v>703</v>
      </c>
      <c r="G55" s="503" t="s">
        <v>703</v>
      </c>
      <c r="H55" s="503" t="s">
        <v>703</v>
      </c>
      <c r="I55" s="503">
        <v>1</v>
      </c>
    </row>
    <row r="56" spans="1:9" ht="15" x14ac:dyDescent="0.25">
      <c r="B56" s="503" t="s">
        <v>1045</v>
      </c>
      <c r="C56" s="503" t="s">
        <v>1015</v>
      </c>
      <c r="D56" s="503" t="s">
        <v>1023</v>
      </c>
      <c r="E56" s="503" t="s">
        <v>703</v>
      </c>
      <c r="F56" s="503" t="s">
        <v>703</v>
      </c>
      <c r="G56" s="503" t="s">
        <v>703</v>
      </c>
      <c r="H56" s="503" t="s">
        <v>703</v>
      </c>
      <c r="I56" s="503">
        <v>1</v>
      </c>
    </row>
    <row r="57" spans="1:9" ht="15" x14ac:dyDescent="0.25">
      <c r="B57" s="503" t="s">
        <v>1045</v>
      </c>
      <c r="C57" s="503" t="s">
        <v>1014</v>
      </c>
      <c r="D57" s="503" t="s">
        <v>1024</v>
      </c>
      <c r="E57" s="503" t="s">
        <v>703</v>
      </c>
      <c r="F57" s="503" t="s">
        <v>703</v>
      </c>
      <c r="G57" s="503" t="s">
        <v>703</v>
      </c>
      <c r="H57" s="503" t="s">
        <v>703</v>
      </c>
      <c r="I57" s="503">
        <v>1</v>
      </c>
    </row>
    <row r="58" spans="1:9" ht="15" x14ac:dyDescent="0.25">
      <c r="B58" s="503" t="s">
        <v>1045</v>
      </c>
      <c r="C58" s="503" t="s">
        <v>1013</v>
      </c>
      <c r="D58" s="503" t="s">
        <v>1024</v>
      </c>
      <c r="E58" s="503" t="s">
        <v>703</v>
      </c>
      <c r="F58" s="503" t="s">
        <v>703</v>
      </c>
      <c r="G58" s="503" t="s">
        <v>703</v>
      </c>
      <c r="H58" s="503" t="s">
        <v>703</v>
      </c>
      <c r="I58" s="503">
        <v>1</v>
      </c>
    </row>
    <row r="59" spans="1:9" ht="15" x14ac:dyDescent="0.25">
      <c r="B59" s="503" t="s">
        <v>1045</v>
      </c>
      <c r="C59" s="503" t="s">
        <v>1011</v>
      </c>
      <c r="D59" s="503" t="s">
        <v>1019</v>
      </c>
      <c r="E59" s="503" t="s">
        <v>703</v>
      </c>
      <c r="F59" s="503" t="s">
        <v>703</v>
      </c>
      <c r="G59" s="503" t="s">
        <v>703</v>
      </c>
      <c r="H59" s="503" t="s">
        <v>703</v>
      </c>
      <c r="I59" s="503">
        <v>1</v>
      </c>
    </row>
    <row r="60" spans="1:9" ht="15" x14ac:dyDescent="0.25">
      <c r="A60" s="502" t="s">
        <v>1010</v>
      </c>
      <c r="B60" s="503" t="s">
        <v>1045</v>
      </c>
      <c r="C60" s="503" t="s">
        <v>1009</v>
      </c>
      <c r="D60" s="503" t="s">
        <v>1021</v>
      </c>
      <c r="E60" s="503" t="s">
        <v>703</v>
      </c>
      <c r="F60" s="503" t="s">
        <v>703</v>
      </c>
      <c r="G60" s="503" t="s">
        <v>703</v>
      </c>
      <c r="H60" s="503" t="s">
        <v>703</v>
      </c>
      <c r="I60" s="503">
        <v>1</v>
      </c>
    </row>
    <row r="61" spans="1:9" ht="15" x14ac:dyDescent="0.25">
      <c r="B61" s="503" t="s">
        <v>1045</v>
      </c>
      <c r="C61" s="503" t="s">
        <v>1008</v>
      </c>
      <c r="D61" s="503" t="s">
        <v>1025</v>
      </c>
      <c r="E61" s="503" t="s">
        <v>703</v>
      </c>
      <c r="F61" s="503" t="s">
        <v>703</v>
      </c>
      <c r="G61" s="503" t="s">
        <v>703</v>
      </c>
      <c r="H61" s="503" t="s">
        <v>703</v>
      </c>
      <c r="I61" s="503">
        <v>1</v>
      </c>
    </row>
    <row r="62" spans="1:9" ht="15" x14ac:dyDescent="0.25">
      <c r="B62" s="503" t="s">
        <v>1045</v>
      </c>
      <c r="C62" s="503" t="s">
        <v>1005</v>
      </c>
      <c r="D62" s="503" t="s">
        <v>1021</v>
      </c>
      <c r="E62" s="503" t="s">
        <v>703</v>
      </c>
      <c r="F62" s="503" t="s">
        <v>703</v>
      </c>
      <c r="G62" s="503" t="s">
        <v>703</v>
      </c>
      <c r="H62" s="503" t="s">
        <v>703</v>
      </c>
      <c r="I62" s="503">
        <v>1</v>
      </c>
    </row>
    <row r="63" spans="1:9" ht="15" x14ac:dyDescent="0.25">
      <c r="B63" t="s">
        <v>1050</v>
      </c>
      <c r="C63" t="s">
        <v>1483</v>
      </c>
      <c r="D63" t="s">
        <v>703</v>
      </c>
      <c r="E63" t="s">
        <v>1484</v>
      </c>
      <c r="F63" t="s">
        <v>703</v>
      </c>
      <c r="G63" t="s">
        <v>703</v>
      </c>
      <c r="H63" t="s">
        <v>703</v>
      </c>
      <c r="I63">
        <v>1</v>
      </c>
    </row>
    <row r="64" spans="1:9" ht="15" x14ac:dyDescent="0.25">
      <c r="B64" t="s">
        <v>1049</v>
      </c>
      <c r="C64" t="s">
        <v>1483</v>
      </c>
      <c r="D64" t="s">
        <v>703</v>
      </c>
      <c r="E64" t="s">
        <v>703</v>
      </c>
      <c r="F64" t="s">
        <v>703</v>
      </c>
      <c r="G64" t="s">
        <v>703</v>
      </c>
      <c r="H64" t="s">
        <v>703</v>
      </c>
      <c r="I64">
        <v>1</v>
      </c>
    </row>
    <row r="65" spans="2:9" ht="15" x14ac:dyDescent="0.25">
      <c r="B65" t="s">
        <v>1046</v>
      </c>
      <c r="C65" t="s">
        <v>1483</v>
      </c>
      <c r="D65" t="s">
        <v>1024</v>
      </c>
      <c r="E65" t="s">
        <v>703</v>
      </c>
      <c r="F65" t="s">
        <v>703</v>
      </c>
      <c r="G65" t="s">
        <v>703</v>
      </c>
      <c r="H65" t="s">
        <v>703</v>
      </c>
      <c r="I65">
        <v>1</v>
      </c>
    </row>
    <row r="66" spans="2:9" ht="15" x14ac:dyDescent="0.25">
      <c r="B66" t="s">
        <v>1045</v>
      </c>
      <c r="C66" t="s">
        <v>1483</v>
      </c>
      <c r="D66" t="s">
        <v>1484</v>
      </c>
      <c r="E66" t="s">
        <v>703</v>
      </c>
      <c r="F66" t="s">
        <v>703</v>
      </c>
      <c r="G66" t="s">
        <v>703</v>
      </c>
      <c r="H66" t="s">
        <v>703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workbookViewId="0"/>
  </sheetViews>
  <sheetFormatPr defaultColWidth="10.28515625" defaultRowHeight="15" x14ac:dyDescent="0.25"/>
  <cols>
    <col min="1" max="1" width="6.28515625" style="99" bestFit="1" customWidth="1"/>
    <col min="2" max="2" width="8.85546875" style="99" bestFit="1" customWidth="1"/>
    <col min="3" max="3" width="18.28515625" style="99" bestFit="1" customWidth="1"/>
    <col min="4" max="4" width="87.7109375" style="99" bestFit="1" customWidth="1"/>
    <col min="5" max="5" width="11" style="99" bestFit="1" customWidth="1"/>
    <col min="6" max="6" width="24.7109375" style="99" bestFit="1" customWidth="1"/>
    <col min="7" max="16384" width="10.28515625" style="99"/>
  </cols>
  <sheetData>
    <row r="1" spans="1:6" x14ac:dyDescent="0.25">
      <c r="A1" s="99" t="s">
        <v>1453</v>
      </c>
      <c r="B1" s="99" t="s">
        <v>1026</v>
      </c>
    </row>
    <row r="2" spans="1:6" x14ac:dyDescent="0.25">
      <c r="A2" s="99" t="s">
        <v>1010</v>
      </c>
      <c r="B2" s="99" t="s">
        <v>1336</v>
      </c>
      <c r="C2" s="99" t="s">
        <v>1368</v>
      </c>
      <c r="D2" s="99" t="s">
        <v>1367</v>
      </c>
      <c r="E2" s="99" t="s">
        <v>1333</v>
      </c>
      <c r="F2" s="99" t="s">
        <v>1332</v>
      </c>
    </row>
    <row r="3" spans="1:6" x14ac:dyDescent="0.25">
      <c r="A3" s="99" t="s">
        <v>1010</v>
      </c>
      <c r="B3" s="99" t="s">
        <v>1336</v>
      </c>
      <c r="C3" s="99" t="s">
        <v>1366</v>
      </c>
      <c r="D3" s="99" t="s">
        <v>1365</v>
      </c>
      <c r="E3" s="99" t="s">
        <v>1333</v>
      </c>
      <c r="F3" s="99" t="s">
        <v>1332</v>
      </c>
    </row>
    <row r="4" spans="1:6" x14ac:dyDescent="0.25">
      <c r="A4" s="99" t="s">
        <v>1010</v>
      </c>
      <c r="B4" s="99" t="s">
        <v>1336</v>
      </c>
      <c r="C4" s="99" t="s">
        <v>1364</v>
      </c>
      <c r="D4" s="99" t="s">
        <v>1363</v>
      </c>
      <c r="E4" s="99" t="s">
        <v>1333</v>
      </c>
      <c r="F4" s="99" t="s">
        <v>1332</v>
      </c>
    </row>
    <row r="5" spans="1:6" x14ac:dyDescent="0.25">
      <c r="A5" s="99" t="s">
        <v>1010</v>
      </c>
      <c r="B5" s="99" t="s">
        <v>1336</v>
      </c>
      <c r="C5" s="99" t="s">
        <v>1362</v>
      </c>
      <c r="D5" s="99" t="s">
        <v>1361</v>
      </c>
      <c r="E5" s="99" t="s">
        <v>1333</v>
      </c>
      <c r="F5" s="99" t="s">
        <v>1332</v>
      </c>
    </row>
    <row r="6" spans="1:6" x14ac:dyDescent="0.25">
      <c r="A6" s="99" t="s">
        <v>1010</v>
      </c>
      <c r="B6" s="99" t="s">
        <v>1336</v>
      </c>
      <c r="C6" s="99" t="s">
        <v>1360</v>
      </c>
      <c r="D6" s="99" t="s">
        <v>1359</v>
      </c>
      <c r="E6" s="99" t="s">
        <v>1333</v>
      </c>
      <c r="F6" s="99" t="s">
        <v>1332</v>
      </c>
    </row>
    <row r="7" spans="1:6" x14ac:dyDescent="0.25">
      <c r="A7" s="99" t="s">
        <v>1010</v>
      </c>
      <c r="B7" s="99" t="s">
        <v>1336</v>
      </c>
      <c r="C7" s="99" t="s">
        <v>1358</v>
      </c>
      <c r="D7" s="99" t="s">
        <v>1357</v>
      </c>
      <c r="E7" s="99" t="s">
        <v>1333</v>
      </c>
      <c r="F7" s="99" t="s">
        <v>1332</v>
      </c>
    </row>
    <row r="8" spans="1:6" x14ac:dyDescent="0.25">
      <c r="A8" s="99" t="s">
        <v>1010</v>
      </c>
      <c r="B8" s="99" t="s">
        <v>1336</v>
      </c>
      <c r="C8" s="99" t="s">
        <v>1356</v>
      </c>
      <c r="D8" s="99" t="s">
        <v>1355</v>
      </c>
      <c r="E8" s="99" t="s">
        <v>1333</v>
      </c>
      <c r="F8" s="99" t="s">
        <v>1332</v>
      </c>
    </row>
    <row r="9" spans="1:6" x14ac:dyDescent="0.25">
      <c r="A9" s="99" t="s">
        <v>1010</v>
      </c>
      <c r="B9" s="99" t="s">
        <v>1336</v>
      </c>
      <c r="C9" s="99" t="s">
        <v>1354</v>
      </c>
      <c r="D9" s="99" t="s">
        <v>1353</v>
      </c>
      <c r="E9" s="99" t="s">
        <v>1333</v>
      </c>
      <c r="F9" s="99" t="s">
        <v>1332</v>
      </c>
    </row>
    <row r="10" spans="1:6" x14ac:dyDescent="0.25">
      <c r="A10" s="99" t="s">
        <v>1010</v>
      </c>
      <c r="B10" s="99" t="s">
        <v>1336</v>
      </c>
      <c r="C10" s="99" t="s">
        <v>1352</v>
      </c>
      <c r="D10" s="99" t="s">
        <v>1351</v>
      </c>
      <c r="E10" s="99" t="s">
        <v>1333</v>
      </c>
      <c r="F10" s="99" t="s">
        <v>1332</v>
      </c>
    </row>
    <row r="11" spans="1:6" x14ac:dyDescent="0.25">
      <c r="A11" s="99" t="s">
        <v>1010</v>
      </c>
      <c r="B11" s="99" t="s">
        <v>1336</v>
      </c>
      <c r="C11" s="99" t="s">
        <v>1350</v>
      </c>
      <c r="D11" s="99" t="s">
        <v>1349</v>
      </c>
      <c r="E11" s="99" t="s">
        <v>1333</v>
      </c>
      <c r="F11" s="99" t="s">
        <v>1332</v>
      </c>
    </row>
    <row r="12" spans="1:6" x14ac:dyDescent="0.25">
      <c r="A12" s="99" t="s">
        <v>1010</v>
      </c>
      <c r="B12" s="99" t="s">
        <v>1336</v>
      </c>
      <c r="C12" s="99" t="s">
        <v>1348</v>
      </c>
      <c r="D12" s="99" t="s">
        <v>1347</v>
      </c>
      <c r="E12" s="99" t="s">
        <v>1333</v>
      </c>
      <c r="F12" s="99" t="s">
        <v>1332</v>
      </c>
    </row>
    <row r="13" spans="1:6" x14ac:dyDescent="0.25">
      <c r="A13" s="99" t="s">
        <v>1010</v>
      </c>
      <c r="B13" s="99" t="s">
        <v>1336</v>
      </c>
      <c r="C13" s="99" t="s">
        <v>1346</v>
      </c>
      <c r="D13" s="99" t="s">
        <v>1345</v>
      </c>
      <c r="E13" s="99" t="s">
        <v>1333</v>
      </c>
      <c r="F13" s="99" t="s">
        <v>1332</v>
      </c>
    </row>
    <row r="14" spans="1:6" x14ac:dyDescent="0.25">
      <c r="B14" s="99" t="s">
        <v>1336</v>
      </c>
      <c r="C14" s="99" t="s">
        <v>1344</v>
      </c>
      <c r="D14" s="99" t="s">
        <v>1343</v>
      </c>
      <c r="E14" s="99" t="s">
        <v>1333</v>
      </c>
      <c r="F14" s="99" t="s">
        <v>1332</v>
      </c>
    </row>
    <row r="15" spans="1:6" x14ac:dyDescent="0.25">
      <c r="B15" s="99" t="s">
        <v>1336</v>
      </c>
      <c r="C15" s="99" t="s">
        <v>1342</v>
      </c>
      <c r="D15" s="99" t="s">
        <v>1341</v>
      </c>
      <c r="E15" s="99" t="s">
        <v>1333</v>
      </c>
      <c r="F15" s="99" t="s">
        <v>1332</v>
      </c>
    </row>
    <row r="16" spans="1:6" x14ac:dyDescent="0.25">
      <c r="B16" s="99" t="s">
        <v>1336</v>
      </c>
      <c r="C16" s="99" t="s">
        <v>1340</v>
      </c>
      <c r="D16" s="99" t="s">
        <v>1339</v>
      </c>
      <c r="E16" s="99" t="s">
        <v>1333</v>
      </c>
      <c r="F16" s="99" t="s">
        <v>1332</v>
      </c>
    </row>
    <row r="17" spans="1:6" x14ac:dyDescent="0.25">
      <c r="A17" s="99" t="s">
        <v>1010</v>
      </c>
      <c r="B17" s="99" t="s">
        <v>1336</v>
      </c>
      <c r="C17" s="99" t="s">
        <v>1338</v>
      </c>
      <c r="D17" s="99" t="s">
        <v>1337</v>
      </c>
      <c r="E17" s="99" t="s">
        <v>1333</v>
      </c>
      <c r="F17" s="99" t="s">
        <v>1332</v>
      </c>
    </row>
    <row r="18" spans="1:6" x14ac:dyDescent="0.25">
      <c r="A18" s="99" t="s">
        <v>1010</v>
      </c>
      <c r="B18" s="99" t="s">
        <v>1336</v>
      </c>
      <c r="C18" s="99" t="s">
        <v>1335</v>
      </c>
      <c r="D18" s="99" t="s">
        <v>1334</v>
      </c>
      <c r="E18" s="99" t="s">
        <v>1333</v>
      </c>
      <c r="F18" s="99" t="s">
        <v>1332</v>
      </c>
    </row>
    <row r="19" spans="1:6" x14ac:dyDescent="0.25">
      <c r="B19" s="99" t="s">
        <v>1002</v>
      </c>
      <c r="C19" s="99" t="s">
        <v>1331</v>
      </c>
      <c r="D19" s="99" t="s">
        <v>1330</v>
      </c>
      <c r="F19" s="99" t="s">
        <v>1000</v>
      </c>
    </row>
    <row r="20" spans="1:6" x14ac:dyDescent="0.25">
      <c r="B20" s="99" t="s">
        <v>1002</v>
      </c>
      <c r="C20" s="99" t="s">
        <v>1329</v>
      </c>
      <c r="D20" s="99" t="s">
        <v>1328</v>
      </c>
      <c r="F20" s="99" t="s">
        <v>1000</v>
      </c>
    </row>
    <row r="21" spans="1:6" x14ac:dyDescent="0.25">
      <c r="B21" s="99" t="s">
        <v>1002</v>
      </c>
      <c r="C21" s="99" t="s">
        <v>1327</v>
      </c>
      <c r="D21" s="99" t="s">
        <v>1326</v>
      </c>
      <c r="F21" s="99" t="s">
        <v>1000</v>
      </c>
    </row>
    <row r="22" spans="1:6" x14ac:dyDescent="0.25">
      <c r="B22" s="99" t="s">
        <v>1002</v>
      </c>
      <c r="C22" s="99" t="s">
        <v>1325</v>
      </c>
      <c r="D22" s="99" t="s">
        <v>1324</v>
      </c>
      <c r="F22" s="99" t="s">
        <v>1000</v>
      </c>
    </row>
    <row r="23" spans="1:6" x14ac:dyDescent="0.25">
      <c r="B23" s="99" t="s">
        <v>1002</v>
      </c>
      <c r="C23" s="99" t="s">
        <v>1323</v>
      </c>
      <c r="D23" s="99" t="s">
        <v>1322</v>
      </c>
      <c r="F23" s="99" t="s">
        <v>1000</v>
      </c>
    </row>
    <row r="24" spans="1:6" x14ac:dyDescent="0.25">
      <c r="B24" s="99" t="s">
        <v>1002</v>
      </c>
      <c r="C24" s="99" t="s">
        <v>1321</v>
      </c>
      <c r="D24" s="99" t="s">
        <v>1320</v>
      </c>
      <c r="F24" s="99" t="s">
        <v>1000</v>
      </c>
    </row>
    <row r="25" spans="1:6" x14ac:dyDescent="0.25">
      <c r="B25" s="99" t="s">
        <v>1002</v>
      </c>
      <c r="C25" s="99" t="s">
        <v>1319</v>
      </c>
      <c r="D25" s="99" t="s">
        <v>1318</v>
      </c>
      <c r="F25" s="99" t="s">
        <v>1000</v>
      </c>
    </row>
    <row r="26" spans="1:6" x14ac:dyDescent="0.25">
      <c r="B26" s="99" t="s">
        <v>1002</v>
      </c>
      <c r="C26" s="99" t="s">
        <v>1317</v>
      </c>
      <c r="D26" s="99" t="s">
        <v>1316</v>
      </c>
      <c r="F26" s="99" t="s">
        <v>1000</v>
      </c>
    </row>
    <row r="27" spans="1:6" x14ac:dyDescent="0.25">
      <c r="B27" s="99" t="s">
        <v>1002</v>
      </c>
      <c r="C27" s="99" t="s">
        <v>1315</v>
      </c>
      <c r="D27" s="99" t="s">
        <v>1314</v>
      </c>
      <c r="F27" s="99" t="s">
        <v>1000</v>
      </c>
    </row>
    <row r="28" spans="1:6" x14ac:dyDescent="0.25">
      <c r="B28" s="99" t="s">
        <v>1002</v>
      </c>
      <c r="C28" s="99" t="s">
        <v>1313</v>
      </c>
      <c r="D28" s="99" t="s">
        <v>1312</v>
      </c>
      <c r="F28" s="99" t="s">
        <v>1000</v>
      </c>
    </row>
    <row r="29" spans="1:6" x14ac:dyDescent="0.25">
      <c r="B29" s="99" t="s">
        <v>1002</v>
      </c>
      <c r="C29" s="99" t="s">
        <v>1311</v>
      </c>
      <c r="D29" s="99" t="s">
        <v>1310</v>
      </c>
      <c r="F29" s="99" t="s">
        <v>1000</v>
      </c>
    </row>
    <row r="30" spans="1:6" x14ac:dyDescent="0.25">
      <c r="B30" s="99" t="s">
        <v>1002</v>
      </c>
      <c r="C30" s="99" t="s">
        <v>1309</v>
      </c>
      <c r="D30" s="99" t="s">
        <v>1308</v>
      </c>
      <c r="F30" s="99" t="s">
        <v>1000</v>
      </c>
    </row>
    <row r="31" spans="1:6" x14ac:dyDescent="0.25">
      <c r="B31" s="99" t="s">
        <v>1002</v>
      </c>
      <c r="C31" s="99" t="s">
        <v>1307</v>
      </c>
      <c r="D31" s="99" t="s">
        <v>1306</v>
      </c>
      <c r="F31" s="99" t="s">
        <v>1000</v>
      </c>
    </row>
    <row r="32" spans="1:6" x14ac:dyDescent="0.25">
      <c r="B32" s="99" t="s">
        <v>1002</v>
      </c>
      <c r="C32" s="99" t="s">
        <v>1305</v>
      </c>
      <c r="D32" s="99" t="s">
        <v>1304</v>
      </c>
      <c r="F32" s="99" t="s">
        <v>1000</v>
      </c>
    </row>
    <row r="33" spans="2:6" x14ac:dyDescent="0.25">
      <c r="B33" s="99" t="s">
        <v>1002</v>
      </c>
      <c r="C33" s="99" t="s">
        <v>1303</v>
      </c>
      <c r="D33" s="99" t="s">
        <v>1302</v>
      </c>
      <c r="F33" s="99" t="s">
        <v>1000</v>
      </c>
    </row>
    <row r="34" spans="2:6" x14ac:dyDescent="0.25">
      <c r="B34" s="99" t="s">
        <v>1002</v>
      </c>
      <c r="C34" s="99" t="s">
        <v>1301</v>
      </c>
      <c r="D34" s="99" t="s">
        <v>1300</v>
      </c>
      <c r="F34" s="99" t="s">
        <v>1000</v>
      </c>
    </row>
    <row r="35" spans="2:6" x14ac:dyDescent="0.25">
      <c r="B35" s="99" t="s">
        <v>1002</v>
      </c>
      <c r="C35" s="99" t="s">
        <v>1299</v>
      </c>
      <c r="D35" s="99" t="s">
        <v>1298</v>
      </c>
      <c r="F35" s="99" t="s">
        <v>1000</v>
      </c>
    </row>
    <row r="36" spans="2:6" x14ac:dyDescent="0.25">
      <c r="B36" s="99" t="s">
        <v>1002</v>
      </c>
      <c r="C36" s="99" t="s">
        <v>1297</v>
      </c>
      <c r="D36" s="99" t="s">
        <v>1296</v>
      </c>
      <c r="F36" s="99" t="s">
        <v>1000</v>
      </c>
    </row>
    <row r="37" spans="2:6" x14ac:dyDescent="0.25">
      <c r="B37" s="99" t="s">
        <v>1002</v>
      </c>
      <c r="C37" s="99" t="s">
        <v>1295</v>
      </c>
      <c r="D37" s="99" t="s">
        <v>1294</v>
      </c>
      <c r="F37" s="99" t="s">
        <v>1000</v>
      </c>
    </row>
    <row r="38" spans="2:6" x14ac:dyDescent="0.25">
      <c r="B38" s="99" t="s">
        <v>1002</v>
      </c>
      <c r="C38" s="99" t="s">
        <v>1293</v>
      </c>
      <c r="D38" s="99" t="s">
        <v>1292</v>
      </c>
      <c r="F38" s="99" t="s">
        <v>1000</v>
      </c>
    </row>
    <row r="39" spans="2:6" x14ac:dyDescent="0.25">
      <c r="B39" s="99" t="s">
        <v>1002</v>
      </c>
      <c r="C39" s="99" t="s">
        <v>1291</v>
      </c>
      <c r="D39" s="99" t="s">
        <v>1290</v>
      </c>
      <c r="F39" s="99" t="s">
        <v>1000</v>
      </c>
    </row>
    <row r="40" spans="2:6" x14ac:dyDescent="0.25">
      <c r="B40" s="99" t="s">
        <v>1020</v>
      </c>
      <c r="C40" s="99" t="s">
        <v>1289</v>
      </c>
      <c r="D40" s="99" t="s">
        <v>1288</v>
      </c>
      <c r="E40" s="99" t="s">
        <v>142</v>
      </c>
      <c r="F40" s="99" t="s">
        <v>1022</v>
      </c>
    </row>
    <row r="41" spans="2:6" x14ac:dyDescent="0.25">
      <c r="B41" s="99" t="s">
        <v>1020</v>
      </c>
      <c r="C41" s="99" t="s">
        <v>1287</v>
      </c>
      <c r="D41" s="99" t="s">
        <v>1286</v>
      </c>
      <c r="E41" s="99" t="s">
        <v>142</v>
      </c>
      <c r="F41" s="99" t="s">
        <v>1022</v>
      </c>
    </row>
    <row r="42" spans="2:6" x14ac:dyDescent="0.25">
      <c r="B42" s="99" t="s">
        <v>1020</v>
      </c>
      <c r="C42" s="99" t="s">
        <v>42</v>
      </c>
      <c r="D42" s="99" t="s">
        <v>1285</v>
      </c>
      <c r="E42" s="99" t="s">
        <v>142</v>
      </c>
      <c r="F42" s="99" t="s">
        <v>1022</v>
      </c>
    </row>
    <row r="43" spans="2:6" x14ac:dyDescent="0.25">
      <c r="B43" s="99" t="s">
        <v>1020</v>
      </c>
      <c r="C43" s="99" t="s">
        <v>1284</v>
      </c>
      <c r="D43" s="99" t="s">
        <v>1283</v>
      </c>
      <c r="E43" s="99" t="s">
        <v>1248</v>
      </c>
      <c r="F43" s="99" t="s">
        <v>1247</v>
      </c>
    </row>
    <row r="44" spans="2:6" x14ac:dyDescent="0.25">
      <c r="B44" s="99" t="s">
        <v>1020</v>
      </c>
      <c r="C44" s="99" t="s">
        <v>39</v>
      </c>
      <c r="D44" s="99" t="s">
        <v>1282</v>
      </c>
      <c r="E44" s="99" t="s">
        <v>142</v>
      </c>
      <c r="F44" s="99" t="s">
        <v>1022</v>
      </c>
    </row>
    <row r="45" spans="2:6" x14ac:dyDescent="0.25">
      <c r="B45" s="99" t="s">
        <v>1020</v>
      </c>
      <c r="C45" s="99" t="s">
        <v>1281</v>
      </c>
      <c r="D45" s="99" t="s">
        <v>1280</v>
      </c>
      <c r="E45" s="99" t="s">
        <v>142</v>
      </c>
      <c r="F45" s="99" t="s">
        <v>1022</v>
      </c>
    </row>
    <row r="46" spans="2:6" x14ac:dyDescent="0.25">
      <c r="B46" s="99" t="s">
        <v>1020</v>
      </c>
      <c r="C46" s="99" t="s">
        <v>41</v>
      </c>
      <c r="D46" s="99" t="s">
        <v>1279</v>
      </c>
      <c r="E46" s="99" t="s">
        <v>895</v>
      </c>
      <c r="F46" s="99" t="s">
        <v>1278</v>
      </c>
    </row>
    <row r="47" spans="2:6" x14ac:dyDescent="0.25">
      <c r="B47" s="99" t="s">
        <v>1020</v>
      </c>
      <c r="C47" s="99" t="s">
        <v>588</v>
      </c>
      <c r="D47" s="99" t="s">
        <v>1277</v>
      </c>
      <c r="E47" s="99" t="s">
        <v>142</v>
      </c>
      <c r="F47" s="99" t="s">
        <v>1022</v>
      </c>
    </row>
    <row r="48" spans="2:6" x14ac:dyDescent="0.25">
      <c r="B48" s="99" t="s">
        <v>1020</v>
      </c>
      <c r="C48" s="99" t="s">
        <v>1276</v>
      </c>
      <c r="D48" s="99" t="s">
        <v>1206</v>
      </c>
      <c r="E48" s="99" t="s">
        <v>142</v>
      </c>
      <c r="F48" s="99" t="s">
        <v>1022</v>
      </c>
    </row>
    <row r="49" spans="2:6" x14ac:dyDescent="0.25">
      <c r="B49" s="99" t="s">
        <v>1020</v>
      </c>
      <c r="C49" s="99" t="s">
        <v>591</v>
      </c>
      <c r="D49" s="99" t="s">
        <v>1204</v>
      </c>
      <c r="E49" s="99" t="s">
        <v>142</v>
      </c>
      <c r="F49" s="99" t="s">
        <v>1022</v>
      </c>
    </row>
    <row r="50" spans="2:6" x14ac:dyDescent="0.25">
      <c r="B50" s="99" t="s">
        <v>1020</v>
      </c>
      <c r="C50" s="99" t="s">
        <v>40</v>
      </c>
      <c r="D50" s="99" t="s">
        <v>1275</v>
      </c>
      <c r="E50" s="99" t="s">
        <v>142</v>
      </c>
      <c r="F50" s="99" t="s">
        <v>1022</v>
      </c>
    </row>
    <row r="51" spans="2:6" x14ac:dyDescent="0.25">
      <c r="B51" s="99" t="s">
        <v>1020</v>
      </c>
      <c r="C51" s="99" t="s">
        <v>1274</v>
      </c>
      <c r="D51" s="99" t="s">
        <v>1273</v>
      </c>
      <c r="E51" s="99" t="s">
        <v>142</v>
      </c>
      <c r="F51" s="99" t="s">
        <v>1022</v>
      </c>
    </row>
    <row r="52" spans="2:6" x14ac:dyDescent="0.25">
      <c r="B52" s="99" t="s">
        <v>1020</v>
      </c>
      <c r="C52" s="99" t="s">
        <v>1272</v>
      </c>
      <c r="D52" s="99" t="s">
        <v>1271</v>
      </c>
      <c r="E52" s="99" t="s">
        <v>1248</v>
      </c>
      <c r="F52" s="99" t="s">
        <v>1247</v>
      </c>
    </row>
    <row r="53" spans="2:6" x14ac:dyDescent="0.25">
      <c r="B53" s="99" t="s">
        <v>1020</v>
      </c>
      <c r="C53" s="99" t="s">
        <v>1270</v>
      </c>
      <c r="D53" s="99" t="s">
        <v>1269</v>
      </c>
      <c r="E53" s="99" t="s">
        <v>1248</v>
      </c>
      <c r="F53" s="99" t="s">
        <v>1247</v>
      </c>
    </row>
    <row r="54" spans="2:6" x14ac:dyDescent="0.25">
      <c r="B54" s="99" t="s">
        <v>1020</v>
      </c>
      <c r="C54" s="99" t="s">
        <v>1268</v>
      </c>
      <c r="D54" s="99" t="s">
        <v>1267</v>
      </c>
      <c r="E54" s="99" t="s">
        <v>1248</v>
      </c>
      <c r="F54" s="99" t="s">
        <v>1247</v>
      </c>
    </row>
    <row r="55" spans="2:6" x14ac:dyDescent="0.25">
      <c r="B55" s="99" t="s">
        <v>1020</v>
      </c>
      <c r="C55" s="99" t="s">
        <v>1266</v>
      </c>
      <c r="D55" s="99" t="s">
        <v>1265</v>
      </c>
      <c r="E55" s="99" t="s">
        <v>142</v>
      </c>
      <c r="F55" s="99" t="s">
        <v>1022</v>
      </c>
    </row>
    <row r="56" spans="2:6" x14ac:dyDescent="0.25">
      <c r="B56" s="99" t="s">
        <v>1020</v>
      </c>
      <c r="C56" s="99" t="s">
        <v>1264</v>
      </c>
      <c r="D56" s="99" t="s">
        <v>1263</v>
      </c>
      <c r="E56" s="99" t="s">
        <v>142</v>
      </c>
      <c r="F56" s="99" t="s">
        <v>1022</v>
      </c>
    </row>
    <row r="57" spans="2:6" x14ac:dyDescent="0.25">
      <c r="B57" s="99" t="s">
        <v>1020</v>
      </c>
      <c r="C57" s="99" t="s">
        <v>1262</v>
      </c>
      <c r="D57" s="99" t="s">
        <v>1261</v>
      </c>
      <c r="E57" s="99" t="s">
        <v>142</v>
      </c>
      <c r="F57" s="99" t="s">
        <v>1022</v>
      </c>
    </row>
    <row r="58" spans="2:6" x14ac:dyDescent="0.25">
      <c r="B58" s="99" t="s">
        <v>1020</v>
      </c>
      <c r="C58" s="99" t="s">
        <v>1260</v>
      </c>
      <c r="D58" s="99" t="s">
        <v>1259</v>
      </c>
      <c r="E58" s="99" t="s">
        <v>1248</v>
      </c>
      <c r="F58" s="99" t="s">
        <v>1247</v>
      </c>
    </row>
    <row r="59" spans="2:6" x14ac:dyDescent="0.25">
      <c r="B59" s="99" t="s">
        <v>1020</v>
      </c>
      <c r="C59" s="99" t="s">
        <v>1258</v>
      </c>
      <c r="D59" s="99" t="s">
        <v>1257</v>
      </c>
      <c r="E59" s="99" t="s">
        <v>1248</v>
      </c>
      <c r="F59" s="99" t="s">
        <v>1247</v>
      </c>
    </row>
    <row r="60" spans="2:6" x14ac:dyDescent="0.25">
      <c r="B60" s="99" t="s">
        <v>1020</v>
      </c>
      <c r="C60" s="99" t="s">
        <v>1256</v>
      </c>
      <c r="D60" s="99" t="s">
        <v>1255</v>
      </c>
      <c r="E60" s="99" t="s">
        <v>1248</v>
      </c>
      <c r="F60" s="99" t="s">
        <v>1247</v>
      </c>
    </row>
    <row r="61" spans="2:6" x14ac:dyDescent="0.25">
      <c r="B61" s="99" t="s">
        <v>1020</v>
      </c>
      <c r="C61" s="99" t="s">
        <v>1254</v>
      </c>
      <c r="D61" s="99" t="s">
        <v>1253</v>
      </c>
      <c r="E61" s="99" t="s">
        <v>142</v>
      </c>
      <c r="F61" s="99" t="s">
        <v>1022</v>
      </c>
    </row>
    <row r="62" spans="2:6" x14ac:dyDescent="0.25">
      <c r="B62" s="99" t="s">
        <v>1020</v>
      </c>
      <c r="C62" s="99" t="s">
        <v>1252</v>
      </c>
      <c r="D62" s="99" t="s">
        <v>1251</v>
      </c>
      <c r="E62" s="99" t="s">
        <v>1248</v>
      </c>
      <c r="F62" s="99" t="s">
        <v>1247</v>
      </c>
    </row>
    <row r="63" spans="2:6" x14ac:dyDescent="0.25">
      <c r="B63" s="99" t="s">
        <v>1020</v>
      </c>
      <c r="C63" s="99" t="s">
        <v>1250</v>
      </c>
      <c r="D63" s="99" t="s">
        <v>1249</v>
      </c>
      <c r="E63" s="99" t="s">
        <v>1248</v>
      </c>
      <c r="F63" s="99" t="s">
        <v>1247</v>
      </c>
    </row>
    <row r="64" spans="2:6" x14ac:dyDescent="0.25">
      <c r="B64" s="99" t="s">
        <v>1006</v>
      </c>
      <c r="C64" s="99" t="s">
        <v>169</v>
      </c>
      <c r="D64" s="99" t="s">
        <v>1246</v>
      </c>
      <c r="E64" s="99" t="s">
        <v>1012</v>
      </c>
      <c r="F64" s="99" t="s">
        <v>1007</v>
      </c>
    </row>
    <row r="65" spans="2:6" x14ac:dyDescent="0.25">
      <c r="B65" s="99" t="s">
        <v>1006</v>
      </c>
      <c r="C65" s="99" t="s">
        <v>1245</v>
      </c>
      <c r="D65" s="99" t="s">
        <v>1244</v>
      </c>
      <c r="E65" s="99" t="s">
        <v>1012</v>
      </c>
      <c r="F65" s="99" t="s">
        <v>1007</v>
      </c>
    </row>
    <row r="66" spans="2:6" x14ac:dyDescent="0.25">
      <c r="B66" s="99" t="s">
        <v>1006</v>
      </c>
      <c r="C66" s="99" t="s">
        <v>1243</v>
      </c>
      <c r="D66" s="99" t="s">
        <v>1242</v>
      </c>
      <c r="E66" s="99" t="s">
        <v>1012</v>
      </c>
      <c r="F66" s="99" t="s">
        <v>1007</v>
      </c>
    </row>
    <row r="67" spans="2:6" x14ac:dyDescent="0.25">
      <c r="B67" s="99" t="s">
        <v>1006</v>
      </c>
      <c r="C67" s="99" t="s">
        <v>538</v>
      </c>
      <c r="D67" s="99" t="s">
        <v>1241</v>
      </c>
      <c r="E67" s="99" t="s">
        <v>1012</v>
      </c>
      <c r="F67" s="99" t="s">
        <v>1007</v>
      </c>
    </row>
    <row r="68" spans="2:6" x14ac:dyDescent="0.25">
      <c r="B68" s="99" t="s">
        <v>1006</v>
      </c>
      <c r="C68" s="99" t="s">
        <v>171</v>
      </c>
      <c r="D68" s="99" t="s">
        <v>1240</v>
      </c>
      <c r="E68" s="99" t="s">
        <v>1012</v>
      </c>
      <c r="F68" s="99" t="s">
        <v>1007</v>
      </c>
    </row>
    <row r="69" spans="2:6" x14ac:dyDescent="0.25">
      <c r="B69" s="99" t="s">
        <v>1006</v>
      </c>
      <c r="C69" s="99" t="s">
        <v>1239</v>
      </c>
      <c r="D69" s="99" t="s">
        <v>1238</v>
      </c>
      <c r="E69" s="99" t="s">
        <v>1012</v>
      </c>
      <c r="F69" s="99" t="s">
        <v>1007</v>
      </c>
    </row>
    <row r="70" spans="2:6" x14ac:dyDescent="0.25">
      <c r="B70" s="99" t="s">
        <v>1006</v>
      </c>
      <c r="C70" s="99" t="s">
        <v>1237</v>
      </c>
      <c r="D70" s="99" t="s">
        <v>1236</v>
      </c>
      <c r="E70" s="99" t="s">
        <v>1012</v>
      </c>
      <c r="F70" s="99" t="s">
        <v>1007</v>
      </c>
    </row>
    <row r="71" spans="2:6" x14ac:dyDescent="0.25">
      <c r="B71" s="99" t="s">
        <v>1006</v>
      </c>
      <c r="C71" s="99" t="s">
        <v>1235</v>
      </c>
      <c r="D71" s="99" t="s">
        <v>1234</v>
      </c>
      <c r="E71" s="99" t="s">
        <v>1004</v>
      </c>
      <c r="F71" s="99" t="s">
        <v>1007</v>
      </c>
    </row>
    <row r="72" spans="2:6" x14ac:dyDescent="0.25">
      <c r="B72" s="99" t="s">
        <v>1006</v>
      </c>
      <c r="C72" s="99" t="s">
        <v>174</v>
      </c>
      <c r="D72" s="99" t="s">
        <v>1233</v>
      </c>
      <c r="E72" s="99" t="s">
        <v>1012</v>
      </c>
      <c r="F72" s="99" t="s">
        <v>1007</v>
      </c>
    </row>
    <row r="73" spans="2:6" x14ac:dyDescent="0.25">
      <c r="B73" s="99" t="s">
        <v>1006</v>
      </c>
      <c r="C73" s="99" t="s">
        <v>1232</v>
      </c>
      <c r="D73" s="99" t="s">
        <v>1231</v>
      </c>
      <c r="E73" s="99" t="s">
        <v>1012</v>
      </c>
      <c r="F73" s="99" t="s">
        <v>1007</v>
      </c>
    </row>
    <row r="74" spans="2:6" x14ac:dyDescent="0.25">
      <c r="B74" s="99" t="s">
        <v>1006</v>
      </c>
      <c r="C74" s="99" t="s">
        <v>1230</v>
      </c>
      <c r="D74" s="99" t="s">
        <v>1229</v>
      </c>
      <c r="E74" s="99" t="s">
        <v>1012</v>
      </c>
      <c r="F74" s="99" t="s">
        <v>1007</v>
      </c>
    </row>
    <row r="75" spans="2:6" x14ac:dyDescent="0.25">
      <c r="B75" s="99" t="s">
        <v>1006</v>
      </c>
      <c r="C75" s="99" t="s">
        <v>539</v>
      </c>
      <c r="D75" s="99" t="s">
        <v>1228</v>
      </c>
      <c r="E75" s="99" t="s">
        <v>1012</v>
      </c>
      <c r="F75" s="99" t="s">
        <v>1007</v>
      </c>
    </row>
    <row r="76" spans="2:6" x14ac:dyDescent="0.25">
      <c r="B76" s="99" t="s">
        <v>1006</v>
      </c>
      <c r="C76" s="99" t="s">
        <v>540</v>
      </c>
      <c r="D76" s="99" t="s">
        <v>1227</v>
      </c>
      <c r="E76" s="99" t="s">
        <v>1012</v>
      </c>
      <c r="F76" s="99" t="s">
        <v>1007</v>
      </c>
    </row>
    <row r="77" spans="2:6" x14ac:dyDescent="0.25">
      <c r="B77" s="99" t="s">
        <v>1006</v>
      </c>
      <c r="C77" s="99" t="s">
        <v>178</v>
      </c>
      <c r="D77" s="99" t="s">
        <v>1226</v>
      </c>
      <c r="E77" s="99" t="s">
        <v>1012</v>
      </c>
      <c r="F77" s="99" t="s">
        <v>1007</v>
      </c>
    </row>
    <row r="78" spans="2:6" x14ac:dyDescent="0.25">
      <c r="B78" s="99" t="s">
        <v>1006</v>
      </c>
      <c r="C78" s="99" t="s">
        <v>1225</v>
      </c>
      <c r="D78" s="99" t="s">
        <v>1224</v>
      </c>
      <c r="E78" s="99" t="s">
        <v>1012</v>
      </c>
      <c r="F78" s="99" t="s">
        <v>1007</v>
      </c>
    </row>
    <row r="79" spans="2:6" x14ac:dyDescent="0.25">
      <c r="B79" s="99" t="s">
        <v>1006</v>
      </c>
      <c r="C79" s="99" t="s">
        <v>1223</v>
      </c>
      <c r="D79" s="99" t="s">
        <v>1222</v>
      </c>
      <c r="E79" s="99" t="s">
        <v>1012</v>
      </c>
      <c r="F79" s="99" t="s">
        <v>1007</v>
      </c>
    </row>
    <row r="80" spans="2:6" x14ac:dyDescent="0.25">
      <c r="B80" s="99" t="s">
        <v>1006</v>
      </c>
      <c r="C80" s="99" t="s">
        <v>180</v>
      </c>
      <c r="D80" s="99" t="s">
        <v>1221</v>
      </c>
      <c r="E80" s="99" t="s">
        <v>1012</v>
      </c>
      <c r="F80" s="99" t="s">
        <v>1007</v>
      </c>
    </row>
    <row r="81" spans="2:6" x14ac:dyDescent="0.25">
      <c r="B81" s="99" t="s">
        <v>1006</v>
      </c>
      <c r="C81" s="99" t="s">
        <v>1220</v>
      </c>
      <c r="D81" s="99" t="s">
        <v>1219</v>
      </c>
      <c r="E81" s="99" t="s">
        <v>1012</v>
      </c>
      <c r="F81" s="99" t="s">
        <v>1007</v>
      </c>
    </row>
    <row r="82" spans="2:6" x14ac:dyDescent="0.25">
      <c r="B82" s="99" t="s">
        <v>1006</v>
      </c>
      <c r="C82" s="99" t="s">
        <v>1218</v>
      </c>
      <c r="D82" s="99" t="s">
        <v>1217</v>
      </c>
      <c r="E82" s="99" t="s">
        <v>1012</v>
      </c>
      <c r="F82" s="99" t="s">
        <v>1007</v>
      </c>
    </row>
    <row r="83" spans="2:6" x14ac:dyDescent="0.25">
      <c r="B83" s="99" t="s">
        <v>1006</v>
      </c>
      <c r="C83" s="99" t="s">
        <v>541</v>
      </c>
      <c r="D83" s="99" t="s">
        <v>1216</v>
      </c>
      <c r="E83" s="99" t="s">
        <v>1012</v>
      </c>
      <c r="F83" s="99" t="s">
        <v>1007</v>
      </c>
    </row>
    <row r="84" spans="2:6" x14ac:dyDescent="0.25">
      <c r="B84" s="99" t="s">
        <v>1006</v>
      </c>
      <c r="C84" s="99" t="s">
        <v>1215</v>
      </c>
      <c r="D84" s="99" t="s">
        <v>1214</v>
      </c>
      <c r="E84" s="99" t="s">
        <v>1004</v>
      </c>
      <c r="F84" s="99" t="s">
        <v>1007</v>
      </c>
    </row>
    <row r="85" spans="2:6" x14ac:dyDescent="0.25">
      <c r="B85" s="99" t="s">
        <v>1006</v>
      </c>
      <c r="C85" s="99" t="s">
        <v>1213</v>
      </c>
      <c r="D85" s="99" t="s">
        <v>1212</v>
      </c>
      <c r="E85" s="99" t="s">
        <v>1004</v>
      </c>
      <c r="F85" s="99" t="s">
        <v>1007</v>
      </c>
    </row>
    <row r="86" spans="2:6" x14ac:dyDescent="0.25">
      <c r="B86" s="99" t="s">
        <v>1006</v>
      </c>
      <c r="C86" s="99" t="s">
        <v>1211</v>
      </c>
      <c r="D86" s="99" t="s">
        <v>1210</v>
      </c>
      <c r="E86" s="99" t="s">
        <v>1004</v>
      </c>
      <c r="F86" s="99" t="s">
        <v>1007</v>
      </c>
    </row>
    <row r="87" spans="2:6" x14ac:dyDescent="0.25">
      <c r="B87" s="99" t="s">
        <v>1006</v>
      </c>
      <c r="C87" s="99" t="s">
        <v>1209</v>
      </c>
      <c r="D87" s="99" t="s">
        <v>1208</v>
      </c>
      <c r="E87" s="99" t="s">
        <v>1004</v>
      </c>
      <c r="F87" s="99" t="s">
        <v>1007</v>
      </c>
    </row>
    <row r="88" spans="2:6" x14ac:dyDescent="0.25">
      <c r="B88" s="99" t="s">
        <v>1006</v>
      </c>
      <c r="C88" s="99" t="s">
        <v>1207</v>
      </c>
      <c r="D88" s="99" t="s">
        <v>1206</v>
      </c>
      <c r="E88" s="99" t="s">
        <v>1004</v>
      </c>
      <c r="F88" s="99" t="s">
        <v>1007</v>
      </c>
    </row>
    <row r="89" spans="2:6" x14ac:dyDescent="0.25">
      <c r="B89" s="99" t="s">
        <v>1006</v>
      </c>
      <c r="C89" s="99" t="s">
        <v>1205</v>
      </c>
      <c r="D89" s="99" t="s">
        <v>1204</v>
      </c>
      <c r="E89" s="99" t="s">
        <v>1004</v>
      </c>
      <c r="F89" s="99" t="s">
        <v>1007</v>
      </c>
    </row>
    <row r="90" spans="2:6" x14ac:dyDescent="0.25">
      <c r="B90" s="99" t="s">
        <v>1006</v>
      </c>
      <c r="C90" s="99" t="s">
        <v>1203</v>
      </c>
      <c r="D90" s="99" t="s">
        <v>1202</v>
      </c>
      <c r="E90" s="99" t="s">
        <v>1012</v>
      </c>
      <c r="F90" s="99" t="s">
        <v>1007</v>
      </c>
    </row>
    <row r="91" spans="2:6" x14ac:dyDescent="0.25">
      <c r="B91" s="99" t="s">
        <v>1006</v>
      </c>
      <c r="C91" s="99" t="s">
        <v>1201</v>
      </c>
      <c r="D91" s="99" t="s">
        <v>1200</v>
      </c>
      <c r="E91" s="99" t="s">
        <v>1004</v>
      </c>
      <c r="F91" s="99" t="s">
        <v>1007</v>
      </c>
    </row>
    <row r="92" spans="2:6" x14ac:dyDescent="0.25">
      <c r="B92" s="99" t="s">
        <v>1199</v>
      </c>
      <c r="C92" s="99" t="s">
        <v>1043</v>
      </c>
      <c r="D92" s="99" t="s">
        <v>1198</v>
      </c>
      <c r="F92" s="99" t="s">
        <v>1197</v>
      </c>
    </row>
    <row r="93" spans="2:6" x14ac:dyDescent="0.25">
      <c r="B93" s="99" t="s">
        <v>1020</v>
      </c>
      <c r="C93" s="99" t="s">
        <v>1485</v>
      </c>
      <c r="D93" s="99" t="s">
        <v>1487</v>
      </c>
      <c r="E93" t="s">
        <v>895</v>
      </c>
      <c r="F93" t="s">
        <v>1486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 filterMode="1">
    <tabColor theme="0" tint="-0.34998626667073579"/>
  </sheetPr>
  <dimension ref="A1:AV307"/>
  <sheetViews>
    <sheetView workbookViewId="0">
      <selection activeCell="J10" sqref="J10"/>
    </sheetView>
  </sheetViews>
  <sheetFormatPr defaultColWidth="10.28515625" defaultRowHeight="15" x14ac:dyDescent="0.25"/>
  <cols>
    <col min="1" max="1" width="8.28515625" style="99" bestFit="1" customWidth="1"/>
    <col min="2" max="2" width="15.5703125" style="99" customWidth="1"/>
    <col min="3" max="3" width="25.42578125" style="99" customWidth="1"/>
    <col min="4" max="4" width="10" style="99" customWidth="1"/>
    <col min="5" max="5" width="21.42578125" style="99" customWidth="1"/>
    <col min="6" max="6" width="14.5703125" style="99" bestFit="1" customWidth="1"/>
    <col min="7" max="7" width="8.5703125" style="99" bestFit="1" customWidth="1"/>
    <col min="8" max="8" width="3.42578125" style="99" bestFit="1" customWidth="1"/>
    <col min="9" max="9" width="2.5703125" style="99" bestFit="1" customWidth="1"/>
    <col min="10" max="10" width="9.28515625" style="99" bestFit="1" customWidth="1"/>
    <col min="11" max="11" width="18" style="99" bestFit="1" customWidth="1"/>
    <col min="12" max="13" width="10.5703125" style="99" bestFit="1" customWidth="1"/>
    <col min="14" max="14" width="17.7109375" style="99" customWidth="1"/>
    <col min="15" max="18" width="10.5703125" style="99" bestFit="1" customWidth="1"/>
    <col min="19" max="22" width="8.42578125" style="99" bestFit="1" customWidth="1"/>
    <col min="23" max="23" width="6.28515625" style="99" bestFit="1" customWidth="1"/>
    <col min="24" max="27" width="8.42578125" style="99" bestFit="1" customWidth="1"/>
    <col min="28" max="37" width="6.7109375" style="99" bestFit="1" customWidth="1"/>
    <col min="38" max="39" width="8.28515625" style="99" bestFit="1" customWidth="1"/>
    <col min="40" max="40" width="8.7109375" style="99" bestFit="1" customWidth="1"/>
    <col min="41" max="49" width="6.7109375" style="99" bestFit="1" customWidth="1"/>
    <col min="50" max="16384" width="10.28515625" style="99"/>
  </cols>
  <sheetData>
    <row r="1" spans="1:41" x14ac:dyDescent="0.25">
      <c r="A1" s="99" t="s">
        <v>1454</v>
      </c>
      <c r="B1" s="99" t="s">
        <v>1026</v>
      </c>
    </row>
    <row r="2" spans="1:41" x14ac:dyDescent="0.25">
      <c r="A2" s="99" t="s">
        <v>1010</v>
      </c>
      <c r="J2" s="99">
        <v>2012</v>
      </c>
      <c r="K2" s="99">
        <v>2013</v>
      </c>
      <c r="L2" s="99">
        <v>2014</v>
      </c>
      <c r="M2" s="99">
        <v>2015</v>
      </c>
      <c r="N2" s="99">
        <v>2016</v>
      </c>
      <c r="O2" s="99">
        <v>2017</v>
      </c>
      <c r="P2" s="99">
        <v>2018</v>
      </c>
      <c r="Q2" s="99">
        <v>2019</v>
      </c>
      <c r="R2" s="99">
        <v>2020</v>
      </c>
      <c r="S2" s="99">
        <v>2021</v>
      </c>
      <c r="T2" s="99">
        <v>2022</v>
      </c>
      <c r="U2" s="99">
        <v>2023</v>
      </c>
      <c r="V2" s="99">
        <v>2024</v>
      </c>
      <c r="W2" s="99">
        <v>2025</v>
      </c>
      <c r="X2" s="99">
        <v>2026</v>
      </c>
      <c r="Y2" s="99">
        <v>2027</v>
      </c>
      <c r="Z2" s="99">
        <v>2028</v>
      </c>
      <c r="AA2" s="99">
        <v>2029</v>
      </c>
      <c r="AB2" s="99">
        <v>2030</v>
      </c>
      <c r="AC2" s="99">
        <v>2031</v>
      </c>
      <c r="AD2" s="99">
        <v>2032</v>
      </c>
      <c r="AE2" s="99">
        <v>2033</v>
      </c>
      <c r="AF2" s="99">
        <v>2034</v>
      </c>
      <c r="AG2" s="99">
        <v>2035</v>
      </c>
      <c r="AH2" s="99">
        <v>2036</v>
      </c>
      <c r="AI2" s="99">
        <v>2037</v>
      </c>
      <c r="AJ2" s="99">
        <v>2038</v>
      </c>
      <c r="AK2" s="99">
        <v>2039</v>
      </c>
      <c r="AL2" s="99">
        <v>2040</v>
      </c>
      <c r="AM2" s="99">
        <v>2045</v>
      </c>
      <c r="AN2" s="99">
        <v>2050</v>
      </c>
      <c r="AO2" s="99">
        <v>2060</v>
      </c>
    </row>
    <row r="3" spans="1:41" hidden="1" x14ac:dyDescent="0.25">
      <c r="B3" s="99" t="s">
        <v>910</v>
      </c>
      <c r="C3" s="99" t="s">
        <v>169</v>
      </c>
      <c r="D3" s="99" t="s">
        <v>703</v>
      </c>
      <c r="E3" s="99" t="s">
        <v>703</v>
      </c>
      <c r="F3" s="99" t="s">
        <v>703</v>
      </c>
      <c r="G3" s="99" t="s">
        <v>703</v>
      </c>
      <c r="H3" s="99" t="s">
        <v>703</v>
      </c>
      <c r="I3" s="99">
        <v>0</v>
      </c>
      <c r="J3" s="545">
        <f>'Iron &amp; Steel'!O89</f>
        <v>3160.9164837865528</v>
      </c>
    </row>
    <row r="4" spans="1:41" hidden="1" x14ac:dyDescent="0.25">
      <c r="B4" s="99" t="s">
        <v>910</v>
      </c>
      <c r="C4" s="99" t="s">
        <v>1245</v>
      </c>
      <c r="D4" s="99" t="s">
        <v>703</v>
      </c>
      <c r="E4" s="99" t="s">
        <v>703</v>
      </c>
      <c r="F4" s="99" t="s">
        <v>703</v>
      </c>
      <c r="G4" s="99" t="s">
        <v>703</v>
      </c>
      <c r="H4" s="99" t="s">
        <v>703</v>
      </c>
      <c r="I4" s="99">
        <v>0</v>
      </c>
      <c r="J4" s="545">
        <f>'Iron &amp; Steel'!O90</f>
        <v>3160.9164837865528</v>
      </c>
    </row>
    <row r="5" spans="1:41" hidden="1" x14ac:dyDescent="0.25">
      <c r="B5" s="99" t="s">
        <v>910</v>
      </c>
      <c r="C5" s="99" t="s">
        <v>1243</v>
      </c>
      <c r="D5" s="99" t="s">
        <v>703</v>
      </c>
      <c r="E5" s="99" t="s">
        <v>703</v>
      </c>
      <c r="F5" s="99" t="s">
        <v>703</v>
      </c>
      <c r="G5" s="99" t="s">
        <v>703</v>
      </c>
      <c r="H5" s="99" t="s">
        <v>703</v>
      </c>
      <c r="I5" s="99">
        <v>0</v>
      </c>
      <c r="J5" s="545">
        <f>'Iron &amp; Steel'!O91</f>
        <v>3160.9164837865528</v>
      </c>
    </row>
    <row r="6" spans="1:41" hidden="1" x14ac:dyDescent="0.25">
      <c r="B6" s="99" t="s">
        <v>910</v>
      </c>
      <c r="C6" s="99" t="s">
        <v>538</v>
      </c>
      <c r="D6" s="99" t="s">
        <v>703</v>
      </c>
      <c r="E6" s="99" t="s">
        <v>703</v>
      </c>
      <c r="F6" s="99" t="s">
        <v>703</v>
      </c>
      <c r="G6" s="99" t="s">
        <v>703</v>
      </c>
      <c r="H6" s="99" t="s">
        <v>703</v>
      </c>
      <c r="I6" s="99">
        <v>0</v>
      </c>
      <c r="J6" s="545">
        <f>'Iron &amp; Steel'!O92</f>
        <v>3160.9164837865528</v>
      </c>
    </row>
    <row r="7" spans="1:41" hidden="1" x14ac:dyDescent="0.25">
      <c r="B7" s="99" t="s">
        <v>910</v>
      </c>
      <c r="C7" s="99" t="s">
        <v>171</v>
      </c>
      <c r="D7" s="99" t="s">
        <v>703</v>
      </c>
      <c r="E7" s="99" t="s">
        <v>703</v>
      </c>
      <c r="F7" s="99" t="s">
        <v>703</v>
      </c>
      <c r="G7" s="99" t="s">
        <v>703</v>
      </c>
      <c r="H7" s="99" t="s">
        <v>703</v>
      </c>
      <c r="I7" s="99">
        <v>0</v>
      </c>
      <c r="J7" s="545">
        <f>'Iron &amp; Steel'!O93</f>
        <v>4030.364928374072</v>
      </c>
    </row>
    <row r="8" spans="1:41" hidden="1" x14ac:dyDescent="0.25">
      <c r="B8" s="99" t="s">
        <v>910</v>
      </c>
      <c r="C8" s="99" t="s">
        <v>1239</v>
      </c>
      <c r="D8" s="99" t="s">
        <v>703</v>
      </c>
      <c r="E8" s="99" t="s">
        <v>703</v>
      </c>
      <c r="F8" s="99" t="s">
        <v>703</v>
      </c>
      <c r="G8" s="99" t="s">
        <v>703</v>
      </c>
      <c r="H8" s="99" t="s">
        <v>703</v>
      </c>
      <c r="I8" s="99">
        <v>0</v>
      </c>
      <c r="J8" s="545">
        <f>'Iron &amp; Steel'!O94</f>
        <v>4030.364928374072</v>
      </c>
    </row>
    <row r="9" spans="1:41" hidden="1" x14ac:dyDescent="0.25">
      <c r="B9" s="99" t="s">
        <v>910</v>
      </c>
      <c r="C9" s="99" t="s">
        <v>1237</v>
      </c>
      <c r="D9" s="99" t="s">
        <v>703</v>
      </c>
      <c r="E9" s="99" t="s">
        <v>703</v>
      </c>
      <c r="F9" s="99" t="s">
        <v>703</v>
      </c>
      <c r="G9" s="99" t="s">
        <v>703</v>
      </c>
      <c r="H9" s="99" t="s">
        <v>703</v>
      </c>
      <c r="I9" s="99">
        <v>0</v>
      </c>
      <c r="J9" s="545">
        <f>'Iron &amp; Steel'!O95</f>
        <v>4030.364928374072</v>
      </c>
    </row>
    <row r="10" spans="1:41" x14ac:dyDescent="0.25">
      <c r="B10" s="99" t="s">
        <v>910</v>
      </c>
      <c r="C10" s="99" t="s">
        <v>1235</v>
      </c>
      <c r="D10" s="99" t="s">
        <v>703</v>
      </c>
      <c r="E10" s="99" t="s">
        <v>703</v>
      </c>
      <c r="F10" s="99" t="s">
        <v>703</v>
      </c>
      <c r="G10" s="99" t="s">
        <v>703</v>
      </c>
      <c r="H10" s="99" t="s">
        <v>703</v>
      </c>
      <c r="I10" s="99">
        <v>0</v>
      </c>
      <c r="J10" s="545">
        <f>'Iron &amp; Steel'!O96</f>
        <v>61.378608192831265</v>
      </c>
    </row>
    <row r="11" spans="1:41" hidden="1" x14ac:dyDescent="0.25">
      <c r="B11" s="99" t="s">
        <v>910</v>
      </c>
      <c r="C11" s="99" t="s">
        <v>174</v>
      </c>
      <c r="D11" s="99" t="s">
        <v>703</v>
      </c>
      <c r="E11" s="99" t="s">
        <v>703</v>
      </c>
      <c r="F11" s="99" t="s">
        <v>703</v>
      </c>
      <c r="G11" s="99" t="s">
        <v>703</v>
      </c>
      <c r="H11" s="99" t="s">
        <v>703</v>
      </c>
      <c r="I11" s="99">
        <v>0</v>
      </c>
      <c r="J11" s="545">
        <f>'Iron &amp; Steel'!O97</f>
        <v>4030.364928374072</v>
      </c>
    </row>
    <row r="12" spans="1:41" hidden="1" x14ac:dyDescent="0.25">
      <c r="B12" s="99" t="s">
        <v>910</v>
      </c>
      <c r="C12" s="99" t="s">
        <v>1232</v>
      </c>
      <c r="D12" s="99" t="s">
        <v>703</v>
      </c>
      <c r="E12" s="99" t="s">
        <v>703</v>
      </c>
      <c r="F12" s="99" t="s">
        <v>703</v>
      </c>
      <c r="G12" s="99" t="s">
        <v>703</v>
      </c>
      <c r="H12" s="99" t="s">
        <v>703</v>
      </c>
      <c r="I12" s="99">
        <v>0</v>
      </c>
      <c r="J12" s="545">
        <f>'Iron &amp; Steel'!O98</f>
        <v>4030.364928374072</v>
      </c>
    </row>
    <row r="13" spans="1:41" hidden="1" x14ac:dyDescent="0.25">
      <c r="B13" s="99" t="s">
        <v>910</v>
      </c>
      <c r="C13" s="99" t="s">
        <v>1230</v>
      </c>
      <c r="D13" s="99" t="s">
        <v>703</v>
      </c>
      <c r="E13" s="99" t="s">
        <v>703</v>
      </c>
      <c r="F13" s="99" t="s">
        <v>703</v>
      </c>
      <c r="G13" s="99" t="s">
        <v>703</v>
      </c>
      <c r="H13" s="99" t="s">
        <v>703</v>
      </c>
      <c r="I13" s="99">
        <v>0</v>
      </c>
      <c r="J13" s="545">
        <f>'Iron &amp; Steel'!O99</f>
        <v>4030.364928374072</v>
      </c>
    </row>
    <row r="14" spans="1:41" hidden="1" x14ac:dyDescent="0.25">
      <c r="B14" s="99" t="s">
        <v>910</v>
      </c>
      <c r="C14" s="99" t="s">
        <v>539</v>
      </c>
      <c r="D14" s="99" t="s">
        <v>703</v>
      </c>
      <c r="E14" s="99" t="s">
        <v>703</v>
      </c>
      <c r="F14" s="99" t="s">
        <v>703</v>
      </c>
      <c r="G14" s="99" t="s">
        <v>703</v>
      </c>
      <c r="H14" s="99" t="s">
        <v>703</v>
      </c>
      <c r="I14" s="99">
        <v>0</v>
      </c>
      <c r="J14" s="545">
        <f>'Iron &amp; Steel'!O100</f>
        <v>4030.364928374072</v>
      </c>
    </row>
    <row r="15" spans="1:41" hidden="1" x14ac:dyDescent="0.25">
      <c r="B15" s="99" t="s">
        <v>910</v>
      </c>
      <c r="C15" s="99" t="s">
        <v>540</v>
      </c>
      <c r="D15" s="99" t="s">
        <v>703</v>
      </c>
      <c r="E15" s="99" t="s">
        <v>703</v>
      </c>
      <c r="F15" s="99" t="s">
        <v>703</v>
      </c>
      <c r="G15" s="99" t="s">
        <v>703</v>
      </c>
      <c r="H15" s="99" t="s">
        <v>703</v>
      </c>
      <c r="I15" s="99">
        <v>0</v>
      </c>
      <c r="J15" s="545">
        <f>'Iron &amp; Steel'!O101</f>
        <v>4730.8994432149193</v>
      </c>
    </row>
    <row r="16" spans="1:41" hidden="1" x14ac:dyDescent="0.25">
      <c r="B16" s="99" t="s">
        <v>910</v>
      </c>
      <c r="C16" s="99" t="s">
        <v>178</v>
      </c>
      <c r="D16" s="99" t="s">
        <v>703</v>
      </c>
      <c r="E16" s="99" t="s">
        <v>703</v>
      </c>
      <c r="F16" s="99" t="s">
        <v>703</v>
      </c>
      <c r="G16" s="99" t="s">
        <v>703</v>
      </c>
      <c r="H16" s="99" t="s">
        <v>703</v>
      </c>
      <c r="I16" s="99">
        <v>0</v>
      </c>
      <c r="J16" s="545">
        <f>'Iron &amp; Steel'!O102</f>
        <v>4030.364928374072</v>
      </c>
    </row>
    <row r="17" spans="2:18" hidden="1" x14ac:dyDescent="0.25">
      <c r="B17" s="99" t="s">
        <v>910</v>
      </c>
      <c r="C17" s="99" t="s">
        <v>1225</v>
      </c>
      <c r="D17" s="99" t="s">
        <v>703</v>
      </c>
      <c r="E17" s="99" t="s">
        <v>703</v>
      </c>
      <c r="F17" s="99" t="s">
        <v>703</v>
      </c>
      <c r="G17" s="99" t="s">
        <v>703</v>
      </c>
      <c r="H17" s="99" t="s">
        <v>703</v>
      </c>
      <c r="I17" s="99">
        <v>0</v>
      </c>
      <c r="J17" s="545">
        <f>'Iron &amp; Steel'!O103</f>
        <v>4030.364928374072</v>
      </c>
    </row>
    <row r="18" spans="2:18" hidden="1" x14ac:dyDescent="0.25">
      <c r="B18" s="99" t="s">
        <v>910</v>
      </c>
      <c r="C18" s="99" t="s">
        <v>1223</v>
      </c>
      <c r="D18" s="99" t="s">
        <v>703</v>
      </c>
      <c r="E18" s="99" t="s">
        <v>703</v>
      </c>
      <c r="F18" s="99" t="s">
        <v>703</v>
      </c>
      <c r="G18" s="99" t="s">
        <v>703</v>
      </c>
      <c r="H18" s="99" t="s">
        <v>703</v>
      </c>
      <c r="I18" s="99">
        <v>0</v>
      </c>
      <c r="J18" s="545">
        <f>'Iron &amp; Steel'!O104</f>
        <v>4030.364928374072</v>
      </c>
    </row>
    <row r="19" spans="2:18" hidden="1" x14ac:dyDescent="0.25">
      <c r="B19" s="99" t="s">
        <v>910</v>
      </c>
      <c r="C19" s="99" t="s">
        <v>180</v>
      </c>
      <c r="D19" s="99" t="s">
        <v>703</v>
      </c>
      <c r="E19" s="99" t="s">
        <v>703</v>
      </c>
      <c r="F19" s="99" t="s">
        <v>703</v>
      </c>
      <c r="G19" s="99" t="s">
        <v>703</v>
      </c>
      <c r="H19" s="99" t="s">
        <v>703</v>
      </c>
      <c r="I19" s="99">
        <v>0</v>
      </c>
      <c r="J19" s="545">
        <f>'Iron &amp; Steel'!O105</f>
        <v>4352.4798641700509</v>
      </c>
    </row>
    <row r="20" spans="2:18" hidden="1" x14ac:dyDescent="0.25">
      <c r="B20" s="99" t="s">
        <v>910</v>
      </c>
      <c r="C20" s="99" t="s">
        <v>1220</v>
      </c>
      <c r="D20" s="99" t="s">
        <v>703</v>
      </c>
      <c r="E20" s="99" t="s">
        <v>703</v>
      </c>
      <c r="F20" s="99" t="s">
        <v>703</v>
      </c>
      <c r="G20" s="99" t="s">
        <v>703</v>
      </c>
      <c r="H20" s="99" t="s">
        <v>703</v>
      </c>
      <c r="I20" s="99">
        <v>0</v>
      </c>
      <c r="J20" s="545">
        <f>'Iron &amp; Steel'!O106</f>
        <v>4352.4798641700509</v>
      </c>
    </row>
    <row r="21" spans="2:18" hidden="1" x14ac:dyDescent="0.25">
      <c r="B21" s="99" t="s">
        <v>910</v>
      </c>
      <c r="C21" s="99" t="s">
        <v>1218</v>
      </c>
      <c r="D21" s="99" t="s">
        <v>703</v>
      </c>
      <c r="E21" s="99" t="s">
        <v>703</v>
      </c>
      <c r="F21" s="99" t="s">
        <v>703</v>
      </c>
      <c r="G21" s="99" t="s">
        <v>703</v>
      </c>
      <c r="H21" s="99" t="s">
        <v>703</v>
      </c>
      <c r="I21" s="99">
        <v>0</v>
      </c>
      <c r="J21" s="545">
        <f>'Iron &amp; Steel'!O107</f>
        <v>4352.4798641700509</v>
      </c>
    </row>
    <row r="22" spans="2:18" hidden="1" x14ac:dyDescent="0.25">
      <c r="B22" s="99" t="s">
        <v>910</v>
      </c>
      <c r="C22" s="99" t="s">
        <v>541</v>
      </c>
      <c r="D22" s="99" t="s">
        <v>703</v>
      </c>
      <c r="E22" s="99" t="s">
        <v>703</v>
      </c>
      <c r="F22" s="99" t="s">
        <v>703</v>
      </c>
      <c r="G22" s="99" t="s">
        <v>703</v>
      </c>
      <c r="H22" s="99" t="s">
        <v>703</v>
      </c>
      <c r="I22" s="99">
        <v>0</v>
      </c>
      <c r="J22" s="545">
        <f>'Iron &amp; Steel'!O108</f>
        <v>4352.4798641700509</v>
      </c>
    </row>
    <row r="23" spans="2:18" hidden="1" x14ac:dyDescent="0.25">
      <c r="B23" s="99" t="s">
        <v>910</v>
      </c>
      <c r="C23" s="99" t="s">
        <v>1203</v>
      </c>
      <c r="D23" s="99" t="s">
        <v>703</v>
      </c>
      <c r="E23" s="99" t="s">
        <v>703</v>
      </c>
      <c r="F23" s="99" t="s">
        <v>703</v>
      </c>
      <c r="G23" s="99" t="s">
        <v>703</v>
      </c>
      <c r="H23" s="99" t="s">
        <v>703</v>
      </c>
      <c r="I23" s="99">
        <v>0</v>
      </c>
      <c r="J23" s="545">
        <f>'Iron &amp; Steel'!O109</f>
        <v>0</v>
      </c>
    </row>
    <row r="24" spans="2:18" hidden="1" x14ac:dyDescent="0.25">
      <c r="B24" s="545" t="s">
        <v>1395</v>
      </c>
      <c r="C24" s="545" t="s">
        <v>703</v>
      </c>
      <c r="D24" s="545" t="s">
        <v>41</v>
      </c>
      <c r="E24" s="545" t="s">
        <v>703</v>
      </c>
      <c r="F24" s="545" t="s">
        <v>703</v>
      </c>
      <c r="G24" s="545" t="s">
        <v>703</v>
      </c>
      <c r="H24" s="545" t="s">
        <v>703</v>
      </c>
      <c r="I24" s="545">
        <v>0</v>
      </c>
      <c r="J24" s="545">
        <f>'Iron &amp; Steel'!K18</f>
        <v>6.94</v>
      </c>
      <c r="K24" s="546">
        <f>'Iron &amp; Steel'!AG18</f>
        <v>7.1000000000000005</v>
      </c>
      <c r="L24" s="546">
        <f>'Iron &amp; Steel'!AH18</f>
        <v>6.5</v>
      </c>
      <c r="M24" s="546">
        <f>'Iron &amp; Steel'!AI18</f>
        <v>6.4000000000000012</v>
      </c>
      <c r="N24" s="546">
        <f>'Iron &amp; Steel'!AJ18</f>
        <v>6.0910000000000002</v>
      </c>
      <c r="O24" s="546">
        <f>'Iron &amp; Steel'!AK18</f>
        <v>6.23</v>
      </c>
      <c r="P24" s="546">
        <f>'Iron &amp; Steel'!AL18</f>
        <v>6.3</v>
      </c>
      <c r="Q24" s="546">
        <f>'Iron &amp; Steel'!AM18</f>
        <v>6.1267974837582679</v>
      </c>
      <c r="R24" s="546">
        <f>'Iron &amp; Steel'!AN18</f>
        <v>5.0030232389251985</v>
      </c>
    </row>
    <row r="25" spans="2:18" hidden="1" x14ac:dyDescent="0.25">
      <c r="B25" s="99" t="s">
        <v>919</v>
      </c>
      <c r="C25" s="99" t="s">
        <v>1215</v>
      </c>
      <c r="D25" s="99" t="s">
        <v>703</v>
      </c>
      <c r="E25" s="99" t="s">
        <v>1032</v>
      </c>
      <c r="F25" s="99" t="s">
        <v>703</v>
      </c>
      <c r="G25" s="99" t="s">
        <v>1043</v>
      </c>
      <c r="H25" s="99" t="s">
        <v>703</v>
      </c>
      <c r="I25" s="99">
        <v>0</v>
      </c>
      <c r="J25" s="99">
        <v>1</v>
      </c>
    </row>
    <row r="26" spans="2:18" hidden="1" x14ac:dyDescent="0.25">
      <c r="B26" s="99" t="s">
        <v>919</v>
      </c>
      <c r="C26" s="99" t="s">
        <v>1213</v>
      </c>
      <c r="D26" s="99" t="s">
        <v>703</v>
      </c>
      <c r="E26" s="99" t="s">
        <v>1032</v>
      </c>
      <c r="F26" s="99" t="s">
        <v>703</v>
      </c>
      <c r="G26" s="99" t="s">
        <v>1043</v>
      </c>
      <c r="H26" s="99" t="s">
        <v>703</v>
      </c>
      <c r="I26" s="99">
        <v>0</v>
      </c>
      <c r="J26" s="99">
        <v>1</v>
      </c>
    </row>
    <row r="27" spans="2:18" hidden="1" x14ac:dyDescent="0.25">
      <c r="B27" s="99" t="s">
        <v>919</v>
      </c>
      <c r="C27" s="99" t="s">
        <v>1211</v>
      </c>
      <c r="D27" s="99" t="s">
        <v>703</v>
      </c>
      <c r="E27" s="99" t="s">
        <v>1032</v>
      </c>
      <c r="F27" s="99" t="s">
        <v>703</v>
      </c>
      <c r="G27" s="99" t="s">
        <v>1043</v>
      </c>
      <c r="H27" s="99" t="s">
        <v>703</v>
      </c>
      <c r="I27" s="99">
        <v>0</v>
      </c>
      <c r="J27" s="99">
        <v>1</v>
      </c>
    </row>
    <row r="28" spans="2:18" hidden="1" x14ac:dyDescent="0.25">
      <c r="B28" s="99" t="s">
        <v>919</v>
      </c>
      <c r="C28" s="99" t="s">
        <v>1209</v>
      </c>
      <c r="D28" s="99" t="s">
        <v>703</v>
      </c>
      <c r="E28" s="99" t="s">
        <v>1032</v>
      </c>
      <c r="F28" s="99" t="s">
        <v>703</v>
      </c>
      <c r="G28" s="99" t="s">
        <v>1043</v>
      </c>
      <c r="H28" s="99" t="s">
        <v>703</v>
      </c>
      <c r="I28" s="99">
        <v>0</v>
      </c>
      <c r="J28" s="99">
        <v>1</v>
      </c>
    </row>
    <row r="29" spans="2:18" hidden="1" x14ac:dyDescent="0.25">
      <c r="B29" s="99" t="s">
        <v>919</v>
      </c>
      <c r="C29" s="99" t="s">
        <v>1207</v>
      </c>
      <c r="D29" s="99" t="s">
        <v>703</v>
      </c>
      <c r="E29" s="99" t="s">
        <v>1032</v>
      </c>
      <c r="F29" s="99" t="s">
        <v>703</v>
      </c>
      <c r="G29" s="99" t="s">
        <v>1043</v>
      </c>
      <c r="H29" s="99" t="s">
        <v>703</v>
      </c>
      <c r="I29" s="99">
        <v>0</v>
      </c>
      <c r="J29" s="99">
        <v>1</v>
      </c>
    </row>
    <row r="30" spans="2:18" hidden="1" x14ac:dyDescent="0.25">
      <c r="B30" s="99" t="s">
        <v>919</v>
      </c>
      <c r="C30" s="99" t="s">
        <v>1205</v>
      </c>
      <c r="D30" s="99" t="s">
        <v>703</v>
      </c>
      <c r="E30" s="99" t="s">
        <v>1032</v>
      </c>
      <c r="F30" s="99" t="s">
        <v>703</v>
      </c>
      <c r="G30" s="99" t="s">
        <v>1043</v>
      </c>
      <c r="H30" s="99" t="s">
        <v>703</v>
      </c>
      <c r="I30" s="99">
        <v>0</v>
      </c>
      <c r="J30" s="99">
        <v>1</v>
      </c>
    </row>
    <row r="31" spans="2:18" hidden="1" x14ac:dyDescent="0.25">
      <c r="B31" s="99" t="s">
        <v>919</v>
      </c>
      <c r="C31" s="99" t="s">
        <v>1201</v>
      </c>
      <c r="D31" s="99" t="s">
        <v>703</v>
      </c>
      <c r="E31" s="99" t="s">
        <v>1032</v>
      </c>
      <c r="F31" s="99" t="s">
        <v>703</v>
      </c>
      <c r="G31" s="99" t="s">
        <v>1043</v>
      </c>
      <c r="H31" s="99" t="s">
        <v>703</v>
      </c>
      <c r="I31" s="99">
        <v>0</v>
      </c>
      <c r="J31" s="99">
        <v>1</v>
      </c>
    </row>
    <row r="32" spans="2:18" x14ac:dyDescent="0.25">
      <c r="B32" s="99" t="s">
        <v>1394</v>
      </c>
      <c r="C32" s="99" t="s">
        <v>1235</v>
      </c>
      <c r="D32" s="99" t="s">
        <v>1393</v>
      </c>
      <c r="E32" s="99" t="s">
        <v>1032</v>
      </c>
      <c r="F32" s="99" t="s">
        <v>703</v>
      </c>
      <c r="G32" s="99" t="s">
        <v>1043</v>
      </c>
      <c r="H32" s="99" t="s">
        <v>703</v>
      </c>
      <c r="I32" s="99">
        <v>0</v>
      </c>
      <c r="J32" s="99">
        <v>17.329999999999998</v>
      </c>
    </row>
    <row r="33" spans="2:28" hidden="1" x14ac:dyDescent="0.25">
      <c r="B33" s="99" t="s">
        <v>1394</v>
      </c>
      <c r="C33" s="99" t="s">
        <v>169</v>
      </c>
      <c r="D33" s="99" t="s">
        <v>1393</v>
      </c>
      <c r="E33" s="99" t="s">
        <v>1032</v>
      </c>
      <c r="F33" s="99" t="s">
        <v>703</v>
      </c>
      <c r="G33" s="99" t="s">
        <v>1043</v>
      </c>
      <c r="H33" s="99" t="s">
        <v>703</v>
      </c>
      <c r="I33" s="99">
        <v>0</v>
      </c>
      <c r="J33" s="551">
        <v>2810</v>
      </c>
    </row>
    <row r="34" spans="2:28" hidden="1" x14ac:dyDescent="0.25">
      <c r="B34" s="99" t="s">
        <v>1394</v>
      </c>
      <c r="C34" s="485" t="s">
        <v>538</v>
      </c>
      <c r="D34" s="99" t="s">
        <v>1393</v>
      </c>
      <c r="E34" s="99" t="s">
        <v>1032</v>
      </c>
      <c r="F34" s="99" t="s">
        <v>703</v>
      </c>
      <c r="G34" s="99" t="s">
        <v>1043</v>
      </c>
      <c r="H34" s="99" t="s">
        <v>703</v>
      </c>
      <c r="I34" s="99">
        <v>0</v>
      </c>
      <c r="J34" s="551">
        <v>2810</v>
      </c>
    </row>
    <row r="35" spans="2:28" hidden="1" x14ac:dyDescent="0.25">
      <c r="B35" s="99" t="s">
        <v>1394</v>
      </c>
      <c r="C35" s="485" t="s">
        <v>171</v>
      </c>
      <c r="D35" s="99" t="s">
        <v>1393</v>
      </c>
      <c r="E35" s="99" t="s">
        <v>1032</v>
      </c>
      <c r="F35" s="99" t="s">
        <v>703</v>
      </c>
      <c r="G35" s="99" t="s">
        <v>1043</v>
      </c>
      <c r="H35" s="99" t="s">
        <v>703</v>
      </c>
      <c r="I35" s="99">
        <v>0</v>
      </c>
      <c r="J35" s="551">
        <v>2126.7142857142858</v>
      </c>
    </row>
    <row r="36" spans="2:28" hidden="1" x14ac:dyDescent="0.25">
      <c r="B36" s="99" t="s">
        <v>1394</v>
      </c>
      <c r="C36" s="485" t="s">
        <v>174</v>
      </c>
      <c r="D36" s="99" t="s">
        <v>1393</v>
      </c>
      <c r="E36" s="99" t="s">
        <v>1032</v>
      </c>
      <c r="F36" s="99" t="s">
        <v>703</v>
      </c>
      <c r="G36" s="99" t="s">
        <v>1043</v>
      </c>
      <c r="H36" s="99" t="s">
        <v>703</v>
      </c>
      <c r="I36" s="99">
        <v>0</v>
      </c>
      <c r="J36" s="551">
        <v>1605</v>
      </c>
    </row>
    <row r="37" spans="2:28" hidden="1" x14ac:dyDescent="0.25">
      <c r="B37" s="99" t="s">
        <v>1394</v>
      </c>
      <c r="C37" s="99" t="s">
        <v>539</v>
      </c>
      <c r="D37" s="99" t="s">
        <v>1393</v>
      </c>
      <c r="E37" s="99" t="s">
        <v>1032</v>
      </c>
      <c r="F37" s="99" t="s">
        <v>703</v>
      </c>
      <c r="G37" s="99" t="s">
        <v>1043</v>
      </c>
      <c r="H37" s="99" t="s">
        <v>703</v>
      </c>
      <c r="I37" s="99">
        <v>0</v>
      </c>
      <c r="J37" s="551">
        <v>1605</v>
      </c>
    </row>
    <row r="38" spans="2:28" hidden="1" x14ac:dyDescent="0.25">
      <c r="B38" s="99" t="s">
        <v>1394</v>
      </c>
      <c r="C38" s="99" t="s">
        <v>540</v>
      </c>
      <c r="D38" s="99" t="s">
        <v>1393</v>
      </c>
      <c r="E38" s="99" t="s">
        <v>1032</v>
      </c>
      <c r="F38" s="99" t="s">
        <v>703</v>
      </c>
      <c r="G38" s="99" t="s">
        <v>1043</v>
      </c>
      <c r="H38" s="99" t="s">
        <v>703</v>
      </c>
      <c r="I38" s="99">
        <v>0</v>
      </c>
      <c r="J38" s="551">
        <v>1605</v>
      </c>
    </row>
    <row r="39" spans="2:28" hidden="1" x14ac:dyDescent="0.25">
      <c r="B39" s="99" t="s">
        <v>1394</v>
      </c>
      <c r="C39" s="485" t="s">
        <v>178</v>
      </c>
      <c r="D39" s="99" t="s">
        <v>1393</v>
      </c>
      <c r="E39" s="99" t="s">
        <v>1032</v>
      </c>
      <c r="F39" s="99" t="s">
        <v>703</v>
      </c>
      <c r="G39" s="99" t="s">
        <v>1043</v>
      </c>
      <c r="H39" s="99" t="s">
        <v>703</v>
      </c>
      <c r="I39" s="99">
        <v>0</v>
      </c>
      <c r="J39" s="551">
        <v>1540</v>
      </c>
    </row>
    <row r="40" spans="2:28" hidden="1" x14ac:dyDescent="0.25">
      <c r="B40" s="99" t="s">
        <v>1394</v>
      </c>
      <c r="C40" s="485" t="s">
        <v>180</v>
      </c>
      <c r="D40" s="99" t="s">
        <v>1393</v>
      </c>
      <c r="E40" s="99" t="s">
        <v>1032</v>
      </c>
      <c r="F40" s="99" t="s">
        <v>703</v>
      </c>
      <c r="G40" s="99" t="s">
        <v>1043</v>
      </c>
      <c r="H40" s="99" t="s">
        <v>703</v>
      </c>
      <c r="I40" s="99">
        <v>0</v>
      </c>
      <c r="J40" s="551">
        <v>80</v>
      </c>
    </row>
    <row r="41" spans="2:28" hidden="1" x14ac:dyDescent="0.25">
      <c r="B41" s="99" t="s">
        <v>1394</v>
      </c>
      <c r="C41" s="485" t="s">
        <v>541</v>
      </c>
      <c r="D41" s="99" t="s">
        <v>1393</v>
      </c>
      <c r="E41" s="99" t="s">
        <v>1032</v>
      </c>
      <c r="F41" s="99" t="s">
        <v>703</v>
      </c>
      <c r="G41" s="99" t="s">
        <v>1043</v>
      </c>
      <c r="H41" s="99" t="s">
        <v>703</v>
      </c>
      <c r="I41" s="99">
        <v>0</v>
      </c>
      <c r="J41" s="551">
        <v>80</v>
      </c>
      <c r="L41" s="550"/>
    </row>
    <row r="42" spans="2:28" hidden="1" x14ac:dyDescent="0.25">
      <c r="B42" s="545" t="s">
        <v>899</v>
      </c>
      <c r="C42" s="545" t="s">
        <v>169</v>
      </c>
      <c r="D42" s="545" t="s">
        <v>703</v>
      </c>
      <c r="E42" s="545" t="s">
        <v>1329</v>
      </c>
      <c r="F42" s="545" t="s">
        <v>1331</v>
      </c>
      <c r="G42" s="545" t="s">
        <v>1043</v>
      </c>
      <c r="H42" s="545" t="s">
        <v>703</v>
      </c>
      <c r="I42" s="545">
        <v>0</v>
      </c>
      <c r="J42" s="545">
        <f>SUMIFS('Iron &amp; Steel'!$C$13:$C$17,'Iron &amp; Steel'!$L$13:$L$17,C42)</f>
        <v>21.400691692311092</v>
      </c>
      <c r="O42" s="547" t="e">
        <f>'Iron &amp; Steel'!Z11</f>
        <v>#REF!</v>
      </c>
      <c r="AB42" s="547" t="str">
        <f>'PAMS and scenarios'!M21</f>
        <v/>
      </c>
    </row>
    <row r="43" spans="2:28" hidden="1" x14ac:dyDescent="0.25">
      <c r="B43" s="99" t="s">
        <v>899</v>
      </c>
      <c r="C43" s="99" t="s">
        <v>538</v>
      </c>
      <c r="D43" s="99" t="s">
        <v>703</v>
      </c>
      <c r="E43" s="99" t="s">
        <v>1325</v>
      </c>
      <c r="F43" s="99" t="s">
        <v>1327</v>
      </c>
      <c r="G43" s="99" t="s">
        <v>1043</v>
      </c>
      <c r="H43" s="99" t="s">
        <v>703</v>
      </c>
      <c r="I43" s="99">
        <f>IF(pamsindex,3,0)</f>
        <v>0</v>
      </c>
      <c r="J43" s="99">
        <v>19.7</v>
      </c>
      <c r="O43" s="547" t="e">
        <f>O42</f>
        <v>#REF!</v>
      </c>
      <c r="AB43" s="547" t="str">
        <f>'PAMS and scenarios'!M16</f>
        <v/>
      </c>
    </row>
    <row r="44" spans="2:28" hidden="1" x14ac:dyDescent="0.25">
      <c r="B44" s="545" t="s">
        <v>899</v>
      </c>
      <c r="C44" s="545" t="s">
        <v>171</v>
      </c>
      <c r="D44" s="545" t="s">
        <v>703</v>
      </c>
      <c r="E44" s="545" t="s">
        <v>1321</v>
      </c>
      <c r="F44" s="545" t="s">
        <v>1323</v>
      </c>
      <c r="G44" s="545" t="s">
        <v>1043</v>
      </c>
      <c r="H44" s="545" t="s">
        <v>703</v>
      </c>
      <c r="I44" s="545">
        <v>0</v>
      </c>
      <c r="J44" s="545">
        <f>SUMIFS('Iron &amp; Steel'!$C$13:$C$17,'Iron &amp; Steel'!$L$13:$L$17,C44)</f>
        <v>21.51458852713521</v>
      </c>
      <c r="O44" s="547" t="e">
        <f>'Iron &amp; Steel'!Z13</f>
        <v>#REF!</v>
      </c>
      <c r="AB44" s="547" t="str">
        <f>'PAMS and scenarios'!M22</f>
        <v/>
      </c>
    </row>
    <row r="45" spans="2:28" x14ac:dyDescent="0.25">
      <c r="B45" s="99" t="s">
        <v>899</v>
      </c>
      <c r="C45" s="99" t="s">
        <v>1235</v>
      </c>
      <c r="D45" s="99" t="s">
        <v>703</v>
      </c>
      <c r="E45" s="99" t="s">
        <v>42</v>
      </c>
      <c r="F45" s="99" t="s">
        <v>1287</v>
      </c>
      <c r="G45" s="99" t="s">
        <v>1043</v>
      </c>
      <c r="H45" s="99" t="s">
        <v>703</v>
      </c>
      <c r="I45" s="99">
        <v>0</v>
      </c>
      <c r="J45" s="99">
        <v>1.6</v>
      </c>
    </row>
    <row r="46" spans="2:28" x14ac:dyDescent="0.25">
      <c r="B46" s="99" t="s">
        <v>899</v>
      </c>
      <c r="C46" s="99" t="s">
        <v>1235</v>
      </c>
      <c r="D46" s="99" t="s">
        <v>703</v>
      </c>
      <c r="E46" s="99" t="s">
        <v>1281</v>
      </c>
      <c r="F46" s="99" t="s">
        <v>42</v>
      </c>
      <c r="G46" s="99" t="s">
        <v>1043</v>
      </c>
      <c r="H46" s="99" t="s">
        <v>703</v>
      </c>
      <c r="I46" s="99">
        <v>0</v>
      </c>
      <c r="J46" s="99">
        <v>0.6</v>
      </c>
    </row>
    <row r="47" spans="2:28" hidden="1" x14ac:dyDescent="0.25">
      <c r="B47" s="545" t="s">
        <v>899</v>
      </c>
      <c r="C47" s="545" t="s">
        <v>174</v>
      </c>
      <c r="D47" s="545" t="s">
        <v>703</v>
      </c>
      <c r="E47" s="545" t="s">
        <v>1317</v>
      </c>
      <c r="F47" s="545" t="s">
        <v>1319</v>
      </c>
      <c r="G47" s="545" t="s">
        <v>1043</v>
      </c>
      <c r="H47" s="545" t="s">
        <v>703</v>
      </c>
      <c r="I47" s="545">
        <v>0</v>
      </c>
      <c r="J47" s="545">
        <f>SUMIFS('Iron &amp; Steel'!$C$13:$C$17,'Iron &amp; Steel'!$L$13:$L$17,C47)</f>
        <v>31.247950199170173</v>
      </c>
      <c r="O47" s="547" t="e">
        <f>'Iron &amp; Steel'!Z14</f>
        <v>#REF!</v>
      </c>
      <c r="AB47" s="547" t="str">
        <f>'PAMS and scenarios'!M23</f>
        <v/>
      </c>
    </row>
    <row r="48" spans="2:28" hidden="1" x14ac:dyDescent="0.25">
      <c r="B48" s="99" t="s">
        <v>899</v>
      </c>
      <c r="C48" s="99" t="s">
        <v>539</v>
      </c>
      <c r="D48" s="99" t="s">
        <v>703</v>
      </c>
      <c r="E48" s="99" t="s">
        <v>1309</v>
      </c>
      <c r="F48" s="99" t="s">
        <v>1311</v>
      </c>
      <c r="G48" s="99" t="s">
        <v>1043</v>
      </c>
      <c r="H48" s="99" t="s">
        <v>703</v>
      </c>
      <c r="I48" s="99">
        <f>IF(pamsindex,3,0)</f>
        <v>0</v>
      </c>
      <c r="J48" s="99">
        <v>20.3</v>
      </c>
      <c r="M48" s="99" t="str">
        <f>IF(pamsindex,J48,"")</f>
        <v/>
      </c>
      <c r="O48" s="547" t="e">
        <f>O47</f>
        <v>#REF!</v>
      </c>
      <c r="AB48" s="547" t="str">
        <f>'PAMS and scenarios'!M17</f>
        <v/>
      </c>
    </row>
    <row r="49" spans="2:48" hidden="1" x14ac:dyDescent="0.25">
      <c r="B49" s="99" t="s">
        <v>899</v>
      </c>
      <c r="C49" s="99" t="s">
        <v>540</v>
      </c>
      <c r="D49" s="99" t="s">
        <v>703</v>
      </c>
      <c r="E49" s="99" t="s">
        <v>1313</v>
      </c>
      <c r="F49" s="99" t="s">
        <v>1315</v>
      </c>
      <c r="G49" s="99" t="s">
        <v>1043</v>
      </c>
      <c r="H49" s="99" t="s">
        <v>703</v>
      </c>
      <c r="I49" s="99">
        <f>IF(pamsindex,3,0)</f>
        <v>0</v>
      </c>
      <c r="J49" s="99">
        <v>14.6</v>
      </c>
      <c r="M49" s="99" t="str">
        <f>IF(pamsindex,J49,"")</f>
        <v/>
      </c>
      <c r="O49" s="547" t="e">
        <f>O48*80%</f>
        <v>#REF!</v>
      </c>
      <c r="AB49" s="547" t="str">
        <f>'PAMS and scenarios'!M18</f>
        <v/>
      </c>
    </row>
    <row r="50" spans="2:48" hidden="1" x14ac:dyDescent="0.25">
      <c r="B50" s="545" t="s">
        <v>899</v>
      </c>
      <c r="C50" s="545" t="s">
        <v>178</v>
      </c>
      <c r="D50" s="545" t="s">
        <v>703</v>
      </c>
      <c r="E50" s="545" t="s">
        <v>1305</v>
      </c>
      <c r="F50" s="545" t="s">
        <v>1307</v>
      </c>
      <c r="G50" s="545" t="s">
        <v>1043</v>
      </c>
      <c r="H50" s="545" t="s">
        <v>703</v>
      </c>
      <c r="I50" s="545">
        <v>0</v>
      </c>
      <c r="J50" s="545">
        <f>SUMIFS('Iron &amp; Steel'!$C$13:$C$17,'Iron &amp; Steel'!$L$13:$L$17,C50)</f>
        <v>37.074375174722789</v>
      </c>
      <c r="O50" s="547" t="e">
        <f>'Iron &amp; Steel'!Z17</f>
        <v>#REF!</v>
      </c>
      <c r="AB50" s="547" t="str">
        <f>'PAMS and scenarios'!M24</f>
        <v/>
      </c>
    </row>
    <row r="51" spans="2:48" hidden="1" x14ac:dyDescent="0.25">
      <c r="B51" s="545" t="s">
        <v>899</v>
      </c>
      <c r="C51" s="545" t="s">
        <v>180</v>
      </c>
      <c r="D51" s="545" t="s">
        <v>703</v>
      </c>
      <c r="E51" s="545" t="s">
        <v>1297</v>
      </c>
      <c r="F51" s="545" t="s">
        <v>1299</v>
      </c>
      <c r="G51" s="545" t="s">
        <v>1043</v>
      </c>
      <c r="H51" s="545" t="s">
        <v>703</v>
      </c>
      <c r="I51" s="545">
        <v>0</v>
      </c>
      <c r="J51" s="545">
        <f>SUMIFS('Iron &amp; Steel'!$C$13:$C$17,'Iron &amp; Steel'!$L$13:$L$17,C51)</f>
        <v>10</v>
      </c>
      <c r="O51" s="547" t="e">
        <f>'Iron &amp; Steel'!Z18</f>
        <v>#REF!</v>
      </c>
      <c r="AB51" s="547" t="str">
        <f>'PAMS and scenarios'!M25</f>
        <v/>
      </c>
    </row>
    <row r="52" spans="2:48" hidden="1" x14ac:dyDescent="0.25">
      <c r="B52" s="99" t="s">
        <v>899</v>
      </c>
      <c r="C52" s="99" t="s">
        <v>541</v>
      </c>
      <c r="D52" s="99" t="s">
        <v>703</v>
      </c>
      <c r="E52" s="99" t="s">
        <v>1293</v>
      </c>
      <c r="F52" s="99" t="s">
        <v>1295</v>
      </c>
      <c r="G52" s="99" t="s">
        <v>1043</v>
      </c>
      <c r="H52" s="99" t="s">
        <v>703</v>
      </c>
      <c r="I52" s="99">
        <f>IF(pamsindex,3,0)</f>
        <v>0</v>
      </c>
      <c r="J52" s="99">
        <v>6.6</v>
      </c>
      <c r="M52" s="99" t="str">
        <f>IF(pamsindex,J52,"")</f>
        <v/>
      </c>
      <c r="O52" s="547" t="e">
        <f>'Iron &amp; Steel'!Z19</f>
        <v>#REF!</v>
      </c>
      <c r="AB52" s="547" t="str">
        <f>'PAMS and scenarios'!M19</f>
        <v/>
      </c>
    </row>
    <row r="53" spans="2:48" hidden="1" x14ac:dyDescent="0.25">
      <c r="B53" s="545" t="s">
        <v>901</v>
      </c>
      <c r="C53" s="545" t="s">
        <v>169</v>
      </c>
      <c r="D53" s="545" t="s">
        <v>42</v>
      </c>
      <c r="E53" s="545" t="s">
        <v>1331</v>
      </c>
      <c r="F53" s="545" t="s">
        <v>703</v>
      </c>
      <c r="G53" s="545" t="s">
        <v>1043</v>
      </c>
      <c r="H53" s="545" t="s">
        <v>589</v>
      </c>
      <c r="I53" s="545">
        <v>3</v>
      </c>
      <c r="J53" s="546">
        <f>SUMIFS('Iron &amp; Steel'!$O$25:$O$83,'Iron &amp; Steel'!$B$25:$B$83,C53,'Iron &amp; Steel'!$D$25:$D$83,D53,'Iron &amp; Steel'!$H$25:$H$83,H53)</f>
        <v>0.42194897855775038</v>
      </c>
      <c r="O53" s="546" t="e">
        <f>SUMIFS('Iron &amp; Steel'!$R$25:$R$83,'Iron &amp; Steel'!$B$25:$B$83,C53,'Iron &amp; Steel'!$D$25:$D$83,D53,'Iron &amp; Steel'!$H$25:$H$83,H53)</f>
        <v>#REF!</v>
      </c>
      <c r="AN53" s="547"/>
    </row>
    <row r="54" spans="2:48" hidden="1" x14ac:dyDescent="0.25">
      <c r="B54" s="545" t="s">
        <v>901</v>
      </c>
      <c r="C54" s="99" t="s">
        <v>169</v>
      </c>
      <c r="D54" s="99" t="s">
        <v>42</v>
      </c>
      <c r="E54" s="99" t="s">
        <v>1331</v>
      </c>
      <c r="F54" s="99" t="s">
        <v>703</v>
      </c>
      <c r="G54" s="99" t="s">
        <v>1043</v>
      </c>
      <c r="H54" s="99" t="s">
        <v>590</v>
      </c>
      <c r="I54" s="99">
        <v>3</v>
      </c>
      <c r="J54" s="546">
        <f>SUMIFS('Iron &amp; Steel'!$O$25:$O$83,'Iron &amp; Steel'!$B$25:$B$83,C54,'Iron &amp; Steel'!$D$25:$D$83,D54,'Iron &amp; Steel'!$H$25:$H$83,H54)</f>
        <v>0.42194897855775038</v>
      </c>
      <c r="O54" s="546" t="e">
        <f>SUMIFS('Iron &amp; Steel'!$R$25:$R$83,'Iron &amp; Steel'!$B$25:$B$83,C54,'Iron &amp; Steel'!$D$25:$D$83,D54,'Iron &amp; Steel'!$H$25:$H$83,H54)</f>
        <v>#REF!</v>
      </c>
    </row>
    <row r="55" spans="2:48" hidden="1" x14ac:dyDescent="0.25">
      <c r="B55" s="545" t="s">
        <v>901</v>
      </c>
      <c r="C55" s="99" t="s">
        <v>169</v>
      </c>
      <c r="D55" s="99" t="s">
        <v>39</v>
      </c>
      <c r="E55" s="99" t="s">
        <v>1331</v>
      </c>
      <c r="F55" s="99" t="s">
        <v>703</v>
      </c>
      <c r="G55" s="99" t="s">
        <v>1043</v>
      </c>
      <c r="H55" s="99" t="s">
        <v>589</v>
      </c>
      <c r="I55" s="99">
        <v>3</v>
      </c>
      <c r="J55" s="546">
        <f>SUMIFS('Iron &amp; Steel'!$O$25:$O$83,'Iron &amp; Steel'!$B$25:$B$83,C55,'Iron &amp; Steel'!$D$25:$D$83,D55,'Iron &amp; Steel'!$H$25:$H$83,H55)</f>
        <v>0.20494664672805019</v>
      </c>
      <c r="O55" s="546" t="e">
        <f>SUMIFS('Iron &amp; Steel'!$R$25:$R$83,'Iron &amp; Steel'!$B$25:$B$83,C55,'Iron &amp; Steel'!$D$25:$D$83,D55,'Iron &amp; Steel'!$H$25:$H$83,H55)</f>
        <v>#REF!</v>
      </c>
    </row>
    <row r="56" spans="2:48" hidden="1" x14ac:dyDescent="0.25">
      <c r="B56" s="545" t="s">
        <v>901</v>
      </c>
      <c r="C56" s="99" t="s">
        <v>169</v>
      </c>
      <c r="D56" s="99" t="s">
        <v>39</v>
      </c>
      <c r="E56" s="99" t="s">
        <v>1331</v>
      </c>
      <c r="F56" s="99" t="s">
        <v>703</v>
      </c>
      <c r="G56" s="99" t="s">
        <v>1043</v>
      </c>
      <c r="H56" s="99" t="s">
        <v>590</v>
      </c>
      <c r="I56" s="99">
        <v>3</v>
      </c>
      <c r="J56" s="546">
        <f>SUMIFS('Iron &amp; Steel'!$O$25:$O$83,'Iron &amp; Steel'!$B$25:$B$83,C56,'Iron &amp; Steel'!$D$25:$D$83,D56,'Iron &amp; Steel'!$H$25:$H$83,H56)</f>
        <v>0.20494664672805019</v>
      </c>
      <c r="O56" s="546" t="e">
        <f>SUMIFS('Iron &amp; Steel'!$R$25:$R$83,'Iron &amp; Steel'!$B$25:$B$83,C56,'Iron &amp; Steel'!$D$25:$D$83,D56,'Iron &amp; Steel'!$H$25:$H$83,H56)</f>
        <v>#REF!</v>
      </c>
      <c r="AN56" s="547"/>
    </row>
    <row r="57" spans="2:48" hidden="1" x14ac:dyDescent="0.25">
      <c r="B57" s="545" t="s">
        <v>901</v>
      </c>
      <c r="C57" s="99" t="s">
        <v>169</v>
      </c>
      <c r="D57" s="99" t="s">
        <v>38</v>
      </c>
      <c r="E57" s="99" t="s">
        <v>1331</v>
      </c>
      <c r="F57" s="99" t="s">
        <v>703</v>
      </c>
      <c r="G57" s="99" t="s">
        <v>1043</v>
      </c>
      <c r="H57" s="99" t="s">
        <v>1044</v>
      </c>
      <c r="I57" s="99">
        <v>3</v>
      </c>
      <c r="J57" s="546">
        <f>SUMIFS('Iron &amp; Steel'!$O$25:$O$83,'Iron &amp; Steel'!$B$25:$B$83,C57,'Iron &amp; Steel'!$D$25:$D$83,D57,'Iron &amp; Steel'!$H$25:$H$83,"LO")</f>
        <v>0.13801851523202419</v>
      </c>
      <c r="O57" s="546" t="e">
        <f>SUMIFS('Iron &amp; Steel'!$R$25:$R$83,'Iron &amp; Steel'!$B$25:$B$83,C57,'Iron &amp; Steel'!$D$25:$D$83,D57,'Iron &amp; Steel'!$H$25:$H$83,"LO")</f>
        <v>#REF!</v>
      </c>
    </row>
    <row r="58" spans="2:48" hidden="1" x14ac:dyDescent="0.25">
      <c r="B58" s="545" t="s">
        <v>901</v>
      </c>
      <c r="C58" s="99" t="s">
        <v>169</v>
      </c>
      <c r="D58" s="99" t="s">
        <v>588</v>
      </c>
      <c r="E58" s="99" t="s">
        <v>1331</v>
      </c>
      <c r="F58" s="99" t="s">
        <v>703</v>
      </c>
      <c r="G58" s="99" t="s">
        <v>1043</v>
      </c>
      <c r="H58" s="99" t="s">
        <v>589</v>
      </c>
      <c r="I58" s="99">
        <v>3</v>
      </c>
      <c r="J58" s="546">
        <f>SUMIFS('Iron &amp; Steel'!$O$25:$O$83,'Iron &amp; Steel'!$B$25:$B$83,C58,'Iron &amp; Steel'!$D$25:$D$83,D58,'Iron &amp; Steel'!$H$25:$H$83,H58)</f>
        <v>0.23508585948217525</v>
      </c>
      <c r="O58" s="546" t="e">
        <f>SUMIFS('Iron &amp; Steel'!$R$25:$R$83,'Iron &amp; Steel'!$B$25:$B$83,C58,'Iron &amp; Steel'!$D$25:$D$83,D58,'Iron &amp; Steel'!$H$25:$H$83,H58)</f>
        <v>#REF!</v>
      </c>
    </row>
    <row r="59" spans="2:48" hidden="1" x14ac:dyDescent="0.25">
      <c r="B59" s="545" t="s">
        <v>901</v>
      </c>
      <c r="C59" s="99" t="s">
        <v>169</v>
      </c>
      <c r="D59" s="99" t="s">
        <v>588</v>
      </c>
      <c r="E59" s="99" t="s">
        <v>1331</v>
      </c>
      <c r="F59" s="99" t="s">
        <v>703</v>
      </c>
      <c r="G59" s="99" t="s">
        <v>1043</v>
      </c>
      <c r="H59" s="99" t="s">
        <v>590</v>
      </c>
      <c r="I59" s="99">
        <v>3</v>
      </c>
      <c r="J59" s="546">
        <f>SUMIFS('Iron &amp; Steel'!$O$25:$O$83,'Iron &amp; Steel'!$B$25:$B$83,C59,'Iron &amp; Steel'!$D$25:$D$83,D59,'Iron &amp; Steel'!$H$25:$H$83,H59)</f>
        <v>0.23508585948217525</v>
      </c>
      <c r="O59" s="546" t="e">
        <f>SUMIFS('Iron &amp; Steel'!$R$25:$R$83,'Iron &amp; Steel'!$B$25:$B$83,C59,'Iron &amp; Steel'!$D$25:$D$83,D59,'Iron &amp; Steel'!$H$25:$H$83,H59)</f>
        <v>#REF!</v>
      </c>
      <c r="AN59" s="547"/>
    </row>
    <row r="60" spans="2:48" hidden="1" x14ac:dyDescent="0.25">
      <c r="B60" s="545" t="s">
        <v>901</v>
      </c>
      <c r="C60" s="99" t="s">
        <v>169</v>
      </c>
      <c r="D60" s="99" t="s">
        <v>1276</v>
      </c>
      <c r="E60" s="99" t="s">
        <v>1331</v>
      </c>
      <c r="F60" s="99" t="s">
        <v>703</v>
      </c>
      <c r="G60" s="99" t="s">
        <v>1043</v>
      </c>
      <c r="H60" s="99" t="s">
        <v>589</v>
      </c>
      <c r="I60" s="99">
        <v>3</v>
      </c>
      <c r="J60" s="546">
        <f>SUMIFS('Iron &amp; Steel'!$O$25:$O$83,'Iron &amp; Steel'!$B$25:$B$83,C60,'Iron &amp; Steel'!$D$25:$D$83,D60,'Iron &amp; Steel'!$H$25:$H$83,H60)</f>
        <v>0</v>
      </c>
      <c r="O60" s="546">
        <f>SUMIFS('Iron &amp; Steel'!$R$25:$R$83,'Iron &amp; Steel'!$B$25:$B$83,C60,'Iron &amp; Steel'!$D$25:$D$83,D60,'Iron &amp; Steel'!$H$25:$H$83,H60)</f>
        <v>0</v>
      </c>
    </row>
    <row r="61" spans="2:48" hidden="1" x14ac:dyDescent="0.25">
      <c r="B61" s="545" t="s">
        <v>901</v>
      </c>
      <c r="C61" s="99" t="s">
        <v>169</v>
      </c>
      <c r="D61" s="99" t="s">
        <v>1276</v>
      </c>
      <c r="E61" s="99" t="s">
        <v>1331</v>
      </c>
      <c r="F61" s="99" t="s">
        <v>703</v>
      </c>
      <c r="G61" s="99" t="s">
        <v>1043</v>
      </c>
      <c r="H61" s="99" t="s">
        <v>590</v>
      </c>
      <c r="I61" s="99">
        <v>3</v>
      </c>
      <c r="J61" s="546">
        <f>SUMIFS('Iron &amp; Steel'!$O$25:$O$83,'Iron &amp; Steel'!$B$25:$B$83,C61,'Iron &amp; Steel'!$D$25:$D$83,D61,'Iron &amp; Steel'!$H$25:$H$83,H61)</f>
        <v>5.0000000000000001E-3</v>
      </c>
      <c r="O61" s="546">
        <f>SUMIFS('Iron &amp; Steel'!$R$25:$R$83,'Iron &amp; Steel'!$B$25:$B$83,C61,'Iron &amp; Steel'!$D$25:$D$83,D61,'Iron &amp; Steel'!$H$25:$H$83,H61)</f>
        <v>0</v>
      </c>
      <c r="AN61" s="547"/>
    </row>
    <row r="62" spans="2:48" hidden="1" x14ac:dyDescent="0.25">
      <c r="B62" s="545" t="s">
        <v>901</v>
      </c>
      <c r="C62" s="99" t="s">
        <v>538</v>
      </c>
      <c r="D62" s="99" t="s">
        <v>42</v>
      </c>
      <c r="E62" s="99" t="s">
        <v>1327</v>
      </c>
      <c r="F62" s="99" t="s">
        <v>703</v>
      </c>
      <c r="G62" s="99" t="s">
        <v>1043</v>
      </c>
      <c r="H62" s="99" t="s">
        <v>589</v>
      </c>
      <c r="I62" s="99">
        <v>3</v>
      </c>
      <c r="J62" s="546">
        <f>SUMIFS('Iron &amp; Steel'!$O$25:$O$83,'Iron &amp; Steel'!$B$25:$B$83,C62,'Iron &amp; Steel'!$D$25:$D$83,D62,'Iron &amp; Steel'!$H$25:$H$83,H62)</f>
        <v>0.25</v>
      </c>
      <c r="O62" s="546" t="e">
        <f>SUMIFS('Iron &amp; Steel'!$R$25:$R$83,'Iron &amp; Steel'!$B$25:$B$83,C62,'Iron &amp; Steel'!$D$25:$D$83,D62,'Iron &amp; Steel'!$H$25:$H$83,H62)</f>
        <v>#REF!</v>
      </c>
      <c r="AV62" s="547"/>
    </row>
    <row r="63" spans="2:48" hidden="1" x14ac:dyDescent="0.25">
      <c r="B63" s="545" t="s">
        <v>901</v>
      </c>
      <c r="C63" s="99" t="s">
        <v>538</v>
      </c>
      <c r="D63" s="99" t="s">
        <v>42</v>
      </c>
      <c r="E63" s="99" t="s">
        <v>1327</v>
      </c>
      <c r="F63" s="99" t="s">
        <v>703</v>
      </c>
      <c r="G63" s="99" t="s">
        <v>1043</v>
      </c>
      <c r="H63" s="99" t="s">
        <v>590</v>
      </c>
      <c r="I63" s="99">
        <v>3</v>
      </c>
      <c r="J63" s="546">
        <f>SUMIFS('Iron &amp; Steel'!$O$25:$O$83,'Iron &amp; Steel'!$B$25:$B$83,C63,'Iron &amp; Steel'!$D$25:$D$83,D63,'Iron &amp; Steel'!$H$25:$H$83,H63)</f>
        <v>0.35</v>
      </c>
      <c r="O63" s="546" t="e">
        <f>SUMIFS('Iron &amp; Steel'!$R$25:$R$83,'Iron &amp; Steel'!$B$25:$B$83,C63,'Iron &amp; Steel'!$D$25:$D$83,D63,'Iron &amp; Steel'!$H$25:$H$83,H63)</f>
        <v>#REF!</v>
      </c>
    </row>
    <row r="64" spans="2:48" hidden="1" x14ac:dyDescent="0.25">
      <c r="B64" s="545" t="s">
        <v>901</v>
      </c>
      <c r="C64" s="99" t="s">
        <v>538</v>
      </c>
      <c r="D64" s="99" t="s">
        <v>39</v>
      </c>
      <c r="E64" s="99" t="s">
        <v>1327</v>
      </c>
      <c r="F64" s="99" t="s">
        <v>703</v>
      </c>
      <c r="G64" s="99" t="s">
        <v>1043</v>
      </c>
      <c r="H64" s="99" t="s">
        <v>589</v>
      </c>
      <c r="I64" s="99">
        <v>3</v>
      </c>
      <c r="J64" s="546">
        <f>SUMIFS('Iron &amp; Steel'!$O$25:$O$83,'Iron &amp; Steel'!$B$25:$B$83,C64,'Iron &amp; Steel'!$D$25:$D$83,D64,'Iron &amp; Steel'!$H$25:$H$83,H64)</f>
        <v>0.15</v>
      </c>
      <c r="O64" s="546" t="e">
        <f>SUMIFS('Iron &amp; Steel'!$R$25:$R$83,'Iron &amp; Steel'!$B$25:$B$83,C64,'Iron &amp; Steel'!$D$25:$D$83,D64,'Iron &amp; Steel'!$H$25:$H$83,H64)</f>
        <v>#REF!</v>
      </c>
      <c r="AV64" s="547"/>
    </row>
    <row r="65" spans="2:48" hidden="1" x14ac:dyDescent="0.25">
      <c r="B65" s="545" t="s">
        <v>901</v>
      </c>
      <c r="C65" s="99" t="s">
        <v>538</v>
      </c>
      <c r="D65" s="99" t="s">
        <v>39</v>
      </c>
      <c r="E65" s="99" t="s">
        <v>1327</v>
      </c>
      <c r="F65" s="99" t="s">
        <v>703</v>
      </c>
      <c r="G65" s="99" t="s">
        <v>1043</v>
      </c>
      <c r="H65" s="99" t="s">
        <v>590</v>
      </c>
      <c r="I65" s="99">
        <v>3</v>
      </c>
      <c r="J65" s="546">
        <f>SUMIFS('Iron &amp; Steel'!$O$25:$O$83,'Iron &amp; Steel'!$B$25:$B$83,C65,'Iron &amp; Steel'!$D$25:$D$83,D65,'Iron &amp; Steel'!$H$25:$H$83,H65)</f>
        <v>0.17100000000000001</v>
      </c>
      <c r="O65" s="546" t="e">
        <f>SUMIFS('Iron &amp; Steel'!$R$25:$R$83,'Iron &amp; Steel'!$B$25:$B$83,C65,'Iron &amp; Steel'!$D$25:$D$83,D65,'Iron &amp; Steel'!$H$25:$H$83,H65)</f>
        <v>#REF!</v>
      </c>
    </row>
    <row r="66" spans="2:48" hidden="1" x14ac:dyDescent="0.25">
      <c r="B66" s="545" t="s">
        <v>901</v>
      </c>
      <c r="C66" s="99" t="s">
        <v>538</v>
      </c>
      <c r="D66" s="99" t="s">
        <v>38</v>
      </c>
      <c r="E66" s="99" t="s">
        <v>1327</v>
      </c>
      <c r="F66" s="99" t="s">
        <v>703</v>
      </c>
      <c r="G66" s="99" t="s">
        <v>1043</v>
      </c>
      <c r="H66" s="99" t="s">
        <v>1044</v>
      </c>
      <c r="I66" s="99">
        <v>3</v>
      </c>
      <c r="J66" s="546">
        <f>SUMIFS('Iron &amp; Steel'!$O$25:$O$83,'Iron &amp; Steel'!$B$25:$B$83,C66,'Iron &amp; Steel'!$D$25:$D$83,D66,'Iron &amp; Steel'!$H$25:$H$83,H66)</f>
        <v>0.23</v>
      </c>
      <c r="O66" s="546" t="e">
        <f>SUMIFS('Iron &amp; Steel'!$R$25:$R$83,'Iron &amp; Steel'!$B$25:$B$83,C66,'Iron &amp; Steel'!$D$25:$D$83,D66,'Iron &amp; Steel'!$H$25:$H$83,H66)</f>
        <v>#REF!</v>
      </c>
    </row>
    <row r="67" spans="2:48" hidden="1" x14ac:dyDescent="0.25">
      <c r="B67" s="545" t="s">
        <v>901</v>
      </c>
      <c r="C67" s="99" t="s">
        <v>538</v>
      </c>
      <c r="D67" s="99" t="s">
        <v>588</v>
      </c>
      <c r="E67" s="99" t="s">
        <v>1327</v>
      </c>
      <c r="F67" s="99" t="s">
        <v>703</v>
      </c>
      <c r="G67" s="99" t="s">
        <v>1043</v>
      </c>
      <c r="H67" s="99" t="s">
        <v>589</v>
      </c>
      <c r="I67" s="99">
        <v>3</v>
      </c>
      <c r="J67" s="546">
        <f>SUMIFS('Iron &amp; Steel'!$O$25:$O$83,'Iron &amp; Steel'!$B$25:$B$83,C67,'Iron &amp; Steel'!$D$25:$D$83,D67,'Iron &amp; Steel'!$H$25:$H$83,H67)</f>
        <v>7.4999999999999997E-2</v>
      </c>
      <c r="O67" s="546" t="e">
        <f>SUMIFS('Iron &amp; Steel'!$R$25:$R$83,'Iron &amp; Steel'!$B$25:$B$83,C67,'Iron &amp; Steel'!$D$25:$D$83,D67,'Iron &amp; Steel'!$H$25:$H$83,H67)</f>
        <v>#REF!</v>
      </c>
      <c r="AV67" s="547"/>
    </row>
    <row r="68" spans="2:48" hidden="1" x14ac:dyDescent="0.25">
      <c r="B68" s="545" t="s">
        <v>901</v>
      </c>
      <c r="C68" s="99" t="s">
        <v>538</v>
      </c>
      <c r="D68" s="99" t="s">
        <v>588</v>
      </c>
      <c r="E68" s="99" t="s">
        <v>1327</v>
      </c>
      <c r="F68" s="99" t="s">
        <v>703</v>
      </c>
      <c r="G68" s="99" t="s">
        <v>1043</v>
      </c>
      <c r="H68" s="99" t="s">
        <v>590</v>
      </c>
      <c r="I68" s="99">
        <v>3</v>
      </c>
      <c r="J68" s="546">
        <f>SUMIFS('Iron &amp; Steel'!$O$25:$O$83,'Iron &amp; Steel'!$B$25:$B$83,C68,'Iron &amp; Steel'!$D$25:$D$83,D68,'Iron &amp; Steel'!$H$25:$H$83,H68)</f>
        <v>0.245</v>
      </c>
      <c r="O68" s="546" t="e">
        <f>SUMIFS('Iron &amp; Steel'!$R$25:$R$83,'Iron &amp; Steel'!$B$25:$B$83,C68,'Iron &amp; Steel'!$D$25:$D$83,D68,'Iron &amp; Steel'!$H$25:$H$83,H68)</f>
        <v>#REF!</v>
      </c>
    </row>
    <row r="69" spans="2:48" hidden="1" x14ac:dyDescent="0.25">
      <c r="B69" s="545" t="s">
        <v>901</v>
      </c>
      <c r="C69" s="99" t="s">
        <v>538</v>
      </c>
      <c r="D69" s="99" t="s">
        <v>1276</v>
      </c>
      <c r="E69" s="99" t="s">
        <v>1327</v>
      </c>
      <c r="F69" s="99" t="s">
        <v>703</v>
      </c>
      <c r="G69" s="99" t="s">
        <v>1043</v>
      </c>
      <c r="H69" s="99" t="s">
        <v>589</v>
      </c>
      <c r="I69" s="99">
        <v>3</v>
      </c>
      <c r="J69" s="546">
        <f>SUMIFS('Iron &amp; Steel'!$O$25:$O$83,'Iron &amp; Steel'!$B$25:$B$83,C69,'Iron &amp; Steel'!$D$25:$D$83,D69,'Iron &amp; Steel'!$H$25:$H$83,H69)</f>
        <v>5.0000000000000001E-3</v>
      </c>
      <c r="O69" s="546">
        <f>SUMIFS('Iron &amp; Steel'!$R$25:$R$83,'Iron &amp; Steel'!$B$25:$B$83,C69,'Iron &amp; Steel'!$D$25:$D$83,D69,'Iron &amp; Steel'!$H$25:$H$83,H69)</f>
        <v>0</v>
      </c>
      <c r="AV69" s="547"/>
    </row>
    <row r="70" spans="2:48" hidden="1" x14ac:dyDescent="0.25">
      <c r="B70" s="545" t="s">
        <v>901</v>
      </c>
      <c r="C70" s="99" t="s">
        <v>538</v>
      </c>
      <c r="D70" s="99" t="s">
        <v>1276</v>
      </c>
      <c r="E70" s="99" t="s">
        <v>1327</v>
      </c>
      <c r="F70" s="99" t="s">
        <v>703</v>
      </c>
      <c r="G70" s="99" t="s">
        <v>1043</v>
      </c>
      <c r="H70" s="99" t="s">
        <v>590</v>
      </c>
      <c r="I70" s="99">
        <v>3</v>
      </c>
      <c r="J70" s="546">
        <f>SUMIFS('Iron &amp; Steel'!$O$25:$O$83,'Iron &amp; Steel'!$B$25:$B$83,C70,'Iron &amp; Steel'!$D$25:$D$83,D70,'Iron &amp; Steel'!$H$25:$H$83,H70)</f>
        <v>0.15</v>
      </c>
      <c r="O70" s="546">
        <f>SUMIFS('Iron &amp; Steel'!$R$25:$R$83,'Iron &amp; Steel'!$B$25:$B$83,C70,'Iron &amp; Steel'!$D$25:$D$83,D70,'Iron &amp; Steel'!$H$25:$H$83,H70)</f>
        <v>0</v>
      </c>
    </row>
    <row r="71" spans="2:48" hidden="1" x14ac:dyDescent="0.25">
      <c r="B71" s="545" t="s">
        <v>901</v>
      </c>
      <c r="C71" s="99" t="s">
        <v>171</v>
      </c>
      <c r="D71" s="99" t="s">
        <v>42</v>
      </c>
      <c r="E71" s="99" t="s">
        <v>1323</v>
      </c>
      <c r="F71" s="99" t="s">
        <v>703</v>
      </c>
      <c r="G71" s="99" t="s">
        <v>1043</v>
      </c>
      <c r="H71" s="99" t="s">
        <v>1044</v>
      </c>
      <c r="I71" s="99">
        <v>3</v>
      </c>
      <c r="J71" s="546">
        <f>SUMIFS('Iron &amp; Steel'!$O$25:$O$83,'Iron &amp; Steel'!$B$25:$B$83,C71,'Iron &amp; Steel'!$D$25:$D$83,D71,'Iron &amp; Steel'!$H$25:$H$83,H71)</f>
        <v>0.20544199552900064</v>
      </c>
      <c r="O71" s="546" t="e">
        <f>SUMIFS('Iron &amp; Steel'!$R$25:$R$83,'Iron &amp; Steel'!$B$25:$B$83,C71,'Iron &amp; Steel'!$D$25:$D$83,D71,'Iron &amp; Steel'!$H$25:$H$83,H71)</f>
        <v>#REF!</v>
      </c>
    </row>
    <row r="72" spans="2:48" hidden="1" x14ac:dyDescent="0.25">
      <c r="B72" s="545" t="s">
        <v>901</v>
      </c>
      <c r="C72" s="99" t="s">
        <v>171</v>
      </c>
      <c r="D72" s="99" t="s">
        <v>39</v>
      </c>
      <c r="E72" s="99" t="s">
        <v>1323</v>
      </c>
      <c r="F72" s="99" t="s">
        <v>703</v>
      </c>
      <c r="G72" s="99" t="s">
        <v>1043</v>
      </c>
      <c r="H72" s="99" t="s">
        <v>1044</v>
      </c>
      <c r="I72" s="99">
        <v>3</v>
      </c>
      <c r="J72" s="546">
        <f>SUMIFS('Iron &amp; Steel'!$O$25:$O$83,'Iron &amp; Steel'!$B$25:$B$83,C72,'Iron &amp; Steel'!$D$25:$D$83,D72,'Iron &amp; Steel'!$H$25:$H$83,H72)</f>
        <v>0.53173222372211926</v>
      </c>
      <c r="O72" s="546" t="e">
        <f>SUMIFS('Iron &amp; Steel'!$R$25:$R$83,'Iron &amp; Steel'!$B$25:$B$83,C72,'Iron &amp; Steel'!$D$25:$D$83,D72,'Iron &amp; Steel'!$H$25:$H$83,H72)</f>
        <v>#REF!</v>
      </c>
    </row>
    <row r="73" spans="2:48" hidden="1" x14ac:dyDescent="0.25">
      <c r="B73" s="545" t="s">
        <v>901</v>
      </c>
      <c r="C73" s="99" t="s">
        <v>171</v>
      </c>
      <c r="D73" s="99" t="s">
        <v>38</v>
      </c>
      <c r="E73" s="99" t="s">
        <v>1323</v>
      </c>
      <c r="F73" s="99" t="s">
        <v>703</v>
      </c>
      <c r="G73" s="99" t="s">
        <v>1043</v>
      </c>
      <c r="H73" s="99" t="s">
        <v>1044</v>
      </c>
      <c r="I73" s="99">
        <v>3</v>
      </c>
      <c r="J73" s="546">
        <f>SUMIFS('Iron &amp; Steel'!$O$25:$O$83,'Iron &amp; Steel'!$B$25:$B$83,C73,'Iron &amp; Steel'!$D$25:$D$83,D73,'Iron &amp; Steel'!$H$25:$H$83,H73)</f>
        <v>0.26282578074888002</v>
      </c>
      <c r="O73" s="546" t="e">
        <f>SUMIFS('Iron &amp; Steel'!$R$25:$R$83,'Iron &amp; Steel'!$B$25:$B$83,C73,'Iron &amp; Steel'!$D$25:$D$83,D73,'Iron &amp; Steel'!$H$25:$H$83,H73)</f>
        <v>#REF!</v>
      </c>
    </row>
    <row r="74" spans="2:48" hidden="1" x14ac:dyDescent="0.25">
      <c r="B74" s="545" t="s">
        <v>901</v>
      </c>
      <c r="C74" s="99" t="s">
        <v>171</v>
      </c>
      <c r="D74" s="99" t="s">
        <v>588</v>
      </c>
      <c r="E74" s="99" t="s">
        <v>1323</v>
      </c>
      <c r="F74" s="99" t="s">
        <v>703</v>
      </c>
      <c r="G74" s="99" t="s">
        <v>1043</v>
      </c>
      <c r="H74" s="99" t="s">
        <v>1044</v>
      </c>
      <c r="I74" s="99">
        <v>3</v>
      </c>
      <c r="J74" s="546">
        <f>SUMIFS('Iron &amp; Steel'!$O$25:$O$83,'Iron &amp; Steel'!$B$25:$B$83,C74,'Iron &amp; Steel'!$D$25:$D$83,D74,'Iron &amp; Steel'!$H$25:$H$83,H74)</f>
        <v>0</v>
      </c>
      <c r="O74" s="546" t="e">
        <f>SUMIFS('Iron &amp; Steel'!$R$25:$R$83,'Iron &amp; Steel'!$B$25:$B$83,C74,'Iron &amp; Steel'!$D$25:$D$83,D74,'Iron &amp; Steel'!$H$25:$H$83,H74)</f>
        <v>#REF!</v>
      </c>
    </row>
    <row r="75" spans="2:48" hidden="1" x14ac:dyDescent="0.25">
      <c r="B75" s="545" t="s">
        <v>901</v>
      </c>
      <c r="C75" s="99" t="s">
        <v>171</v>
      </c>
      <c r="D75" s="99" t="s">
        <v>591</v>
      </c>
      <c r="E75" s="99" t="s">
        <v>1323</v>
      </c>
      <c r="F75" s="99" t="s">
        <v>703</v>
      </c>
      <c r="G75" s="99" t="s">
        <v>1043</v>
      </c>
      <c r="H75" s="99" t="s">
        <v>1044</v>
      </c>
      <c r="I75" s="99">
        <v>3</v>
      </c>
      <c r="J75" s="546">
        <f>SUMIFS('Iron &amp; Steel'!$O$25:$O$83,'Iron &amp; Steel'!$B$25:$B$83,C75,'Iron &amp; Steel'!$D$25:$D$83,D75,'Iron &amp; Steel'!$H$25:$H$83,H75)</f>
        <v>5.7000000000000002E-2</v>
      </c>
      <c r="O75" s="546" t="e">
        <f>SUMIFS('Iron &amp; Steel'!$R$25:$R$83,'Iron &amp; Steel'!$B$25:$B$83,C75,'Iron &amp; Steel'!$D$25:$D$83,D75,'Iron &amp; Steel'!$H$25:$H$83,H75)</f>
        <v>#REF!</v>
      </c>
    </row>
    <row r="76" spans="2:48" hidden="1" x14ac:dyDescent="0.25">
      <c r="B76" s="545" t="s">
        <v>901</v>
      </c>
      <c r="C76" s="99" t="s">
        <v>174</v>
      </c>
      <c r="D76" s="99" t="s">
        <v>39</v>
      </c>
      <c r="E76" s="99" t="s">
        <v>1319</v>
      </c>
      <c r="F76" s="99" t="s">
        <v>703</v>
      </c>
      <c r="G76" s="99" t="s">
        <v>1043</v>
      </c>
      <c r="H76" s="99" t="s">
        <v>589</v>
      </c>
      <c r="I76" s="99">
        <v>3</v>
      </c>
      <c r="J76" s="546">
        <f>SUMIFS('Iron &amp; Steel'!$O$25:$O$83,'Iron &amp; Steel'!$B$25:$B$83,C76,'Iron &amp; Steel'!$D$25:$D$83,D76,'Iron &amp; Steel'!$H$25:$H$83,H76)</f>
        <v>0.66708375644280071</v>
      </c>
      <c r="O76" s="546" t="e">
        <f>SUMIFS('Iron &amp; Steel'!$R$25:$R$83,'Iron &amp; Steel'!$B$25:$B$83,C76,'Iron &amp; Steel'!$D$25:$D$83,D76,'Iron &amp; Steel'!$H$25:$H$83,H76)</f>
        <v>#REF!</v>
      </c>
      <c r="AN76" s="547"/>
    </row>
    <row r="77" spans="2:48" hidden="1" x14ac:dyDescent="0.25">
      <c r="B77" s="545" t="s">
        <v>901</v>
      </c>
      <c r="C77" s="99" t="s">
        <v>174</v>
      </c>
      <c r="D77" s="99" t="s">
        <v>39</v>
      </c>
      <c r="E77" s="99" t="s">
        <v>1319</v>
      </c>
      <c r="F77" s="99" t="s">
        <v>703</v>
      </c>
      <c r="G77" s="99" t="s">
        <v>1043</v>
      </c>
      <c r="H77" s="99" t="s">
        <v>590</v>
      </c>
      <c r="I77" s="99">
        <v>3</v>
      </c>
      <c r="J77" s="546">
        <f>SUMIFS('Iron &amp; Steel'!$O$25:$O$83,'Iron &amp; Steel'!$B$25:$B$83,C77,'Iron &amp; Steel'!$D$25:$D$83,D77,'Iron &amp; Steel'!$H$25:$H$83,H77)</f>
        <v>0.66708375644280071</v>
      </c>
      <c r="O77" s="546" t="e">
        <f>SUMIFS('Iron &amp; Steel'!$R$25:$R$83,'Iron &amp; Steel'!$B$25:$B$83,C77,'Iron &amp; Steel'!$D$25:$D$83,D77,'Iron &amp; Steel'!$H$25:$H$83,H77)</f>
        <v>#REF!</v>
      </c>
    </row>
    <row r="78" spans="2:48" hidden="1" x14ac:dyDescent="0.25">
      <c r="B78" s="545" t="s">
        <v>901</v>
      </c>
      <c r="C78" s="99" t="s">
        <v>174</v>
      </c>
      <c r="D78" s="99" t="s">
        <v>38</v>
      </c>
      <c r="E78" s="99" t="s">
        <v>1319</v>
      </c>
      <c r="F78" s="99" t="s">
        <v>703</v>
      </c>
      <c r="G78" s="99" t="s">
        <v>1043</v>
      </c>
      <c r="H78" s="99" t="s">
        <v>1044</v>
      </c>
      <c r="I78" s="99">
        <v>3</v>
      </c>
      <c r="J78" s="546">
        <f>SUMIFS('Iron &amp; Steel'!$O$25:$O$83,'Iron &amp; Steel'!$B$25:$B$83,C78,'Iron &amp; Steel'!$D$25:$D$83,D78,'Iron &amp; Steel'!$H$25:$H$83,H78)</f>
        <v>0.32078744798551195</v>
      </c>
      <c r="O78" s="546" t="e">
        <f>SUMIFS('Iron &amp; Steel'!$R$25:$R$83,'Iron &amp; Steel'!$B$25:$B$83,C78,'Iron &amp; Steel'!$D$25:$D$83,D78,'Iron &amp; Steel'!$H$25:$H$83,H78)</f>
        <v>#REF!</v>
      </c>
    </row>
    <row r="79" spans="2:48" hidden="1" x14ac:dyDescent="0.25">
      <c r="B79" s="545" t="s">
        <v>901</v>
      </c>
      <c r="C79" s="99" t="s">
        <v>174</v>
      </c>
      <c r="D79" s="99" t="s">
        <v>588</v>
      </c>
      <c r="E79" s="99" t="s">
        <v>1319</v>
      </c>
      <c r="F79" s="99" t="s">
        <v>703</v>
      </c>
      <c r="G79" s="99" t="s">
        <v>1043</v>
      </c>
      <c r="H79" s="99" t="s">
        <v>589</v>
      </c>
      <c r="I79" s="99">
        <v>3</v>
      </c>
      <c r="J79" s="546">
        <f>SUMIFS('Iron &amp; Steel'!$O$25:$O$83,'Iron &amp; Steel'!$B$25:$B$83,C79,'Iron &amp; Steel'!$D$25:$D$83,D79,'Iron &amp; Steel'!$H$25:$H$83,H79)</f>
        <v>1.2128795571687277E-2</v>
      </c>
      <c r="O79" s="546" t="e">
        <f>SUMIFS('Iron &amp; Steel'!$R$25:$R$83,'Iron &amp; Steel'!$B$25:$B$83,C79,'Iron &amp; Steel'!$D$25:$D$83,D79,'Iron &amp; Steel'!$H$25:$H$83,H79)</f>
        <v>#REF!</v>
      </c>
    </row>
    <row r="80" spans="2:48" hidden="1" x14ac:dyDescent="0.25">
      <c r="B80" s="545" t="s">
        <v>901</v>
      </c>
      <c r="C80" s="99" t="s">
        <v>174</v>
      </c>
      <c r="D80" s="99" t="s">
        <v>588</v>
      </c>
      <c r="E80" s="99" t="s">
        <v>1319</v>
      </c>
      <c r="F80" s="99" t="s">
        <v>703</v>
      </c>
      <c r="G80" s="99" t="s">
        <v>1043</v>
      </c>
      <c r="H80" s="99" t="s">
        <v>590</v>
      </c>
      <c r="I80" s="99">
        <v>3</v>
      </c>
      <c r="J80" s="546">
        <f>SUMIFS('Iron &amp; Steel'!$O$25:$O$83,'Iron &amp; Steel'!$B$25:$B$83,C80,'Iron &amp; Steel'!$D$25:$D$83,D80,'Iron &amp; Steel'!$H$25:$H$83,H80)</f>
        <v>1.2128795571687277E-2</v>
      </c>
      <c r="O80" s="546" t="e">
        <f>SUMIFS('Iron &amp; Steel'!$R$25:$R$83,'Iron &amp; Steel'!$B$25:$B$83,C80,'Iron &amp; Steel'!$D$25:$D$83,D80,'Iron &amp; Steel'!$H$25:$H$83,H80)</f>
        <v>#REF!</v>
      </c>
      <c r="AN80" s="547"/>
    </row>
    <row r="81" spans="2:48" hidden="1" x14ac:dyDescent="0.25">
      <c r="B81" s="545" t="s">
        <v>901</v>
      </c>
      <c r="C81" s="99" t="s">
        <v>174</v>
      </c>
      <c r="D81" s="99" t="s">
        <v>1276</v>
      </c>
      <c r="E81" s="99" t="s">
        <v>1319</v>
      </c>
      <c r="F81" s="99" t="s">
        <v>703</v>
      </c>
      <c r="G81" s="99" t="s">
        <v>1043</v>
      </c>
      <c r="H81" s="99" t="s">
        <v>589</v>
      </c>
      <c r="I81" s="99">
        <v>3</v>
      </c>
      <c r="J81" s="546">
        <f>SUMIFS('Iron &amp; Steel'!$O$25:$O$83,'Iron &amp; Steel'!$B$25:$B$83,C81,'Iron &amp; Steel'!$D$25:$D$83,D81,'Iron &amp; Steel'!$H$25:$H$83,H81)</f>
        <v>0</v>
      </c>
      <c r="O81" s="546">
        <f>SUMIFS('Iron &amp; Steel'!$R$25:$R$83,'Iron &amp; Steel'!$B$25:$B$83,C81,'Iron &amp; Steel'!$D$25:$D$83,D81,'Iron &amp; Steel'!$H$25:$H$83,H81)</f>
        <v>0</v>
      </c>
    </row>
    <row r="82" spans="2:48" hidden="1" x14ac:dyDescent="0.25">
      <c r="B82" s="545" t="s">
        <v>901</v>
      </c>
      <c r="C82" s="99" t="s">
        <v>174</v>
      </c>
      <c r="D82" s="99" t="s">
        <v>1276</v>
      </c>
      <c r="E82" s="99" t="s">
        <v>1319</v>
      </c>
      <c r="F82" s="99" t="s">
        <v>703</v>
      </c>
      <c r="G82" s="99" t="s">
        <v>1043</v>
      </c>
      <c r="H82" s="99" t="s">
        <v>590</v>
      </c>
      <c r="I82" s="99">
        <v>3</v>
      </c>
      <c r="J82" s="546">
        <f>SUMIFS('Iron &amp; Steel'!$O$25:$O$83,'Iron &amp; Steel'!$B$25:$B$83,C82,'Iron &amp; Steel'!$D$25:$D$83,D82,'Iron &amp; Steel'!$H$25:$H$83,H82)</f>
        <v>0.01</v>
      </c>
      <c r="O82" s="546">
        <f>SUMIFS('Iron &amp; Steel'!$R$25:$R$83,'Iron &amp; Steel'!$B$25:$B$83,C82,'Iron &amp; Steel'!$D$25:$D$83,D82,'Iron &amp; Steel'!$H$25:$H$83,H82)</f>
        <v>0</v>
      </c>
      <c r="AN82" s="547"/>
    </row>
    <row r="83" spans="2:48" hidden="1" x14ac:dyDescent="0.25">
      <c r="B83" s="545" t="s">
        <v>901</v>
      </c>
      <c r="C83" s="99" t="s">
        <v>539</v>
      </c>
      <c r="D83" s="99" t="s">
        <v>39</v>
      </c>
      <c r="E83" s="99" t="s">
        <v>1311</v>
      </c>
      <c r="F83" s="99" t="s">
        <v>703</v>
      </c>
      <c r="G83" s="99" t="s">
        <v>1043</v>
      </c>
      <c r="H83" s="99" t="s">
        <v>589</v>
      </c>
      <c r="I83" s="99">
        <v>3</v>
      </c>
      <c r="J83" s="546">
        <f>SUMIFS('Iron &amp; Steel'!$O$25:$O$83,'Iron &amp; Steel'!$B$25:$B$83,C83,'Iron &amp; Steel'!$D$25:$D$83,D83,'Iron &amp; Steel'!$H$25:$H$83,H83)</f>
        <v>0.45</v>
      </c>
      <c r="O83" s="546" t="e">
        <f>SUMIFS('Iron &amp; Steel'!$R$25:$R$83,'Iron &amp; Steel'!$B$25:$B$83,C83,'Iron &amp; Steel'!$D$25:$D$83,D83,'Iron &amp; Steel'!$H$25:$H$83,H83)</f>
        <v>#REF!</v>
      </c>
      <c r="AV83" s="547"/>
    </row>
    <row r="84" spans="2:48" hidden="1" x14ac:dyDescent="0.25">
      <c r="B84" s="545" t="s">
        <v>901</v>
      </c>
      <c r="C84" s="99" t="s">
        <v>539</v>
      </c>
      <c r="D84" s="99" t="s">
        <v>39</v>
      </c>
      <c r="E84" s="99" t="s">
        <v>1311</v>
      </c>
      <c r="F84" s="99" t="s">
        <v>703</v>
      </c>
      <c r="G84" s="99" t="s">
        <v>1043</v>
      </c>
      <c r="H84" s="99" t="s">
        <v>590</v>
      </c>
      <c r="I84" s="99">
        <v>3</v>
      </c>
      <c r="J84" s="546">
        <f>SUMIFS('Iron &amp; Steel'!$O$25:$O$83,'Iron &amp; Steel'!$B$25:$B$83,C84,'Iron &amp; Steel'!$D$25:$D$83,D84,'Iron &amp; Steel'!$H$25:$H$83,H84)</f>
        <v>0.55000000000000004</v>
      </c>
      <c r="O84" s="546" t="e">
        <f>SUMIFS('Iron &amp; Steel'!$R$25:$R$83,'Iron &amp; Steel'!$B$25:$B$83,C84,'Iron &amp; Steel'!$D$25:$D$83,D84,'Iron &amp; Steel'!$H$25:$H$83,H84)</f>
        <v>#REF!</v>
      </c>
    </row>
    <row r="85" spans="2:48" hidden="1" x14ac:dyDescent="0.25">
      <c r="B85" s="545" t="s">
        <v>901</v>
      </c>
      <c r="C85" s="99" t="s">
        <v>539</v>
      </c>
      <c r="D85" s="99" t="s">
        <v>38</v>
      </c>
      <c r="E85" s="99" t="s">
        <v>1311</v>
      </c>
      <c r="F85" s="99" t="s">
        <v>703</v>
      </c>
      <c r="G85" s="99" t="s">
        <v>1043</v>
      </c>
      <c r="H85" s="99" t="s">
        <v>1044</v>
      </c>
      <c r="I85" s="99">
        <v>3</v>
      </c>
      <c r="J85" s="546">
        <f>SUMIFS('Iron &amp; Steel'!$O$25:$O$83,'Iron &amp; Steel'!$B$25:$B$83,C85,'Iron &amp; Steel'!$D$25:$D$83,D85,'Iron &amp; Steel'!$H$25:$H$83,H85)</f>
        <v>0.38</v>
      </c>
      <c r="O85" s="546" t="e">
        <f>SUMIFS('Iron &amp; Steel'!$R$25:$R$83,'Iron &amp; Steel'!$B$25:$B$83,C85,'Iron &amp; Steel'!$D$25:$D$83,D85,'Iron &amp; Steel'!$H$25:$H$83,H85)</f>
        <v>#REF!</v>
      </c>
      <c r="AV85" s="547"/>
    </row>
    <row r="86" spans="2:48" hidden="1" x14ac:dyDescent="0.25">
      <c r="B86" s="545" t="s">
        <v>901</v>
      </c>
      <c r="C86" s="99" t="s">
        <v>539</v>
      </c>
      <c r="D86" s="99" t="s">
        <v>588</v>
      </c>
      <c r="E86" s="99" t="s">
        <v>1311</v>
      </c>
      <c r="F86" s="99" t="s">
        <v>703</v>
      </c>
      <c r="G86" s="99" t="s">
        <v>1043</v>
      </c>
      <c r="H86" s="99" t="s">
        <v>589</v>
      </c>
      <c r="I86" s="99">
        <v>3</v>
      </c>
      <c r="J86" s="546">
        <f>SUMIFS('Iron &amp; Steel'!$O$25:$O$83,'Iron &amp; Steel'!$B$25:$B$83,C86,'Iron &amp; Steel'!$D$25:$D$83,D86,'Iron &amp; Steel'!$H$25:$H$83,H86)</f>
        <v>0.06</v>
      </c>
      <c r="O86" s="546" t="e">
        <f>SUMIFS('Iron &amp; Steel'!$R$25:$R$83,'Iron &amp; Steel'!$B$25:$B$83,C86,'Iron &amp; Steel'!$D$25:$D$83,D86,'Iron &amp; Steel'!$H$25:$H$83,H86)</f>
        <v>#REF!</v>
      </c>
      <c r="AV86" s="547"/>
    </row>
    <row r="87" spans="2:48" hidden="1" x14ac:dyDescent="0.25">
      <c r="B87" s="545" t="s">
        <v>901</v>
      </c>
      <c r="C87" s="99" t="s">
        <v>539</v>
      </c>
      <c r="D87" s="99" t="s">
        <v>588</v>
      </c>
      <c r="E87" s="99" t="s">
        <v>1311</v>
      </c>
      <c r="F87" s="99" t="s">
        <v>703</v>
      </c>
      <c r="G87" s="99" t="s">
        <v>1043</v>
      </c>
      <c r="H87" s="99" t="s">
        <v>590</v>
      </c>
      <c r="I87" s="99">
        <v>3</v>
      </c>
      <c r="J87" s="546">
        <f>SUMIFS('Iron &amp; Steel'!$O$25:$O$83,'Iron &amp; Steel'!$B$25:$B$83,C87,'Iron &amp; Steel'!$D$25:$D$83,D87,'Iron &amp; Steel'!$H$25:$H$83,H87)</f>
        <v>0.2</v>
      </c>
      <c r="O87" s="546" t="e">
        <f>SUMIFS('Iron &amp; Steel'!$R$25:$R$83,'Iron &amp; Steel'!$B$25:$B$83,C87,'Iron &amp; Steel'!$D$25:$D$83,D87,'Iron &amp; Steel'!$H$25:$H$83,H87)</f>
        <v>#REF!</v>
      </c>
    </row>
    <row r="88" spans="2:48" hidden="1" x14ac:dyDescent="0.25">
      <c r="B88" s="545" t="s">
        <v>901</v>
      </c>
      <c r="C88" s="99" t="s">
        <v>539</v>
      </c>
      <c r="D88" s="99" t="s">
        <v>1276</v>
      </c>
      <c r="E88" s="99" t="s">
        <v>1311</v>
      </c>
      <c r="F88" s="99" t="s">
        <v>703</v>
      </c>
      <c r="G88" s="99" t="s">
        <v>1043</v>
      </c>
      <c r="H88" s="99" t="s">
        <v>589</v>
      </c>
      <c r="I88" s="99">
        <v>3</v>
      </c>
      <c r="J88" s="546">
        <f>SUMIFS('Iron &amp; Steel'!$O$25:$O$83,'Iron &amp; Steel'!$B$25:$B$83,C88,'Iron &amp; Steel'!$D$25:$D$83,D88,'Iron &amp; Steel'!$H$25:$H$83,H88)</f>
        <v>0.01</v>
      </c>
      <c r="O88" s="546">
        <f>SUMIFS('Iron &amp; Steel'!$R$25:$R$83,'Iron &amp; Steel'!$B$25:$B$83,C88,'Iron &amp; Steel'!$D$25:$D$83,D88,'Iron &amp; Steel'!$H$25:$H$83,H88)</f>
        <v>0</v>
      </c>
      <c r="AV88" s="547"/>
    </row>
    <row r="89" spans="2:48" hidden="1" x14ac:dyDescent="0.25">
      <c r="B89" s="545" t="s">
        <v>901</v>
      </c>
      <c r="C89" s="99" t="s">
        <v>539</v>
      </c>
      <c r="D89" s="99" t="s">
        <v>1276</v>
      </c>
      <c r="E89" s="99" t="s">
        <v>1311</v>
      </c>
      <c r="F89" s="99" t="s">
        <v>703</v>
      </c>
      <c r="G89" s="99" t="s">
        <v>1043</v>
      </c>
      <c r="H89" s="99" t="s">
        <v>590</v>
      </c>
      <c r="I89" s="99">
        <v>3</v>
      </c>
      <c r="J89" s="546">
        <f>SUMIFS('Iron &amp; Steel'!$O$25:$O$83,'Iron &amp; Steel'!$B$25:$B$83,C89,'Iron &amp; Steel'!$D$25:$D$83,D89,'Iron &amp; Steel'!$H$25:$H$83,H89)</f>
        <v>0.15</v>
      </c>
      <c r="O89" s="546">
        <f>SUMIFS('Iron &amp; Steel'!$R$25:$R$83,'Iron &amp; Steel'!$B$25:$B$83,C89,'Iron &amp; Steel'!$D$25:$D$83,D89,'Iron &amp; Steel'!$H$25:$H$83,H89)</f>
        <v>0</v>
      </c>
    </row>
    <row r="90" spans="2:48" hidden="1" x14ac:dyDescent="0.25">
      <c r="B90" s="545" t="s">
        <v>901</v>
      </c>
      <c r="C90" s="99" t="s">
        <v>540</v>
      </c>
      <c r="D90" s="99" t="s">
        <v>38</v>
      </c>
      <c r="E90" s="99" t="s">
        <v>1315</v>
      </c>
      <c r="F90" s="99" t="s">
        <v>703</v>
      </c>
      <c r="G90" s="99" t="s">
        <v>1043</v>
      </c>
      <c r="H90" s="99" t="s">
        <v>1044</v>
      </c>
      <c r="I90" s="99">
        <v>3</v>
      </c>
      <c r="J90" s="546">
        <f>SUMIFS('Iron &amp; Steel'!$O$25:$O$83,'Iron &amp; Steel'!$B$25:$B$83,C90,'Iron &amp; Steel'!$D$25:$D$83,D90,'Iron &amp; Steel'!$H$25:$H$83,H90)</f>
        <v>0.38</v>
      </c>
      <c r="O90" s="546">
        <f>SUMIFS('Iron &amp; Steel'!$R$25:$R$83,'Iron &amp; Steel'!$B$25:$B$83,C90,'Iron &amp; Steel'!$D$25:$D$83,D90,'Iron &amp; Steel'!$H$25:$H$83,H90)</f>
        <v>0.38</v>
      </c>
      <c r="AV90" s="547"/>
    </row>
    <row r="91" spans="2:48" hidden="1" x14ac:dyDescent="0.25">
      <c r="B91" s="545" t="s">
        <v>901</v>
      </c>
      <c r="C91" s="99" t="s">
        <v>540</v>
      </c>
      <c r="D91" s="99" t="s">
        <v>588</v>
      </c>
      <c r="E91" s="99" t="s">
        <v>1315</v>
      </c>
      <c r="F91" s="99" t="s">
        <v>703</v>
      </c>
      <c r="G91" s="99" t="s">
        <v>1043</v>
      </c>
      <c r="H91" s="99" t="s">
        <v>1044</v>
      </c>
      <c r="I91" s="99">
        <v>3</v>
      </c>
      <c r="J91" s="546">
        <f>SUMIFS('Iron &amp; Steel'!$O$25:$O$83,'Iron &amp; Steel'!$B$25:$B$83,C91,'Iron &amp; Steel'!$D$25:$D$83,D91,'Iron &amp; Steel'!$H$25:$H$83,H91)</f>
        <v>0.61</v>
      </c>
      <c r="O91" s="546">
        <f>SUMIFS('Iron &amp; Steel'!$R$25:$R$83,'Iron &amp; Steel'!$B$25:$B$83,C91,'Iron &amp; Steel'!$D$25:$D$83,D91,'Iron &amp; Steel'!$H$25:$H$83,H91)</f>
        <v>0.61</v>
      </c>
      <c r="AV91" s="547"/>
    </row>
    <row r="92" spans="2:48" hidden="1" x14ac:dyDescent="0.25">
      <c r="B92" s="545" t="s">
        <v>901</v>
      </c>
      <c r="C92" s="99" t="s">
        <v>540</v>
      </c>
      <c r="D92" s="99" t="s">
        <v>1276</v>
      </c>
      <c r="E92" s="99" t="s">
        <v>1315</v>
      </c>
      <c r="F92" s="99" t="s">
        <v>703</v>
      </c>
      <c r="G92" s="99" t="s">
        <v>1043</v>
      </c>
      <c r="H92" s="99" t="s">
        <v>1044</v>
      </c>
      <c r="I92" s="99">
        <v>3</v>
      </c>
      <c r="J92" s="546">
        <f>SUMIFS('Iron &amp; Steel'!$O$25:$O$83,'Iron &amp; Steel'!$B$25:$B$83,C92,'Iron &amp; Steel'!$D$25:$D$83,D92,'Iron &amp; Steel'!$H$25:$H$83,H92)</f>
        <v>0.01</v>
      </c>
      <c r="O92" s="546">
        <f>SUMIFS('Iron &amp; Steel'!$R$25:$R$83,'Iron &amp; Steel'!$B$25:$B$83,C92,'Iron &amp; Steel'!$D$25:$D$83,D92,'Iron &amp; Steel'!$H$25:$H$83,H92)</f>
        <v>0.01</v>
      </c>
      <c r="AV92" s="547"/>
    </row>
    <row r="93" spans="2:48" hidden="1" x14ac:dyDescent="0.25">
      <c r="B93" s="545" t="s">
        <v>901</v>
      </c>
      <c r="C93" s="99" t="s">
        <v>178</v>
      </c>
      <c r="D93" s="99" t="s">
        <v>42</v>
      </c>
      <c r="E93" s="99" t="s">
        <v>1307</v>
      </c>
      <c r="F93" s="99" t="s">
        <v>703</v>
      </c>
      <c r="G93" s="99" t="s">
        <v>1043</v>
      </c>
      <c r="H93" s="99" t="s">
        <v>1044</v>
      </c>
      <c r="I93" s="99">
        <v>3</v>
      </c>
      <c r="J93" s="546">
        <f>SUMIFS('Iron &amp; Steel'!$O$25:$O$83,'Iron &amp; Steel'!$B$25:$B$83,C93,'Iron &amp; Steel'!$D$25:$D$83,D93,'Iron &amp; Steel'!$H$25:$H$83,H93)</f>
        <v>0</v>
      </c>
      <c r="O93" s="546">
        <f>SUMIFS('Iron &amp; Steel'!$R$25:$R$83,'Iron &amp; Steel'!$B$25:$B$83,C93,'Iron &amp; Steel'!$D$25:$D$83,D93,'Iron &amp; Steel'!$H$25:$H$83,H93)</f>
        <v>0</v>
      </c>
    </row>
    <row r="94" spans="2:48" hidden="1" x14ac:dyDescent="0.25">
      <c r="B94" s="545" t="s">
        <v>901</v>
      </c>
      <c r="C94" s="99" t="s">
        <v>178</v>
      </c>
      <c r="D94" s="99" t="s">
        <v>39</v>
      </c>
      <c r="E94" s="99" t="s">
        <v>1307</v>
      </c>
      <c r="F94" s="99" t="s">
        <v>703</v>
      </c>
      <c r="G94" s="99" t="s">
        <v>1043</v>
      </c>
      <c r="H94" s="99" t="s">
        <v>1044</v>
      </c>
      <c r="I94" s="99">
        <v>3</v>
      </c>
      <c r="J94" s="546">
        <f>SUMIFS('Iron &amp; Steel'!$O$25:$O$83,'Iron &amp; Steel'!$B$25:$B$83,C94,'Iron &amp; Steel'!$D$25:$D$83,D94,'Iron &amp; Steel'!$H$25:$H$83,H94)</f>
        <v>0.55590957104118222</v>
      </c>
      <c r="O94" s="546" t="e">
        <f>SUMIFS('Iron &amp; Steel'!$R$25:$R$83,'Iron &amp; Steel'!$B$25:$B$83,C94,'Iron &amp; Steel'!$D$25:$D$83,D94,'Iron &amp; Steel'!$H$25:$H$83,H94)</f>
        <v>#REF!</v>
      </c>
    </row>
    <row r="95" spans="2:48" hidden="1" x14ac:dyDescent="0.25">
      <c r="B95" s="545" t="s">
        <v>901</v>
      </c>
      <c r="C95" s="99" t="s">
        <v>178</v>
      </c>
      <c r="D95" s="99" t="s">
        <v>38</v>
      </c>
      <c r="E95" s="99" t="s">
        <v>1307</v>
      </c>
      <c r="F95" s="99" t="s">
        <v>703</v>
      </c>
      <c r="G95" s="99" t="s">
        <v>1043</v>
      </c>
      <c r="H95" s="99" t="s">
        <v>1044</v>
      </c>
      <c r="I95" s="99">
        <v>3</v>
      </c>
      <c r="J95" s="546">
        <f>SUMIFS('Iron &amp; Steel'!$O$25:$O$83,'Iron &amp; Steel'!$B$25:$B$83,C95,'Iron &amp; Steel'!$D$25:$D$83,D95,'Iron &amp; Steel'!$H$25:$H$83,H95)</f>
        <v>0.41320656390097438</v>
      </c>
      <c r="O95" s="546" t="e">
        <f>SUMIFS('Iron &amp; Steel'!$R$25:$R$83,'Iron &amp; Steel'!$B$25:$B$83,C95,'Iron &amp; Steel'!$D$25:$D$83,D95,'Iron &amp; Steel'!$H$25:$H$83,H95)</f>
        <v>#REF!</v>
      </c>
    </row>
    <row r="96" spans="2:48" hidden="1" x14ac:dyDescent="0.25">
      <c r="B96" s="545" t="s">
        <v>901</v>
      </c>
      <c r="C96" s="99" t="s">
        <v>178</v>
      </c>
      <c r="D96" s="99" t="s">
        <v>588</v>
      </c>
      <c r="E96" s="99" t="s">
        <v>1307</v>
      </c>
      <c r="F96" s="99" t="s">
        <v>703</v>
      </c>
      <c r="G96" s="99" t="s">
        <v>1043</v>
      </c>
      <c r="H96" s="99" t="s">
        <v>1044</v>
      </c>
      <c r="I96" s="99">
        <v>3</v>
      </c>
      <c r="J96" s="546">
        <f>SUMIFS('Iron &amp; Steel'!$O$25:$O$83,'Iron &amp; Steel'!$B$25:$B$83,C96,'Iron &amp; Steel'!$D$25:$D$83,D96,'Iron &amp; Steel'!$H$25:$H$83,H96)</f>
        <v>3.0883865057843445E-2</v>
      </c>
      <c r="O96" s="546" t="e">
        <f>SUMIFS('Iron &amp; Steel'!$R$25:$R$83,'Iron &amp; Steel'!$B$25:$B$83,C96,'Iron &amp; Steel'!$D$25:$D$83,D96,'Iron &amp; Steel'!$H$25:$H$83,H96)</f>
        <v>#REF!</v>
      </c>
    </row>
    <row r="97" spans="2:48" hidden="1" x14ac:dyDescent="0.25">
      <c r="B97" s="545" t="s">
        <v>901</v>
      </c>
      <c r="C97" s="99" t="s">
        <v>178</v>
      </c>
      <c r="D97" s="99" t="s">
        <v>1276</v>
      </c>
      <c r="E97" s="99" t="s">
        <v>1307</v>
      </c>
      <c r="F97" s="99" t="s">
        <v>703</v>
      </c>
      <c r="G97" s="99" t="s">
        <v>1043</v>
      </c>
      <c r="H97" s="99" t="s">
        <v>1044</v>
      </c>
      <c r="I97" s="99">
        <v>3</v>
      </c>
      <c r="J97" s="546">
        <f>SUMIFS('Iron &amp; Steel'!$O$25:$O$83,'Iron &amp; Steel'!$B$25:$B$83,C97,'Iron &amp; Steel'!$D$25:$D$83,D97,'Iron &amp; Steel'!$H$25:$H$83,H97)</f>
        <v>0</v>
      </c>
      <c r="O97" s="546">
        <f>SUMIFS('Iron &amp; Steel'!$R$25:$R$83,'Iron &amp; Steel'!$B$25:$B$83,C97,'Iron &amp; Steel'!$D$25:$D$83,D97,'Iron &amp; Steel'!$H$25:$H$83,H97)</f>
        <v>0</v>
      </c>
    </row>
    <row r="98" spans="2:48" hidden="1" x14ac:dyDescent="0.25">
      <c r="B98" s="545" t="s">
        <v>901</v>
      </c>
      <c r="C98" s="99" t="s">
        <v>180</v>
      </c>
      <c r="D98" s="99" t="s">
        <v>39</v>
      </c>
      <c r="E98" s="99" t="s">
        <v>1299</v>
      </c>
      <c r="F98" s="99" t="s">
        <v>703</v>
      </c>
      <c r="G98" s="99" t="s">
        <v>1043</v>
      </c>
      <c r="H98" s="99" t="s">
        <v>589</v>
      </c>
      <c r="I98" s="99">
        <v>3</v>
      </c>
      <c r="J98" s="546">
        <f>SUMIFS('Iron &amp; Steel'!$O$25:$O$83,'Iron &amp; Steel'!$B$25:$B$83,C98,'Iron &amp; Steel'!$D$25:$D$83,D98,'Iron &amp; Steel'!$H$25:$H$83,H98)</f>
        <v>0.25</v>
      </c>
      <c r="O98" s="546" t="e">
        <f>SUMIFS('Iron &amp; Steel'!$R$25:$R$83,'Iron &amp; Steel'!$B$25:$B$83,C98,'Iron &amp; Steel'!$D$25:$D$83,D98,'Iron &amp; Steel'!$H$25:$H$83,H98)</f>
        <v>#REF!</v>
      </c>
      <c r="AN98" s="547"/>
    </row>
    <row r="99" spans="2:48" hidden="1" x14ac:dyDescent="0.25">
      <c r="B99" s="545" t="s">
        <v>901</v>
      </c>
      <c r="C99" s="99" t="s">
        <v>180</v>
      </c>
      <c r="D99" s="99" t="s">
        <v>39</v>
      </c>
      <c r="E99" s="99" t="s">
        <v>1299</v>
      </c>
      <c r="F99" s="99" t="s">
        <v>703</v>
      </c>
      <c r="G99" s="99" t="s">
        <v>1043</v>
      </c>
      <c r="H99" s="99" t="s">
        <v>590</v>
      </c>
      <c r="I99" s="99">
        <v>3</v>
      </c>
      <c r="J99" s="546">
        <f>SUMIFS('Iron &amp; Steel'!$O$25:$O$83,'Iron &amp; Steel'!$B$25:$B$83,C99,'Iron &amp; Steel'!$D$25:$D$83,D99,'Iron &amp; Steel'!$H$25:$H$83,H99)</f>
        <v>0.25</v>
      </c>
      <c r="O99" s="546" t="e">
        <f>SUMIFS('Iron &amp; Steel'!$R$25:$R$83,'Iron &amp; Steel'!$B$25:$B$83,C99,'Iron &amp; Steel'!$D$25:$D$83,D99,'Iron &amp; Steel'!$H$25:$H$83,H99)</f>
        <v>#REF!</v>
      </c>
    </row>
    <row r="100" spans="2:48" hidden="1" x14ac:dyDescent="0.25">
      <c r="B100" s="545" t="s">
        <v>901</v>
      </c>
      <c r="C100" s="99" t="s">
        <v>180</v>
      </c>
      <c r="D100" s="99" t="s">
        <v>38</v>
      </c>
      <c r="E100" s="99" t="s">
        <v>1299</v>
      </c>
      <c r="F100" s="99" t="s">
        <v>703</v>
      </c>
      <c r="G100" s="99" t="s">
        <v>1043</v>
      </c>
      <c r="H100" s="99" t="s">
        <v>1044</v>
      </c>
      <c r="I100" s="99">
        <v>3</v>
      </c>
      <c r="J100" s="546">
        <f>SUMIFS('Iron &amp; Steel'!$O$25:$O$83,'Iron &amp; Steel'!$B$25:$B$83,C100,'Iron &amp; Steel'!$D$25:$D$83,D100,'Iron &amp; Steel'!$H$25:$H$83,H100)</f>
        <v>0.75</v>
      </c>
      <c r="O100" s="546" t="e">
        <f>SUMIFS('Iron &amp; Steel'!$R$25:$R$83,'Iron &amp; Steel'!$B$25:$B$83,C100,'Iron &amp; Steel'!$D$25:$D$83,D100,'Iron &amp; Steel'!$H$25:$H$83,H100)</f>
        <v>#REF!</v>
      </c>
    </row>
    <row r="101" spans="2:48" hidden="1" x14ac:dyDescent="0.25">
      <c r="B101" s="545" t="s">
        <v>901</v>
      </c>
      <c r="C101" s="99" t="s">
        <v>180</v>
      </c>
      <c r="D101" s="99" t="s">
        <v>588</v>
      </c>
      <c r="E101" s="99" t="s">
        <v>1299</v>
      </c>
      <c r="F101" s="99" t="s">
        <v>703</v>
      </c>
      <c r="G101" s="99" t="s">
        <v>1043</v>
      </c>
      <c r="H101" s="99" t="s">
        <v>589</v>
      </c>
      <c r="I101" s="99">
        <v>3</v>
      </c>
      <c r="J101" s="546">
        <f>SUMIFS('Iron &amp; Steel'!$O$25:$O$83,'Iron &amp; Steel'!$B$25:$B$83,C101,'Iron &amp; Steel'!$D$25:$D$83,D101,'Iron &amp; Steel'!$H$25:$H$83,H101)</f>
        <v>0</v>
      </c>
      <c r="O101" s="546" t="e">
        <f>SUMIFS('Iron &amp; Steel'!$R$25:$R$83,'Iron &amp; Steel'!$B$25:$B$83,C101,'Iron &amp; Steel'!$D$25:$D$83,D101,'Iron &amp; Steel'!$H$25:$H$83,H101)</f>
        <v>#REF!</v>
      </c>
    </row>
    <row r="102" spans="2:48" hidden="1" x14ac:dyDescent="0.25">
      <c r="B102" s="545" t="s">
        <v>901</v>
      </c>
      <c r="C102" s="99" t="s">
        <v>180</v>
      </c>
      <c r="D102" s="99" t="s">
        <v>588</v>
      </c>
      <c r="E102" s="99" t="s">
        <v>1299</v>
      </c>
      <c r="F102" s="99" t="s">
        <v>703</v>
      </c>
      <c r="G102" s="99" t="s">
        <v>1043</v>
      </c>
      <c r="H102" s="99" t="s">
        <v>590</v>
      </c>
      <c r="I102" s="99">
        <v>3</v>
      </c>
      <c r="J102" s="546">
        <f>SUMIFS('Iron &amp; Steel'!$O$25:$O$83,'Iron &amp; Steel'!$B$25:$B$83,C102,'Iron &amp; Steel'!$D$25:$D$83,D102,'Iron &amp; Steel'!$H$25:$H$83,H102)</f>
        <v>0</v>
      </c>
      <c r="O102" s="546" t="e">
        <f>SUMIFS('Iron &amp; Steel'!$R$25:$R$83,'Iron &amp; Steel'!$B$25:$B$83,C102,'Iron &amp; Steel'!$D$25:$D$83,D102,'Iron &amp; Steel'!$H$25:$H$83,H102)</f>
        <v>#REF!</v>
      </c>
      <c r="AN102" s="547"/>
    </row>
    <row r="103" spans="2:48" hidden="1" x14ac:dyDescent="0.25">
      <c r="B103" s="545" t="s">
        <v>901</v>
      </c>
      <c r="C103" s="99" t="s">
        <v>180</v>
      </c>
      <c r="D103" s="99" t="s">
        <v>1276</v>
      </c>
      <c r="E103" s="99" t="s">
        <v>1299</v>
      </c>
      <c r="F103" s="99" t="s">
        <v>703</v>
      </c>
      <c r="G103" s="99" t="s">
        <v>1043</v>
      </c>
      <c r="H103" s="99" t="s">
        <v>589</v>
      </c>
      <c r="I103" s="99">
        <v>3</v>
      </c>
      <c r="J103" s="546">
        <f>SUMIFS('Iron &amp; Steel'!$O$25:$O$83,'Iron &amp; Steel'!$B$25:$B$83,C103,'Iron &amp; Steel'!$D$25:$D$83,D103,'Iron &amp; Steel'!$H$25:$H$83,H103)</f>
        <v>0</v>
      </c>
      <c r="O103" s="546">
        <f>SUMIFS('Iron &amp; Steel'!$R$25:$R$83,'Iron &amp; Steel'!$B$25:$B$83,C103,'Iron &amp; Steel'!$D$25:$D$83,D103,'Iron &amp; Steel'!$H$25:$H$83,H103)</f>
        <v>0</v>
      </c>
    </row>
    <row r="104" spans="2:48" hidden="1" x14ac:dyDescent="0.25">
      <c r="B104" s="545" t="s">
        <v>901</v>
      </c>
      <c r="C104" s="99" t="s">
        <v>180</v>
      </c>
      <c r="D104" s="99" t="s">
        <v>1276</v>
      </c>
      <c r="E104" s="99" t="s">
        <v>1299</v>
      </c>
      <c r="F104" s="99" t="s">
        <v>703</v>
      </c>
      <c r="G104" s="99" t="s">
        <v>1043</v>
      </c>
      <c r="H104" s="99" t="s">
        <v>590</v>
      </c>
      <c r="I104" s="99">
        <v>3</v>
      </c>
      <c r="J104" s="546">
        <f>SUMIFS('Iron &amp; Steel'!$O$25:$O$83,'Iron &amp; Steel'!$B$25:$B$83,C104,'Iron &amp; Steel'!$D$25:$D$83,D104,'Iron &amp; Steel'!$H$25:$H$83,H104)</f>
        <v>0</v>
      </c>
      <c r="O104" s="546">
        <f>SUMIFS('Iron &amp; Steel'!$R$25:$R$83,'Iron &amp; Steel'!$B$25:$B$83,C104,'Iron &amp; Steel'!$D$25:$D$83,D104,'Iron &amp; Steel'!$H$25:$H$83,H104)</f>
        <v>0</v>
      </c>
      <c r="AN104" s="547"/>
    </row>
    <row r="105" spans="2:48" hidden="1" x14ac:dyDescent="0.25">
      <c r="B105" s="545" t="s">
        <v>901</v>
      </c>
      <c r="C105" s="99" t="s">
        <v>541</v>
      </c>
      <c r="D105" s="99" t="s">
        <v>39</v>
      </c>
      <c r="E105" s="99" t="s">
        <v>1295</v>
      </c>
      <c r="F105" s="99" t="s">
        <v>703</v>
      </c>
      <c r="G105" s="99" t="s">
        <v>1043</v>
      </c>
      <c r="H105" s="99" t="s">
        <v>589</v>
      </c>
      <c r="I105" s="99">
        <v>3</v>
      </c>
      <c r="J105" s="546">
        <f>SUMIFS('Iron &amp; Steel'!$O$25:$O$83,'Iron &amp; Steel'!$B$25:$B$83,C105,'Iron &amp; Steel'!$D$25:$D$83,D105,'Iron &amp; Steel'!$H$25:$H$83,H105)</f>
        <v>0.05</v>
      </c>
      <c r="O105" s="546" t="e">
        <f>SUMIFS('Iron &amp; Steel'!$R$25:$R$83,'Iron &amp; Steel'!$B$25:$B$83,C105,'Iron &amp; Steel'!$D$25:$D$83,D105,'Iron &amp; Steel'!$H$25:$H$83,H105)</f>
        <v>#REF!</v>
      </c>
      <c r="AV105" s="547"/>
    </row>
    <row r="106" spans="2:48" hidden="1" x14ac:dyDescent="0.25">
      <c r="B106" s="545" t="s">
        <v>901</v>
      </c>
      <c r="C106" s="99" t="s">
        <v>541</v>
      </c>
      <c r="D106" s="99" t="s">
        <v>39</v>
      </c>
      <c r="E106" s="99" t="s">
        <v>1295</v>
      </c>
      <c r="F106" s="99" t="s">
        <v>703</v>
      </c>
      <c r="G106" s="99" t="s">
        <v>1043</v>
      </c>
      <c r="H106" s="99" t="s">
        <v>590</v>
      </c>
      <c r="I106" s="99">
        <v>3</v>
      </c>
      <c r="J106" s="546">
        <f>SUMIFS('Iron &amp; Steel'!$O$25:$O$83,'Iron &amp; Steel'!$B$25:$B$83,C106,'Iron &amp; Steel'!$D$25:$D$83,D106,'Iron &amp; Steel'!$H$25:$H$83,H106)</f>
        <v>0.25</v>
      </c>
      <c r="O106" s="546" t="e">
        <f>SUMIFS('Iron &amp; Steel'!$R$25:$R$83,'Iron &amp; Steel'!$B$25:$B$83,C106,'Iron &amp; Steel'!$D$25:$D$83,D106,'Iron &amp; Steel'!$H$25:$H$83,H106)</f>
        <v>#REF!</v>
      </c>
    </row>
    <row r="107" spans="2:48" hidden="1" x14ac:dyDescent="0.25">
      <c r="B107" s="545" t="s">
        <v>901</v>
      </c>
      <c r="C107" s="99" t="s">
        <v>541</v>
      </c>
      <c r="D107" s="99" t="s">
        <v>38</v>
      </c>
      <c r="E107" s="99" t="s">
        <v>1295</v>
      </c>
      <c r="F107" s="99" t="s">
        <v>703</v>
      </c>
      <c r="G107" s="99" t="s">
        <v>1043</v>
      </c>
      <c r="H107" s="99" t="s">
        <v>1044</v>
      </c>
      <c r="I107" s="99">
        <v>3</v>
      </c>
      <c r="J107" s="546">
        <f>SUMIFS('Iron &amp; Steel'!$O$25:$O$83,'Iron &amp; Steel'!$B$25:$B$83,C107,'Iron &amp; Steel'!$D$25:$D$83,D107,'Iron &amp; Steel'!$H$25:$H$83,H107)</f>
        <v>0.75</v>
      </c>
      <c r="O107" s="546" t="e">
        <f>SUMIFS('Iron &amp; Steel'!$R$25:$R$83,'Iron &amp; Steel'!$B$25:$B$83,C107,'Iron &amp; Steel'!$D$25:$D$83,D107,'Iron &amp; Steel'!$H$25:$H$83,H107)</f>
        <v>#REF!</v>
      </c>
    </row>
    <row r="108" spans="2:48" hidden="1" x14ac:dyDescent="0.25">
      <c r="B108" s="545" t="s">
        <v>901</v>
      </c>
      <c r="C108" s="99" t="s">
        <v>541</v>
      </c>
      <c r="D108" s="99" t="s">
        <v>588</v>
      </c>
      <c r="E108" s="99" t="s">
        <v>1295</v>
      </c>
      <c r="F108" s="99" t="s">
        <v>703</v>
      </c>
      <c r="G108" s="99" t="s">
        <v>1043</v>
      </c>
      <c r="H108" s="99" t="s">
        <v>589</v>
      </c>
      <c r="I108" s="99">
        <v>3</v>
      </c>
      <c r="J108" s="546">
        <f>SUMIFS('Iron &amp; Steel'!$O$25:$O$83,'Iron &amp; Steel'!$B$25:$B$83,C108,'Iron &amp; Steel'!$D$25:$D$83,D108,'Iron &amp; Steel'!$H$25:$H$83,H108)</f>
        <v>0</v>
      </c>
      <c r="O108" s="546" t="e">
        <f>SUMIFS('Iron &amp; Steel'!$R$25:$R$83,'Iron &amp; Steel'!$B$25:$B$83,C108,'Iron &amp; Steel'!$D$25:$D$83,D108,'Iron &amp; Steel'!$H$25:$H$83,H108)</f>
        <v>#REF!</v>
      </c>
      <c r="AV108" s="547"/>
    </row>
    <row r="109" spans="2:48" hidden="1" x14ac:dyDescent="0.25">
      <c r="B109" s="545" t="s">
        <v>901</v>
      </c>
      <c r="C109" s="99" t="s">
        <v>541</v>
      </c>
      <c r="D109" s="99" t="s">
        <v>588</v>
      </c>
      <c r="E109" s="99" t="s">
        <v>1295</v>
      </c>
      <c r="F109" s="99" t="s">
        <v>703</v>
      </c>
      <c r="G109" s="99" t="s">
        <v>1043</v>
      </c>
      <c r="H109" s="99" t="s">
        <v>590</v>
      </c>
      <c r="I109" s="99">
        <v>3</v>
      </c>
      <c r="J109" s="546">
        <f>SUMIFS('Iron &amp; Steel'!$O$25:$O$83,'Iron &amp; Steel'!$B$25:$B$83,C109,'Iron &amp; Steel'!$D$25:$D$83,D109,'Iron &amp; Steel'!$H$25:$H$83,H109)</f>
        <v>0.2</v>
      </c>
      <c r="O109" s="546" t="e">
        <f>SUMIFS('Iron &amp; Steel'!$R$25:$R$83,'Iron &amp; Steel'!$B$25:$B$83,C109,'Iron &amp; Steel'!$D$25:$D$83,D109,'Iron &amp; Steel'!$H$25:$H$83,H109)</f>
        <v>#REF!</v>
      </c>
    </row>
    <row r="110" spans="2:48" hidden="1" x14ac:dyDescent="0.25">
      <c r="B110" s="545" t="s">
        <v>901</v>
      </c>
      <c r="C110" s="99" t="s">
        <v>541</v>
      </c>
      <c r="D110" s="99" t="s">
        <v>1276</v>
      </c>
      <c r="E110" s="99" t="s">
        <v>1295</v>
      </c>
      <c r="F110" s="99" t="s">
        <v>703</v>
      </c>
      <c r="G110" s="99" t="s">
        <v>1043</v>
      </c>
      <c r="H110" s="99" t="s">
        <v>589</v>
      </c>
      <c r="I110" s="99">
        <v>3</v>
      </c>
      <c r="J110" s="546">
        <f>SUMIFS('Iron &amp; Steel'!$O$25:$O$83,'Iron &amp; Steel'!$B$25:$B$83,C110,'Iron &amp; Steel'!$D$25:$D$83,D110,'Iron &amp; Steel'!$H$25:$H$83,H110)</f>
        <v>0</v>
      </c>
      <c r="O110" s="546">
        <f>SUMIFS('Iron &amp; Steel'!$R$25:$R$83,'Iron &amp; Steel'!$B$25:$B$83,C110,'Iron &amp; Steel'!$D$25:$D$83,D110,'Iron &amp; Steel'!$H$25:$H$83,H110)</f>
        <v>0</v>
      </c>
      <c r="AV110" s="547"/>
    </row>
    <row r="111" spans="2:48" hidden="1" x14ac:dyDescent="0.25">
      <c r="B111" s="545" t="s">
        <v>901</v>
      </c>
      <c r="C111" s="545" t="s">
        <v>541</v>
      </c>
      <c r="D111" s="545" t="s">
        <v>1276</v>
      </c>
      <c r="E111" s="545" t="s">
        <v>1295</v>
      </c>
      <c r="F111" s="545" t="s">
        <v>703</v>
      </c>
      <c r="G111" s="545" t="s">
        <v>1043</v>
      </c>
      <c r="H111" s="545" t="s">
        <v>590</v>
      </c>
      <c r="I111" s="99">
        <v>3</v>
      </c>
      <c r="J111" s="546">
        <f>SUMIFS('Iron &amp; Steel'!$O$25:$O$83,'Iron &amp; Steel'!$B$25:$B$83,C111,'Iron &amp; Steel'!$D$25:$D$83,D111,'Iron &amp; Steel'!$H$25:$H$83,H111)</f>
        <v>0.2</v>
      </c>
      <c r="O111" s="546">
        <f>SUMIFS('Iron &amp; Steel'!$R$25:$R$83,'Iron &amp; Steel'!$B$25:$B$83,C111,'Iron &amp; Steel'!$D$25:$D$83,D111,'Iron &amp; Steel'!$H$25:$H$83,H111)</f>
        <v>0</v>
      </c>
      <c r="AN111" s="547"/>
    </row>
    <row r="112" spans="2:48" hidden="1" x14ac:dyDescent="0.25">
      <c r="B112" s="545" t="s">
        <v>1392</v>
      </c>
      <c r="C112" s="99" t="s">
        <v>169</v>
      </c>
      <c r="D112" s="99" t="s">
        <v>703</v>
      </c>
      <c r="E112" s="99" t="s">
        <v>703</v>
      </c>
      <c r="F112" s="99" t="s">
        <v>703</v>
      </c>
      <c r="G112" s="99" t="s">
        <v>1043</v>
      </c>
      <c r="H112" s="99" t="s">
        <v>1044</v>
      </c>
      <c r="I112" s="99">
        <v>-1</v>
      </c>
      <c r="J112" s="548">
        <f>SUMIFS('Iron &amp; Steel'!$S$13:$S$17,'Iron &amp; Steel'!$L$13:$L$17,'IS-TSData'!C112)</f>
        <v>3.3</v>
      </c>
      <c r="K112" s="546">
        <f>'Iron &amp; Steel'!AG13</f>
        <v>3.3760806916426511</v>
      </c>
      <c r="L112" s="546">
        <f>'Iron &amp; Steel'!AH13</f>
        <v>3.0907780979827089</v>
      </c>
      <c r="M112" s="546">
        <f>'Iron &amp; Steel'!AI13</f>
        <v>3.1641891891891891</v>
      </c>
      <c r="N112" s="546">
        <f>'Iron &amp; Steel'!AJ13</f>
        <v>3.1641891891891891</v>
      </c>
      <c r="O112" s="546">
        <f>'Iron &amp; Steel'!AK13</f>
        <v>3.0330810810810807</v>
      </c>
      <c r="P112" s="546">
        <f>'Iron &amp; Steel'!AL13</f>
        <v>3.2032972972972971</v>
      </c>
      <c r="Q112" s="546">
        <f>'Iron &amp; Steel'!AM13</f>
        <v>3.0300947810555652</v>
      </c>
      <c r="R112" s="546">
        <f>'Iron &amp; Steel'!AN13</f>
        <v>3.0300947810555652</v>
      </c>
      <c r="AN112" s="547"/>
    </row>
    <row r="113" spans="2:40" hidden="1" x14ac:dyDescent="0.25">
      <c r="B113" s="545" t="s">
        <v>1392</v>
      </c>
      <c r="C113" s="99" t="s">
        <v>171</v>
      </c>
      <c r="D113" s="99" t="s">
        <v>703</v>
      </c>
      <c r="E113" s="99" t="s">
        <v>703</v>
      </c>
      <c r="F113" s="99" t="s">
        <v>703</v>
      </c>
      <c r="G113" s="99" t="s">
        <v>1043</v>
      </c>
      <c r="H113" s="99" t="s">
        <v>1044</v>
      </c>
      <c r="I113" s="99">
        <v>-1</v>
      </c>
      <c r="J113" s="548">
        <f>SUMIFS('Iron &amp; Steel'!$S$13:$S$17,'Iron &amp; Steel'!$L$13:$L$17,'IS-TSData'!C113)</f>
        <v>1.21</v>
      </c>
      <c r="K113" s="546">
        <f>'Iron &amp; Steel'!AG14</f>
        <v>1.2378962536023055</v>
      </c>
      <c r="L113" s="546">
        <f>'Iron &amp; Steel'!AH14</f>
        <v>1.13328530259366</v>
      </c>
      <c r="M113" s="546">
        <f>'Iron &amp; Steel'!AI14</f>
        <v>0.96299999999999997</v>
      </c>
      <c r="N113" s="546">
        <f>'Iron &amp; Steel'!AJ14</f>
        <v>0.83199999999999996</v>
      </c>
      <c r="O113" s="546">
        <f>'Iron &amp; Steel'!AK14</f>
        <v>1.1180000000000001</v>
      </c>
      <c r="P113" s="546">
        <f>'Iron &amp; Steel'!AL14</f>
        <v>1.0860000000000001</v>
      </c>
      <c r="Q113" s="546">
        <f>'Iron &amp; Steel'!AM14</f>
        <v>1.0860000000000001</v>
      </c>
      <c r="R113" s="546">
        <f>'Iron &amp; Steel'!AN14</f>
        <v>0</v>
      </c>
      <c r="S113" s="546">
        <f>'Iron &amp; Steel'!AO14</f>
        <v>0</v>
      </c>
      <c r="AN113" s="547"/>
    </row>
    <row r="114" spans="2:40" hidden="1" x14ac:dyDescent="0.25">
      <c r="B114" s="545" t="s">
        <v>1392</v>
      </c>
      <c r="C114" s="99" t="s">
        <v>174</v>
      </c>
      <c r="D114" s="99" t="s">
        <v>703</v>
      </c>
      <c r="E114" s="99" t="s">
        <v>703</v>
      </c>
      <c r="F114" s="99" t="s">
        <v>703</v>
      </c>
      <c r="G114" s="99" t="s">
        <v>1043</v>
      </c>
      <c r="H114" s="99" t="s">
        <v>1044</v>
      </c>
      <c r="I114" s="99">
        <v>-1</v>
      </c>
      <c r="J114" s="548">
        <f>SUMIFS('Iron &amp; Steel'!$S$13:$S$17,'Iron &amp; Steel'!$L$13:$L$17,'IS-TSData'!C114)</f>
        <v>0.95</v>
      </c>
      <c r="K114" s="546">
        <f>'Iron &amp; Steel'!AG15</f>
        <v>0.97190201729106618</v>
      </c>
      <c r="L114" s="546">
        <f>'Iron &amp; Steel'!AH15</f>
        <v>0.88976945244956762</v>
      </c>
      <c r="M114" s="546">
        <f>'Iron &amp; Steel'!AI15</f>
        <v>0.77481081081081082</v>
      </c>
      <c r="N114" s="546">
        <f>'Iron &amp; Steel'!AJ15</f>
        <v>0.77481081081081082</v>
      </c>
      <c r="O114" s="546">
        <f>'Iron &amp; Steel'!AK15</f>
        <v>0.75891891891891894</v>
      </c>
      <c r="P114" s="546">
        <f>'Iron &amp; Steel'!AL15</f>
        <v>0.80270270270270283</v>
      </c>
      <c r="Q114" s="546">
        <f>'Iron &amp; Steel'!AM15</f>
        <v>0.80270270270270283</v>
      </c>
      <c r="R114" s="546">
        <f>'Iron &amp; Steel'!AN15</f>
        <v>0.76492845786963448</v>
      </c>
      <c r="AN114" s="547"/>
    </row>
    <row r="115" spans="2:40" hidden="1" x14ac:dyDescent="0.25">
      <c r="B115" s="545" t="s">
        <v>1392</v>
      </c>
      <c r="C115" s="99" t="s">
        <v>178</v>
      </c>
      <c r="D115" s="99" t="s">
        <v>703</v>
      </c>
      <c r="E115" s="99" t="s">
        <v>703</v>
      </c>
      <c r="F115" s="99" t="s">
        <v>703</v>
      </c>
      <c r="G115" s="99" t="s">
        <v>1043</v>
      </c>
      <c r="H115" s="99" t="s">
        <v>1044</v>
      </c>
      <c r="I115" s="99">
        <v>-1</v>
      </c>
      <c r="J115" s="548">
        <f>SUMIFS('Iron &amp; Steel'!$S$13:$S$17,'Iron &amp; Steel'!$L$13:$L$17,'IS-TSData'!C115)</f>
        <v>0.62</v>
      </c>
      <c r="K115" s="546">
        <f>'Iron &amp; Steel'!AG16</f>
        <v>0.63429394812680118</v>
      </c>
      <c r="L115" s="546">
        <f>'Iron &amp; Steel'!AH16</f>
        <v>0.5806916426512968</v>
      </c>
      <c r="M115" s="546">
        <f>'Iron &amp; Steel'!AI16</f>
        <v>0.1360000000000007</v>
      </c>
      <c r="N115" s="546">
        <f>'Iron &amp; Steel'!AJ16</f>
        <v>0</v>
      </c>
      <c r="O115" s="546">
        <f>'Iron &amp; Steel'!AK16</f>
        <v>0</v>
      </c>
      <c r="P115" s="546">
        <f>'Iron &amp; Steel'!AL16</f>
        <v>0</v>
      </c>
      <c r="Q115" s="546">
        <f>'Iron &amp; Steel'!AM16</f>
        <v>0</v>
      </c>
      <c r="R115" s="546">
        <f>'Iron &amp; Steel'!AN16</f>
        <v>0</v>
      </c>
      <c r="AN115" s="547"/>
    </row>
    <row r="116" spans="2:40" hidden="1" x14ac:dyDescent="0.25">
      <c r="B116" s="545" t="s">
        <v>1392</v>
      </c>
      <c r="C116" s="99" t="s">
        <v>180</v>
      </c>
      <c r="D116" s="99" t="s">
        <v>703</v>
      </c>
      <c r="E116" s="99" t="s">
        <v>703</v>
      </c>
      <c r="F116" s="99" t="s">
        <v>703</v>
      </c>
      <c r="G116" s="99" t="s">
        <v>1043</v>
      </c>
      <c r="H116" s="99" t="s">
        <v>1044</v>
      </c>
      <c r="I116" s="99">
        <v>-1</v>
      </c>
      <c r="J116" s="548">
        <f>SUMIFS('Iron &amp; Steel'!$S$13:$S$17,'Iron &amp; Steel'!$L$13:$L$17,'IS-TSData'!C116)</f>
        <v>0.86</v>
      </c>
      <c r="K116" s="546">
        <f>'Iron &amp; Steel'!AG17</f>
        <v>0.87982708933717579</v>
      </c>
      <c r="L116" s="546">
        <f>'Iron &amp; Steel'!AH17</f>
        <v>0.8054755043227666</v>
      </c>
      <c r="M116" s="546">
        <f>'Iron &amp; Steel'!AI17</f>
        <v>1.3620000000000003</v>
      </c>
      <c r="N116" s="546">
        <f>'Iron &amp; Steel'!AJ17</f>
        <v>1.3200000000000003</v>
      </c>
      <c r="O116" s="546">
        <f>'Iron &amp; Steel'!AK17</f>
        <v>1.3200000000000003</v>
      </c>
      <c r="P116" s="546">
        <f>'Iron &amp; Steel'!AL17</f>
        <v>1.2079999999999993</v>
      </c>
      <c r="Q116" s="546">
        <f>'Iron &amp; Steel'!AM17</f>
        <v>1.2079999999999993</v>
      </c>
      <c r="R116" s="546">
        <f>'Iron &amp; Steel'!AN17</f>
        <v>1.2079999999999993</v>
      </c>
      <c r="AN116" s="547"/>
    </row>
    <row r="117" spans="2:40" hidden="1" x14ac:dyDescent="0.25">
      <c r="B117" s="545" t="s">
        <v>953</v>
      </c>
      <c r="C117" s="99" t="s">
        <v>169</v>
      </c>
      <c r="D117" s="99" t="s">
        <v>703</v>
      </c>
      <c r="E117" s="99" t="s">
        <v>703</v>
      </c>
      <c r="F117" s="99" t="s">
        <v>703</v>
      </c>
      <c r="G117" s="99" t="s">
        <v>703</v>
      </c>
      <c r="H117" s="99" t="s">
        <v>590</v>
      </c>
      <c r="I117" s="99">
        <v>5</v>
      </c>
      <c r="J117" s="548">
        <f>SUMIFS('Iron &amp; Steel'!$U$13:$U$17,'Iron &amp; Steel'!$L$13:$L$17,'IS-TSData'!C117)</f>
        <v>0.85</v>
      </c>
      <c r="O117" s="548">
        <f>SUMIFS('Iron &amp; Steel'!$AD$13:$AD$17,'Iron &amp; Steel'!$AB$13:$AB$17,'IS-TSData'!C117)</f>
        <v>0.9</v>
      </c>
      <c r="AN117" s="547"/>
    </row>
    <row r="118" spans="2:40" hidden="1" x14ac:dyDescent="0.25">
      <c r="B118" s="545" t="s">
        <v>953</v>
      </c>
      <c r="C118" s="99" t="s">
        <v>171</v>
      </c>
      <c r="D118" s="99" t="s">
        <v>703</v>
      </c>
      <c r="E118" s="99" t="s">
        <v>703</v>
      </c>
      <c r="F118" s="99" t="s">
        <v>703</v>
      </c>
      <c r="G118" s="99" t="s">
        <v>703</v>
      </c>
      <c r="H118" s="99" t="s">
        <v>590</v>
      </c>
      <c r="I118" s="99">
        <v>5</v>
      </c>
      <c r="J118" s="548">
        <f>SUMIFS('Iron &amp; Steel'!$U$13:$U$17,'Iron &amp; Steel'!$L$13:$L$17,'IS-TSData'!C118)</f>
        <v>0.97580645161290303</v>
      </c>
      <c r="O118" s="548">
        <f>SUMIFS('Iron &amp; Steel'!$AD$13:$AD$17,'Iron &amp; Steel'!$AB$13:$AB$17,'IS-TSData'!C118)</f>
        <v>0.99830343032443969</v>
      </c>
      <c r="AN118" s="547"/>
    </row>
    <row r="119" spans="2:40" ht="16.5" hidden="1" customHeight="1" x14ac:dyDescent="0.25">
      <c r="B119" s="545" t="s">
        <v>953</v>
      </c>
      <c r="C119" s="99" t="s">
        <v>174</v>
      </c>
      <c r="D119" s="99" t="s">
        <v>703</v>
      </c>
      <c r="E119" s="99" t="s">
        <v>703</v>
      </c>
      <c r="F119" s="99" t="s">
        <v>703</v>
      </c>
      <c r="G119" s="99" t="s">
        <v>703</v>
      </c>
      <c r="H119" s="99" t="s">
        <v>590</v>
      </c>
      <c r="I119" s="99">
        <v>5</v>
      </c>
      <c r="J119" s="548">
        <f>SUMIFS('Iron &amp; Steel'!$U$13:$U$17,'Iron &amp; Steel'!$L$13:$L$17,'IS-TSData'!C119)</f>
        <v>0.85</v>
      </c>
      <c r="O119" s="548">
        <f>SUMIFS('Iron &amp; Steel'!$AD$13:$AD$17,'Iron &amp; Steel'!$AB$13:$AB$17,'IS-TSData'!C119)</f>
        <v>0.9</v>
      </c>
      <c r="AN119" s="547"/>
    </row>
    <row r="120" spans="2:40" ht="16.5" hidden="1" customHeight="1" x14ac:dyDescent="0.25">
      <c r="B120" s="545" t="s">
        <v>953</v>
      </c>
      <c r="C120" s="99" t="s">
        <v>178</v>
      </c>
      <c r="D120" s="99" t="s">
        <v>703</v>
      </c>
      <c r="E120" s="99" t="s">
        <v>703</v>
      </c>
      <c r="F120" s="99" t="s">
        <v>703</v>
      </c>
      <c r="G120" s="99" t="s">
        <v>703</v>
      </c>
      <c r="H120" s="99" t="s">
        <v>590</v>
      </c>
      <c r="I120" s="99">
        <v>5</v>
      </c>
      <c r="J120" s="548">
        <f>SUMIFS('Iron &amp; Steel'!$U$13:$U$17,'Iron &amp; Steel'!$L$13:$L$17,'IS-TSData'!C120)</f>
        <v>0.85</v>
      </c>
      <c r="O120" s="548">
        <f>SUMIFS('Iron &amp; Steel'!$AD$13:$AD$17,'Iron &amp; Steel'!$AB$13:$AB$17,'IS-TSData'!C120)</f>
        <v>0.9</v>
      </c>
      <c r="AN120" s="547"/>
    </row>
    <row r="121" spans="2:40" ht="18" hidden="1" customHeight="1" x14ac:dyDescent="0.25">
      <c r="B121" s="545" t="s">
        <v>953</v>
      </c>
      <c r="C121" s="99" t="s">
        <v>180</v>
      </c>
      <c r="D121" s="99" t="s">
        <v>703</v>
      </c>
      <c r="E121" s="99" t="s">
        <v>703</v>
      </c>
      <c r="F121" s="99" t="s">
        <v>703</v>
      </c>
      <c r="G121" s="99" t="s">
        <v>703</v>
      </c>
      <c r="H121" s="99" t="s">
        <v>590</v>
      </c>
      <c r="I121" s="99">
        <v>5</v>
      </c>
      <c r="J121" s="548">
        <f>SUMIFS('Iron &amp; Steel'!$U$13:$U$17,'Iron &amp; Steel'!$L$13:$L$17,'IS-TSData'!C121)</f>
        <v>0.85</v>
      </c>
      <c r="M121" s="549">
        <f>O121</f>
        <v>1</v>
      </c>
      <c r="O121" s="548">
        <f>SUMIFS('Iron &amp; Steel'!$AD$13:$AD$17,'Iron &amp; Steel'!$AB$13:$AB$17,'IS-TSData'!C121)</f>
        <v>1</v>
      </c>
      <c r="AN121" s="547"/>
    </row>
    <row r="122" spans="2:40" ht="18" hidden="1" customHeight="1" x14ac:dyDescent="0.25">
      <c r="B122" s="545" t="s">
        <v>953</v>
      </c>
      <c r="C122" s="99" t="s">
        <v>169</v>
      </c>
      <c r="D122" s="99" t="s">
        <v>703</v>
      </c>
      <c r="E122" s="99" t="s">
        <v>703</v>
      </c>
      <c r="F122" s="99" t="s">
        <v>703</v>
      </c>
      <c r="G122" s="99" t="s">
        <v>703</v>
      </c>
      <c r="H122" s="99" t="s">
        <v>589</v>
      </c>
      <c r="I122" s="99">
        <v>5</v>
      </c>
      <c r="J122" s="99">
        <v>0</v>
      </c>
      <c r="O122" s="548">
        <f>J122</f>
        <v>0</v>
      </c>
      <c r="S122" s="548">
        <v>0.75</v>
      </c>
      <c r="AN122" s="547"/>
    </row>
    <row r="123" spans="2:40" ht="18" hidden="1" customHeight="1" x14ac:dyDescent="0.25">
      <c r="B123" s="545" t="s">
        <v>953</v>
      </c>
      <c r="C123" s="99" t="s">
        <v>171</v>
      </c>
      <c r="D123" s="99" t="s">
        <v>703</v>
      </c>
      <c r="E123" s="99" t="s">
        <v>703</v>
      </c>
      <c r="F123" s="99" t="s">
        <v>703</v>
      </c>
      <c r="G123" s="99" t="s">
        <v>703</v>
      </c>
      <c r="H123" s="99" t="s">
        <v>589</v>
      </c>
      <c r="I123" s="99">
        <v>5</v>
      </c>
      <c r="J123" s="99">
        <v>0</v>
      </c>
      <c r="O123" s="548">
        <f>J123</f>
        <v>0</v>
      </c>
      <c r="S123" s="548">
        <f>SUMIFS('Iron &amp; Steel'!$V$13:$V$17,'Iron &amp; Steel'!$L$13:$L$17,'IS-TSData'!C123)</f>
        <v>0</v>
      </c>
      <c r="AN123" s="547"/>
    </row>
    <row r="124" spans="2:40" ht="18" hidden="1" customHeight="1" x14ac:dyDescent="0.25">
      <c r="B124" s="545" t="s">
        <v>953</v>
      </c>
      <c r="C124" s="99" t="s">
        <v>174</v>
      </c>
      <c r="D124" s="99" t="s">
        <v>703</v>
      </c>
      <c r="E124" s="99" t="s">
        <v>703</v>
      </c>
      <c r="F124" s="99" t="s">
        <v>703</v>
      </c>
      <c r="G124" s="99" t="s">
        <v>703</v>
      </c>
      <c r="H124" s="99" t="s">
        <v>589</v>
      </c>
      <c r="I124" s="99">
        <v>5</v>
      </c>
      <c r="J124" s="99">
        <v>0</v>
      </c>
      <c r="O124" s="548">
        <f>J124</f>
        <v>0</v>
      </c>
      <c r="S124" s="548">
        <f>SUMIFS('Iron &amp; Steel'!$V$13:$V$17,'Iron &amp; Steel'!$L$13:$L$17,'IS-TSData'!C124)</f>
        <v>0</v>
      </c>
      <c r="AN124" s="547"/>
    </row>
    <row r="125" spans="2:40" ht="18" hidden="1" customHeight="1" x14ac:dyDescent="0.25">
      <c r="B125" s="545" t="s">
        <v>953</v>
      </c>
      <c r="C125" s="99" t="s">
        <v>178</v>
      </c>
      <c r="D125" s="99" t="s">
        <v>703</v>
      </c>
      <c r="E125" s="99" t="s">
        <v>703</v>
      </c>
      <c r="F125" s="99" t="s">
        <v>703</v>
      </c>
      <c r="G125" s="99" t="s">
        <v>703</v>
      </c>
      <c r="H125" s="99" t="s">
        <v>589</v>
      </c>
      <c r="I125" s="99">
        <v>5</v>
      </c>
      <c r="J125" s="99">
        <v>0</v>
      </c>
      <c r="O125" s="548">
        <f>J125</f>
        <v>0</v>
      </c>
      <c r="S125" s="548">
        <f>SUMIFS('Iron &amp; Steel'!$V$13:$V$17,'Iron &amp; Steel'!$L$13:$L$17,'IS-TSData'!C125)</f>
        <v>0</v>
      </c>
      <c r="AN125" s="547"/>
    </row>
    <row r="126" spans="2:40" ht="18" hidden="1" customHeight="1" x14ac:dyDescent="0.25">
      <c r="B126" s="545" t="s">
        <v>953</v>
      </c>
      <c r="C126" s="99" t="s">
        <v>180</v>
      </c>
      <c r="D126" s="99" t="s">
        <v>703</v>
      </c>
      <c r="E126" s="99" t="s">
        <v>703</v>
      </c>
      <c r="F126" s="99" t="s">
        <v>703</v>
      </c>
      <c r="G126" s="99" t="s">
        <v>703</v>
      </c>
      <c r="H126" s="99" t="s">
        <v>589</v>
      </c>
      <c r="I126" s="99">
        <v>5</v>
      </c>
      <c r="J126" s="99">
        <v>0</v>
      </c>
      <c r="O126" s="548">
        <f>J126</f>
        <v>0</v>
      </c>
      <c r="S126" s="548">
        <f>SUMIFS('Iron &amp; Steel'!$V$13:$V$17,'Iron &amp; Steel'!$L$13:$L$17,'IS-TSData'!C126)</f>
        <v>0</v>
      </c>
      <c r="AN126" s="547"/>
    </row>
    <row r="127" spans="2:40" hidden="1" x14ac:dyDescent="0.25">
      <c r="B127" s="99" t="s">
        <v>953</v>
      </c>
      <c r="C127" s="99" t="s">
        <v>1245</v>
      </c>
      <c r="D127" s="99" t="s">
        <v>703</v>
      </c>
      <c r="E127" s="99" t="s">
        <v>703</v>
      </c>
      <c r="F127" s="99" t="s">
        <v>703</v>
      </c>
      <c r="G127" s="99" t="s">
        <v>703</v>
      </c>
      <c r="H127" s="99" t="s">
        <v>590</v>
      </c>
      <c r="I127" s="99">
        <v>0</v>
      </c>
      <c r="J127" s="99">
        <v>1</v>
      </c>
    </row>
    <row r="128" spans="2:40" hidden="1" x14ac:dyDescent="0.25">
      <c r="B128" s="99" t="s">
        <v>953</v>
      </c>
      <c r="C128" s="99" t="s">
        <v>1243</v>
      </c>
      <c r="D128" s="99" t="s">
        <v>703</v>
      </c>
      <c r="E128" s="99" t="s">
        <v>703</v>
      </c>
      <c r="F128" s="99" t="s">
        <v>703</v>
      </c>
      <c r="G128" s="99" t="s">
        <v>703</v>
      </c>
      <c r="H128" s="99" t="s">
        <v>590</v>
      </c>
      <c r="I128" s="99">
        <v>0</v>
      </c>
      <c r="J128" s="99">
        <v>1</v>
      </c>
    </row>
    <row r="129" spans="2:10" hidden="1" x14ac:dyDescent="0.25">
      <c r="B129" s="99" t="s">
        <v>953</v>
      </c>
      <c r="C129" s="99" t="s">
        <v>538</v>
      </c>
      <c r="D129" s="99" t="s">
        <v>703</v>
      </c>
      <c r="E129" s="99" t="s">
        <v>703</v>
      </c>
      <c r="F129" s="99" t="s">
        <v>703</v>
      </c>
      <c r="G129" s="99" t="s">
        <v>703</v>
      </c>
      <c r="H129" s="99" t="s">
        <v>590</v>
      </c>
      <c r="I129" s="99">
        <v>0</v>
      </c>
      <c r="J129" s="99">
        <v>0.85</v>
      </c>
    </row>
    <row r="130" spans="2:10" hidden="1" x14ac:dyDescent="0.25">
      <c r="B130" s="99" t="s">
        <v>953</v>
      </c>
      <c r="C130" s="99" t="s">
        <v>1239</v>
      </c>
      <c r="D130" s="99" t="s">
        <v>703</v>
      </c>
      <c r="E130" s="99" t="s">
        <v>703</v>
      </c>
      <c r="F130" s="99" t="s">
        <v>703</v>
      </c>
      <c r="G130" s="99" t="s">
        <v>703</v>
      </c>
      <c r="H130" s="99" t="s">
        <v>590</v>
      </c>
      <c r="I130" s="99">
        <v>0</v>
      </c>
      <c r="J130" s="99">
        <v>1</v>
      </c>
    </row>
    <row r="131" spans="2:10" hidden="1" x14ac:dyDescent="0.25">
      <c r="B131" s="99" t="s">
        <v>953</v>
      </c>
      <c r="C131" s="99" t="s">
        <v>1237</v>
      </c>
      <c r="D131" s="99" t="s">
        <v>703</v>
      </c>
      <c r="E131" s="99" t="s">
        <v>703</v>
      </c>
      <c r="F131" s="99" t="s">
        <v>703</v>
      </c>
      <c r="G131" s="99" t="s">
        <v>703</v>
      </c>
      <c r="H131" s="99" t="s">
        <v>590</v>
      </c>
      <c r="I131" s="99">
        <v>0</v>
      </c>
      <c r="J131" s="99">
        <v>1</v>
      </c>
    </row>
    <row r="132" spans="2:10" hidden="1" x14ac:dyDescent="0.25">
      <c r="B132" s="99" t="s">
        <v>953</v>
      </c>
      <c r="C132" s="99" t="s">
        <v>1232</v>
      </c>
      <c r="D132" s="99" t="s">
        <v>703</v>
      </c>
      <c r="E132" s="99" t="s">
        <v>703</v>
      </c>
      <c r="F132" s="99" t="s">
        <v>703</v>
      </c>
      <c r="G132" s="99" t="s">
        <v>703</v>
      </c>
      <c r="H132" s="99" t="s">
        <v>590</v>
      </c>
      <c r="I132" s="99">
        <v>0</v>
      </c>
      <c r="J132" s="99">
        <v>1</v>
      </c>
    </row>
    <row r="133" spans="2:10" hidden="1" x14ac:dyDescent="0.25">
      <c r="B133" s="99" t="s">
        <v>953</v>
      </c>
      <c r="C133" s="99" t="s">
        <v>1230</v>
      </c>
      <c r="D133" s="99" t="s">
        <v>703</v>
      </c>
      <c r="E133" s="99" t="s">
        <v>703</v>
      </c>
      <c r="F133" s="99" t="s">
        <v>703</v>
      </c>
      <c r="G133" s="99" t="s">
        <v>703</v>
      </c>
      <c r="H133" s="99" t="s">
        <v>590</v>
      </c>
      <c r="I133" s="99">
        <v>0</v>
      </c>
      <c r="J133" s="99">
        <v>1</v>
      </c>
    </row>
    <row r="134" spans="2:10" hidden="1" x14ac:dyDescent="0.25">
      <c r="B134" s="99" t="s">
        <v>953</v>
      </c>
      <c r="C134" s="99" t="s">
        <v>539</v>
      </c>
      <c r="D134" s="99" t="s">
        <v>703</v>
      </c>
      <c r="E134" s="99" t="s">
        <v>703</v>
      </c>
      <c r="F134" s="99" t="s">
        <v>703</v>
      </c>
      <c r="G134" s="99" t="s">
        <v>703</v>
      </c>
      <c r="H134" s="99" t="s">
        <v>590</v>
      </c>
      <c r="I134" s="99">
        <v>0</v>
      </c>
      <c r="J134" s="99">
        <v>0.85</v>
      </c>
    </row>
    <row r="135" spans="2:10" hidden="1" x14ac:dyDescent="0.25">
      <c r="B135" s="99" t="s">
        <v>953</v>
      </c>
      <c r="C135" s="99" t="s">
        <v>540</v>
      </c>
      <c r="D135" s="99" t="s">
        <v>703</v>
      </c>
      <c r="E135" s="99" t="s">
        <v>703</v>
      </c>
      <c r="F135" s="99" t="s">
        <v>703</v>
      </c>
      <c r="G135" s="99" t="s">
        <v>703</v>
      </c>
      <c r="H135" s="99" t="s">
        <v>590</v>
      </c>
      <c r="I135" s="99">
        <v>0</v>
      </c>
      <c r="J135" s="99">
        <v>0.85</v>
      </c>
    </row>
    <row r="136" spans="2:10" hidden="1" x14ac:dyDescent="0.25">
      <c r="B136" s="99" t="s">
        <v>953</v>
      </c>
      <c r="C136" s="99" t="s">
        <v>1225</v>
      </c>
      <c r="D136" s="99" t="s">
        <v>703</v>
      </c>
      <c r="E136" s="99" t="s">
        <v>703</v>
      </c>
      <c r="F136" s="99" t="s">
        <v>703</v>
      </c>
      <c r="G136" s="99" t="s">
        <v>703</v>
      </c>
      <c r="H136" s="99" t="s">
        <v>590</v>
      </c>
      <c r="I136" s="99">
        <v>0</v>
      </c>
      <c r="J136" s="99">
        <v>1</v>
      </c>
    </row>
    <row r="137" spans="2:10" hidden="1" x14ac:dyDescent="0.25">
      <c r="B137" s="99" t="s">
        <v>953</v>
      </c>
      <c r="C137" s="99" t="s">
        <v>1223</v>
      </c>
      <c r="D137" s="99" t="s">
        <v>703</v>
      </c>
      <c r="E137" s="99" t="s">
        <v>703</v>
      </c>
      <c r="F137" s="99" t="s">
        <v>703</v>
      </c>
      <c r="G137" s="99" t="s">
        <v>703</v>
      </c>
      <c r="H137" s="99" t="s">
        <v>590</v>
      </c>
      <c r="I137" s="99">
        <v>0</v>
      </c>
      <c r="J137" s="99">
        <v>1</v>
      </c>
    </row>
    <row r="138" spans="2:10" hidden="1" x14ac:dyDescent="0.25">
      <c r="B138" s="99" t="s">
        <v>953</v>
      </c>
      <c r="C138" s="99" t="s">
        <v>1220</v>
      </c>
      <c r="D138" s="99" t="s">
        <v>703</v>
      </c>
      <c r="E138" s="99" t="s">
        <v>703</v>
      </c>
      <c r="F138" s="99" t="s">
        <v>703</v>
      </c>
      <c r="G138" s="99" t="s">
        <v>703</v>
      </c>
      <c r="H138" s="99" t="s">
        <v>590</v>
      </c>
      <c r="I138" s="99">
        <v>0</v>
      </c>
      <c r="J138" s="99">
        <v>1</v>
      </c>
    </row>
    <row r="139" spans="2:10" hidden="1" x14ac:dyDescent="0.25">
      <c r="B139" s="99" t="s">
        <v>953</v>
      </c>
      <c r="C139" s="99" t="s">
        <v>1218</v>
      </c>
      <c r="D139" s="99" t="s">
        <v>703</v>
      </c>
      <c r="E139" s="99" t="s">
        <v>703</v>
      </c>
      <c r="F139" s="99" t="s">
        <v>703</v>
      </c>
      <c r="G139" s="99" t="s">
        <v>703</v>
      </c>
      <c r="H139" s="99" t="s">
        <v>590</v>
      </c>
      <c r="I139" s="99">
        <v>0</v>
      </c>
      <c r="J139" s="99">
        <v>1</v>
      </c>
    </row>
    <row r="140" spans="2:10" hidden="1" x14ac:dyDescent="0.25">
      <c r="B140" s="99" t="s">
        <v>953</v>
      </c>
      <c r="C140" s="99" t="s">
        <v>541</v>
      </c>
      <c r="D140" s="99" t="s">
        <v>703</v>
      </c>
      <c r="E140" s="99" t="s">
        <v>703</v>
      </c>
      <c r="F140" s="99" t="s">
        <v>703</v>
      </c>
      <c r="G140" s="99" t="s">
        <v>703</v>
      </c>
      <c r="H140" s="99" t="s">
        <v>590</v>
      </c>
      <c r="I140" s="99">
        <v>0</v>
      </c>
      <c r="J140" s="99">
        <v>0.85</v>
      </c>
    </row>
    <row r="141" spans="2:10" hidden="1" x14ac:dyDescent="0.25">
      <c r="B141" s="99" t="s">
        <v>953</v>
      </c>
      <c r="C141" s="99" t="s">
        <v>1215</v>
      </c>
      <c r="D141" s="99" t="s">
        <v>703</v>
      </c>
      <c r="E141" s="99" t="s">
        <v>703</v>
      </c>
      <c r="F141" s="99" t="s">
        <v>703</v>
      </c>
      <c r="G141" s="99" t="s">
        <v>703</v>
      </c>
      <c r="H141" s="99" t="s">
        <v>590</v>
      </c>
      <c r="I141" s="99">
        <v>0</v>
      </c>
      <c r="J141" s="99">
        <v>1</v>
      </c>
    </row>
    <row r="142" spans="2:10" hidden="1" x14ac:dyDescent="0.25">
      <c r="B142" s="99" t="s">
        <v>953</v>
      </c>
      <c r="C142" s="99" t="s">
        <v>1209</v>
      </c>
      <c r="D142" s="99" t="s">
        <v>703</v>
      </c>
      <c r="E142" s="99" t="s">
        <v>703</v>
      </c>
      <c r="F142" s="99" t="s">
        <v>703</v>
      </c>
      <c r="G142" s="99" t="s">
        <v>703</v>
      </c>
      <c r="H142" s="99" t="s">
        <v>590</v>
      </c>
      <c r="I142" s="99">
        <v>0</v>
      </c>
      <c r="J142" s="99">
        <v>1</v>
      </c>
    </row>
    <row r="143" spans="2:10" hidden="1" x14ac:dyDescent="0.25">
      <c r="B143" s="99" t="s">
        <v>953</v>
      </c>
      <c r="C143" s="99" t="s">
        <v>1207</v>
      </c>
      <c r="D143" s="99" t="s">
        <v>703</v>
      </c>
      <c r="E143" s="99" t="s">
        <v>703</v>
      </c>
      <c r="F143" s="99" t="s">
        <v>703</v>
      </c>
      <c r="G143" s="99" t="s">
        <v>703</v>
      </c>
      <c r="H143" s="99" t="s">
        <v>590</v>
      </c>
      <c r="I143" s="99">
        <v>0</v>
      </c>
      <c r="J143" s="99">
        <v>1</v>
      </c>
    </row>
    <row r="144" spans="2:10" hidden="1" x14ac:dyDescent="0.25">
      <c r="B144" s="99" t="s">
        <v>953</v>
      </c>
      <c r="C144" s="99" t="s">
        <v>1205</v>
      </c>
      <c r="D144" s="99" t="s">
        <v>703</v>
      </c>
      <c r="E144" s="99" t="s">
        <v>703</v>
      </c>
      <c r="F144" s="99" t="s">
        <v>703</v>
      </c>
      <c r="G144" s="99" t="s">
        <v>703</v>
      </c>
      <c r="H144" s="99" t="s">
        <v>590</v>
      </c>
      <c r="I144" s="99">
        <v>0</v>
      </c>
      <c r="J144" s="99">
        <v>1</v>
      </c>
    </row>
    <row r="145" spans="2:10" hidden="1" x14ac:dyDescent="0.25">
      <c r="B145" s="99" t="s">
        <v>953</v>
      </c>
      <c r="C145" s="99" t="s">
        <v>1201</v>
      </c>
      <c r="D145" s="99" t="s">
        <v>703</v>
      </c>
      <c r="E145" s="99" t="s">
        <v>703</v>
      </c>
      <c r="F145" s="99" t="s">
        <v>703</v>
      </c>
      <c r="G145" s="99" t="s">
        <v>703</v>
      </c>
      <c r="H145" s="99" t="s">
        <v>590</v>
      </c>
      <c r="I145" s="99">
        <v>0</v>
      </c>
      <c r="J145" s="99">
        <v>1</v>
      </c>
    </row>
    <row r="146" spans="2:10" hidden="1" x14ac:dyDescent="0.25">
      <c r="B146" s="99" t="s">
        <v>1391</v>
      </c>
      <c r="C146" s="99" t="s">
        <v>169</v>
      </c>
      <c r="D146" s="99" t="s">
        <v>703</v>
      </c>
      <c r="E146" s="99" t="s">
        <v>703</v>
      </c>
      <c r="F146" s="99" t="s">
        <v>703</v>
      </c>
      <c r="G146" s="99" t="s">
        <v>703</v>
      </c>
      <c r="H146" s="99" t="s">
        <v>1044</v>
      </c>
      <c r="I146" s="99">
        <v>3</v>
      </c>
      <c r="J146" s="99">
        <v>0</v>
      </c>
    </row>
    <row r="147" spans="2:10" hidden="1" x14ac:dyDescent="0.25">
      <c r="B147" s="99" t="s">
        <v>1391</v>
      </c>
      <c r="C147" s="99" t="s">
        <v>171</v>
      </c>
      <c r="D147" s="99" t="s">
        <v>703</v>
      </c>
      <c r="E147" s="99" t="s">
        <v>703</v>
      </c>
      <c r="F147" s="99" t="s">
        <v>703</v>
      </c>
      <c r="G147" s="99" t="s">
        <v>703</v>
      </c>
      <c r="H147" s="99" t="s">
        <v>1044</v>
      </c>
      <c r="I147" s="99">
        <v>3</v>
      </c>
      <c r="J147" s="99">
        <v>0</v>
      </c>
    </row>
    <row r="148" spans="2:10" hidden="1" x14ac:dyDescent="0.25">
      <c r="B148" s="99" t="s">
        <v>1391</v>
      </c>
      <c r="C148" s="99" t="s">
        <v>174</v>
      </c>
      <c r="D148" s="99" t="s">
        <v>703</v>
      </c>
      <c r="E148" s="99" t="s">
        <v>703</v>
      </c>
      <c r="F148" s="99" t="s">
        <v>703</v>
      </c>
      <c r="G148" s="99" t="s">
        <v>703</v>
      </c>
      <c r="H148" s="99" t="s">
        <v>1044</v>
      </c>
      <c r="I148" s="99">
        <v>3</v>
      </c>
      <c r="J148" s="99">
        <v>0</v>
      </c>
    </row>
    <row r="149" spans="2:10" hidden="1" x14ac:dyDescent="0.25">
      <c r="B149" s="99" t="s">
        <v>1391</v>
      </c>
      <c r="C149" s="99" t="s">
        <v>178</v>
      </c>
      <c r="D149" s="99" t="s">
        <v>703</v>
      </c>
      <c r="E149" s="99" t="s">
        <v>703</v>
      </c>
      <c r="F149" s="99" t="s">
        <v>703</v>
      </c>
      <c r="G149" s="99" t="s">
        <v>703</v>
      </c>
      <c r="H149" s="99" t="s">
        <v>1044</v>
      </c>
      <c r="I149" s="99">
        <v>3</v>
      </c>
      <c r="J149" s="99">
        <v>0</v>
      </c>
    </row>
    <row r="150" spans="2:10" hidden="1" x14ac:dyDescent="0.25">
      <c r="B150" s="99" t="s">
        <v>1391</v>
      </c>
      <c r="C150" s="99" t="s">
        <v>180</v>
      </c>
      <c r="D150" s="99" t="s">
        <v>703</v>
      </c>
      <c r="E150" s="99" t="s">
        <v>703</v>
      </c>
      <c r="F150" s="99" t="s">
        <v>703</v>
      </c>
      <c r="G150" s="99" t="s">
        <v>703</v>
      </c>
      <c r="H150" s="99" t="s">
        <v>1044</v>
      </c>
      <c r="I150" s="99">
        <v>3</v>
      </c>
      <c r="J150" s="99">
        <v>0</v>
      </c>
    </row>
    <row r="151" spans="2:10" hidden="1" x14ac:dyDescent="0.25">
      <c r="B151" s="99" t="s">
        <v>1030</v>
      </c>
      <c r="C151" s="99" t="s">
        <v>1245</v>
      </c>
      <c r="D151" s="99" t="s">
        <v>703</v>
      </c>
      <c r="E151" s="99" t="s">
        <v>703</v>
      </c>
      <c r="F151" s="99" t="s">
        <v>703</v>
      </c>
      <c r="G151" s="99" t="s">
        <v>703</v>
      </c>
      <c r="H151" s="99" t="s">
        <v>703</v>
      </c>
      <c r="I151" s="99">
        <v>0</v>
      </c>
      <c r="J151" s="545">
        <f>'Iron &amp; Steel'!O112</f>
        <v>51.067002016435609</v>
      </c>
    </row>
    <row r="152" spans="2:10" hidden="1" x14ac:dyDescent="0.25">
      <c r="B152" s="99" t="s">
        <v>1030</v>
      </c>
      <c r="C152" s="99" t="s">
        <v>1243</v>
      </c>
      <c r="D152" s="99" t="s">
        <v>703</v>
      </c>
      <c r="E152" s="99" t="s">
        <v>703</v>
      </c>
      <c r="F152" s="99" t="s">
        <v>703</v>
      </c>
      <c r="G152" s="99" t="s">
        <v>703</v>
      </c>
      <c r="H152" s="99" t="s">
        <v>703</v>
      </c>
      <c r="I152" s="99">
        <v>0</v>
      </c>
      <c r="J152" s="545">
        <f>'Iron &amp; Steel'!O113</f>
        <v>517.21707170492482</v>
      </c>
    </row>
    <row r="153" spans="2:10" hidden="1" x14ac:dyDescent="0.25">
      <c r="B153" s="99" t="s">
        <v>1030</v>
      </c>
      <c r="C153" s="99" t="s">
        <v>538</v>
      </c>
      <c r="D153" s="99" t="s">
        <v>703</v>
      </c>
      <c r="E153" s="99" t="s">
        <v>703</v>
      </c>
      <c r="F153" s="99" t="s">
        <v>703</v>
      </c>
      <c r="G153" s="99" t="s">
        <v>703</v>
      </c>
      <c r="H153" s="99" t="s">
        <v>703</v>
      </c>
      <c r="I153" s="99">
        <v>0</v>
      </c>
      <c r="J153" s="545">
        <f>'Iron &amp; Steel'!O114</f>
        <v>2960.5767066451517</v>
      </c>
    </row>
    <row r="154" spans="2:10" hidden="1" x14ac:dyDescent="0.25">
      <c r="B154" s="99" t="s">
        <v>1030</v>
      </c>
      <c r="C154" s="99" t="s">
        <v>1239</v>
      </c>
      <c r="D154" s="99" t="s">
        <v>703</v>
      </c>
      <c r="E154" s="99" t="s">
        <v>703</v>
      </c>
      <c r="F154" s="99" t="s">
        <v>703</v>
      </c>
      <c r="G154" s="99" t="s">
        <v>703</v>
      </c>
      <c r="H154" s="99" t="s">
        <v>703</v>
      </c>
      <c r="I154" s="99">
        <v>0</v>
      </c>
      <c r="J154" s="545">
        <f>'Iron &amp; Steel'!O115</f>
        <v>23.569385546047204</v>
      </c>
    </row>
    <row r="155" spans="2:10" hidden="1" x14ac:dyDescent="0.25">
      <c r="B155" s="99" t="s">
        <v>1030</v>
      </c>
      <c r="C155" s="99" t="s">
        <v>1237</v>
      </c>
      <c r="D155" s="99" t="s">
        <v>703</v>
      </c>
      <c r="E155" s="99" t="s">
        <v>703</v>
      </c>
      <c r="F155" s="99" t="s">
        <v>703</v>
      </c>
      <c r="G155" s="99" t="s">
        <v>703</v>
      </c>
      <c r="H155" s="99" t="s">
        <v>703</v>
      </c>
      <c r="I155" s="99">
        <v>0</v>
      </c>
      <c r="J155" s="545">
        <f>'Iron &amp; Steel'!O116</f>
        <v>175.46098128724032</v>
      </c>
    </row>
    <row r="156" spans="2:10" hidden="1" x14ac:dyDescent="0.25">
      <c r="B156" s="99" t="s">
        <v>1030</v>
      </c>
      <c r="C156" s="99" t="s">
        <v>1232</v>
      </c>
      <c r="D156" s="99" t="s">
        <v>703</v>
      </c>
      <c r="E156" s="99" t="s">
        <v>703</v>
      </c>
      <c r="F156" s="99" t="s">
        <v>703</v>
      </c>
      <c r="G156" s="99" t="s">
        <v>703</v>
      </c>
      <c r="H156" s="99" t="s">
        <v>703</v>
      </c>
      <c r="I156" s="99">
        <v>0</v>
      </c>
      <c r="J156" s="545">
        <f>'Iron &amp; Steel'!O117</f>
        <v>40.591719551525742</v>
      </c>
    </row>
    <row r="157" spans="2:10" hidden="1" x14ac:dyDescent="0.25">
      <c r="B157" s="99" t="s">
        <v>1030</v>
      </c>
      <c r="C157" s="99" t="s">
        <v>1230</v>
      </c>
      <c r="D157" s="99" t="s">
        <v>703</v>
      </c>
      <c r="E157" s="99" t="s">
        <v>703</v>
      </c>
      <c r="F157" s="99" t="s">
        <v>703</v>
      </c>
      <c r="G157" s="99" t="s">
        <v>703</v>
      </c>
      <c r="H157" s="99" t="s">
        <v>703</v>
      </c>
      <c r="I157" s="99">
        <v>0</v>
      </c>
      <c r="J157" s="545">
        <f>'Iron &amp; Steel'!O118</f>
        <v>175.46098128724032</v>
      </c>
    </row>
    <row r="158" spans="2:10" hidden="1" x14ac:dyDescent="0.25">
      <c r="B158" s="99" t="s">
        <v>1030</v>
      </c>
      <c r="C158" s="99" t="s">
        <v>539</v>
      </c>
      <c r="D158" s="99" t="s">
        <v>703</v>
      </c>
      <c r="E158" s="99" t="s">
        <v>703</v>
      </c>
      <c r="F158" s="99" t="s">
        <v>703</v>
      </c>
      <c r="G158" s="99" t="s">
        <v>703</v>
      </c>
      <c r="H158" s="99" t="s">
        <v>703</v>
      </c>
      <c r="I158" s="99">
        <v>0</v>
      </c>
      <c r="J158" s="545">
        <f>'Iron &amp; Steel'!O119</f>
        <v>2951.4108344883557</v>
      </c>
    </row>
    <row r="159" spans="2:10" hidden="1" x14ac:dyDescent="0.25">
      <c r="B159" s="99" t="s">
        <v>1030</v>
      </c>
      <c r="C159" s="99" t="s">
        <v>540</v>
      </c>
      <c r="D159" s="99" t="s">
        <v>703</v>
      </c>
      <c r="E159" s="99" t="s">
        <v>703</v>
      </c>
      <c r="F159" s="99" t="s">
        <v>703</v>
      </c>
      <c r="G159" s="99" t="s">
        <v>703</v>
      </c>
      <c r="H159" s="99" t="s">
        <v>703</v>
      </c>
      <c r="I159" s="99">
        <v>0</v>
      </c>
      <c r="J159" s="545">
        <f>'Iron &amp; Steel'!O120</f>
        <v>2459.0725586375916</v>
      </c>
    </row>
    <row r="160" spans="2:10" hidden="1" x14ac:dyDescent="0.25">
      <c r="B160" s="99" t="s">
        <v>1030</v>
      </c>
      <c r="C160" s="99" t="s">
        <v>1225</v>
      </c>
      <c r="D160" s="99" t="s">
        <v>703</v>
      </c>
      <c r="E160" s="99" t="s">
        <v>703</v>
      </c>
      <c r="F160" s="99" t="s">
        <v>703</v>
      </c>
      <c r="G160" s="99" t="s">
        <v>703</v>
      </c>
      <c r="H160" s="99" t="s">
        <v>703</v>
      </c>
      <c r="I160" s="99">
        <v>0</v>
      </c>
      <c r="J160" s="545">
        <f>'Iron &amp; Steel'!O121</f>
        <v>23.569385546047204</v>
      </c>
    </row>
    <row r="161" spans="2:10" hidden="1" x14ac:dyDescent="0.25">
      <c r="B161" s="99" t="s">
        <v>1030</v>
      </c>
      <c r="C161" s="99" t="s">
        <v>1223</v>
      </c>
      <c r="D161" s="99" t="s">
        <v>703</v>
      </c>
      <c r="E161" s="99" t="s">
        <v>703</v>
      </c>
      <c r="F161" s="99" t="s">
        <v>703</v>
      </c>
      <c r="G161" s="99" t="s">
        <v>703</v>
      </c>
      <c r="H161" s="99" t="s">
        <v>703</v>
      </c>
      <c r="I161" s="99">
        <v>0</v>
      </c>
      <c r="J161" s="545">
        <f>'Iron &amp; Steel'!O122</f>
        <v>175.46098128724032</v>
      </c>
    </row>
    <row r="162" spans="2:10" hidden="1" x14ac:dyDescent="0.25">
      <c r="B162" s="99" t="s">
        <v>1030</v>
      </c>
      <c r="C162" s="99" t="s">
        <v>1220</v>
      </c>
      <c r="D162" s="99" t="s">
        <v>703</v>
      </c>
      <c r="E162" s="99" t="s">
        <v>703</v>
      </c>
      <c r="F162" s="99" t="s">
        <v>703</v>
      </c>
      <c r="G162" s="99" t="s">
        <v>703</v>
      </c>
      <c r="H162" s="99" t="s">
        <v>703</v>
      </c>
      <c r="I162" s="99">
        <v>0</v>
      </c>
      <c r="J162" s="545">
        <f>'Iron &amp; Steel'!O123</f>
        <v>23.569385546047204</v>
      </c>
    </row>
    <row r="163" spans="2:10" hidden="1" x14ac:dyDescent="0.25">
      <c r="B163" s="99" t="s">
        <v>1030</v>
      </c>
      <c r="C163" s="99" t="s">
        <v>1218</v>
      </c>
      <c r="D163" s="99" t="s">
        <v>703</v>
      </c>
      <c r="E163" s="99" t="s">
        <v>703</v>
      </c>
      <c r="F163" s="99" t="s">
        <v>703</v>
      </c>
      <c r="G163" s="99" t="s">
        <v>703</v>
      </c>
      <c r="H163" s="99" t="s">
        <v>703</v>
      </c>
      <c r="I163" s="99">
        <v>0</v>
      </c>
      <c r="J163" s="545">
        <f>'Iron &amp; Steel'!O124</f>
        <v>175.46098128724032</v>
      </c>
    </row>
    <row r="164" spans="2:10" hidden="1" x14ac:dyDescent="0.25">
      <c r="B164" s="99" t="s">
        <v>1030</v>
      </c>
      <c r="C164" s="99" t="s">
        <v>541</v>
      </c>
      <c r="D164" s="99" t="s">
        <v>703</v>
      </c>
      <c r="E164" s="99" t="s">
        <v>703</v>
      </c>
      <c r="F164" s="99" t="s">
        <v>703</v>
      </c>
      <c r="G164" s="99" t="s">
        <v>703</v>
      </c>
      <c r="H164" s="99" t="s">
        <v>703</v>
      </c>
      <c r="I164" s="99">
        <v>0</v>
      </c>
      <c r="J164" s="545">
        <f>'Iron &amp; Steel'!O125</f>
        <v>1812.2238664294073</v>
      </c>
    </row>
    <row r="165" spans="2:10" hidden="1" x14ac:dyDescent="0.25">
      <c r="B165" s="99" t="s">
        <v>1030</v>
      </c>
      <c r="C165" s="99" t="s">
        <v>1215</v>
      </c>
      <c r="D165" s="99" t="s">
        <v>703</v>
      </c>
      <c r="E165" s="99" t="s">
        <v>703</v>
      </c>
      <c r="F165" s="99" t="s">
        <v>703</v>
      </c>
      <c r="G165" s="99" t="s">
        <v>703</v>
      </c>
      <c r="H165" s="99" t="s">
        <v>703</v>
      </c>
      <c r="I165" s="99">
        <v>0</v>
      </c>
      <c r="J165" s="545">
        <f>'Iron &amp; Steel'!O126</f>
        <v>1E-4</v>
      </c>
    </row>
    <row r="166" spans="2:10" hidden="1" x14ac:dyDescent="0.25">
      <c r="B166" s="99" t="s">
        <v>1030</v>
      </c>
      <c r="C166" s="99" t="s">
        <v>1209</v>
      </c>
      <c r="D166" s="99" t="s">
        <v>703</v>
      </c>
      <c r="E166" s="99" t="s">
        <v>703</v>
      </c>
      <c r="F166" s="99" t="s">
        <v>703</v>
      </c>
      <c r="G166" s="99" t="s">
        <v>703</v>
      </c>
      <c r="H166" s="99" t="s">
        <v>703</v>
      </c>
      <c r="I166" s="99">
        <v>0</v>
      </c>
      <c r="J166" s="545">
        <f>'Iron &amp; Steel'!O127</f>
        <v>1E-4</v>
      </c>
    </row>
    <row r="167" spans="2:10" hidden="1" x14ac:dyDescent="0.25">
      <c r="B167" s="99" t="s">
        <v>1030</v>
      </c>
      <c r="C167" s="99" t="s">
        <v>1207</v>
      </c>
      <c r="D167" s="99" t="s">
        <v>703</v>
      </c>
      <c r="E167" s="99" t="s">
        <v>703</v>
      </c>
      <c r="F167" s="99" t="s">
        <v>703</v>
      </c>
      <c r="G167" s="99" t="s">
        <v>703</v>
      </c>
      <c r="H167" s="99" t="s">
        <v>703</v>
      </c>
      <c r="I167" s="99">
        <v>0</v>
      </c>
      <c r="J167" s="545">
        <f>'Iron &amp; Steel'!O128</f>
        <v>1E-4</v>
      </c>
    </row>
    <row r="168" spans="2:10" hidden="1" x14ac:dyDescent="0.25">
      <c r="B168" s="99" t="s">
        <v>1030</v>
      </c>
      <c r="C168" s="99" t="s">
        <v>1205</v>
      </c>
      <c r="D168" s="99" t="s">
        <v>703</v>
      </c>
      <c r="E168" s="99" t="s">
        <v>703</v>
      </c>
      <c r="F168" s="99" t="s">
        <v>703</v>
      </c>
      <c r="G168" s="99" t="s">
        <v>703</v>
      </c>
      <c r="H168" s="99" t="s">
        <v>703</v>
      </c>
      <c r="I168" s="99">
        <v>0</v>
      </c>
      <c r="J168" s="545">
        <f>'Iron &amp; Steel'!O129</f>
        <v>1E-4</v>
      </c>
    </row>
    <row r="169" spans="2:10" hidden="1" x14ac:dyDescent="0.25">
      <c r="B169" s="99" t="s">
        <v>1030</v>
      </c>
      <c r="C169" s="99" t="s">
        <v>1201</v>
      </c>
      <c r="D169" s="99" t="s">
        <v>703</v>
      </c>
      <c r="E169" s="99" t="s">
        <v>703</v>
      </c>
      <c r="F169" s="99" t="s">
        <v>703</v>
      </c>
      <c r="G169" s="99" t="s">
        <v>703</v>
      </c>
      <c r="H169" s="99" t="s">
        <v>703</v>
      </c>
      <c r="I169" s="99">
        <v>0</v>
      </c>
      <c r="J169" s="545">
        <f>'Iron &amp; Steel'!O130</f>
        <v>1E-4</v>
      </c>
    </row>
    <row r="170" spans="2:10" hidden="1" x14ac:dyDescent="0.25">
      <c r="B170" s="99" t="s">
        <v>1029</v>
      </c>
      <c r="C170" s="99" t="s">
        <v>539</v>
      </c>
      <c r="D170" s="99" t="s">
        <v>703</v>
      </c>
      <c r="E170" s="99" t="s">
        <v>703</v>
      </c>
      <c r="F170" s="99" t="s">
        <v>703</v>
      </c>
      <c r="G170" s="99" t="s">
        <v>703</v>
      </c>
      <c r="H170" s="99" t="s">
        <v>703</v>
      </c>
      <c r="I170" s="99">
        <v>0</v>
      </c>
      <c r="J170" s="99">
        <v>5</v>
      </c>
    </row>
    <row r="171" spans="2:10" hidden="1" x14ac:dyDescent="0.25">
      <c r="B171" s="99" t="s">
        <v>1028</v>
      </c>
      <c r="C171" s="99" t="s">
        <v>169</v>
      </c>
      <c r="D171" s="99" t="s">
        <v>703</v>
      </c>
      <c r="E171" s="99" t="s">
        <v>703</v>
      </c>
      <c r="F171" s="99" t="s">
        <v>703</v>
      </c>
      <c r="G171" s="99" t="s">
        <v>703</v>
      </c>
      <c r="H171" s="99" t="s">
        <v>703</v>
      </c>
      <c r="I171" s="99">
        <v>0</v>
      </c>
      <c r="J171" s="99">
        <v>25</v>
      </c>
    </row>
    <row r="172" spans="2:10" hidden="1" x14ac:dyDescent="0.25">
      <c r="B172" s="99" t="s">
        <v>1028</v>
      </c>
      <c r="C172" s="99" t="s">
        <v>1245</v>
      </c>
      <c r="D172" s="99" t="s">
        <v>703</v>
      </c>
      <c r="E172" s="99" t="s">
        <v>703</v>
      </c>
      <c r="F172" s="99" t="s">
        <v>703</v>
      </c>
      <c r="G172" s="99" t="s">
        <v>703</v>
      </c>
      <c r="H172" s="99" t="s">
        <v>703</v>
      </c>
      <c r="I172" s="99">
        <v>0</v>
      </c>
      <c r="J172" s="99">
        <v>100</v>
      </c>
    </row>
    <row r="173" spans="2:10" hidden="1" x14ac:dyDescent="0.25">
      <c r="B173" s="99" t="s">
        <v>1028</v>
      </c>
      <c r="C173" s="99" t="s">
        <v>1243</v>
      </c>
      <c r="D173" s="99" t="s">
        <v>703</v>
      </c>
      <c r="E173" s="99" t="s">
        <v>703</v>
      </c>
      <c r="F173" s="99" t="s">
        <v>703</v>
      </c>
      <c r="G173" s="99" t="s">
        <v>703</v>
      </c>
      <c r="H173" s="99" t="s">
        <v>703</v>
      </c>
      <c r="I173" s="99">
        <v>0</v>
      </c>
      <c r="J173" s="99">
        <v>100</v>
      </c>
    </row>
    <row r="174" spans="2:10" hidden="1" x14ac:dyDescent="0.25">
      <c r="B174" s="99" t="s">
        <v>1028</v>
      </c>
      <c r="C174" s="99" t="s">
        <v>538</v>
      </c>
      <c r="D174" s="99" t="s">
        <v>703</v>
      </c>
      <c r="E174" s="99" t="s">
        <v>703</v>
      </c>
      <c r="F174" s="99" t="s">
        <v>703</v>
      </c>
      <c r="G174" s="99" t="s">
        <v>703</v>
      </c>
      <c r="H174" s="99" t="s">
        <v>703</v>
      </c>
      <c r="I174" s="99">
        <v>0</v>
      </c>
      <c r="J174" s="99">
        <v>25</v>
      </c>
    </row>
    <row r="175" spans="2:10" hidden="1" x14ac:dyDescent="0.25">
      <c r="B175" s="99" t="s">
        <v>1028</v>
      </c>
      <c r="C175" s="99" t="s">
        <v>171</v>
      </c>
      <c r="D175" s="99" t="s">
        <v>703</v>
      </c>
      <c r="E175" s="99" t="s">
        <v>703</v>
      </c>
      <c r="F175" s="99" t="s">
        <v>703</v>
      </c>
      <c r="G175" s="99" t="s">
        <v>703</v>
      </c>
      <c r="H175" s="99" t="s">
        <v>703</v>
      </c>
      <c r="I175" s="99">
        <v>0</v>
      </c>
      <c r="J175" s="99">
        <v>25</v>
      </c>
    </row>
    <row r="176" spans="2:10" hidden="1" x14ac:dyDescent="0.25">
      <c r="B176" s="99" t="s">
        <v>1028</v>
      </c>
      <c r="C176" s="99" t="s">
        <v>1239</v>
      </c>
      <c r="D176" s="99" t="s">
        <v>703</v>
      </c>
      <c r="E176" s="99" t="s">
        <v>703</v>
      </c>
      <c r="F176" s="99" t="s">
        <v>703</v>
      </c>
      <c r="G176" s="99" t="s">
        <v>703</v>
      </c>
      <c r="H176" s="99" t="s">
        <v>703</v>
      </c>
      <c r="I176" s="99">
        <v>0</v>
      </c>
      <c r="J176" s="99">
        <v>100</v>
      </c>
    </row>
    <row r="177" spans="2:10" hidden="1" x14ac:dyDescent="0.25">
      <c r="B177" s="99" t="s">
        <v>1028</v>
      </c>
      <c r="C177" s="99" t="s">
        <v>1237</v>
      </c>
      <c r="D177" s="99" t="s">
        <v>703</v>
      </c>
      <c r="E177" s="99" t="s">
        <v>703</v>
      </c>
      <c r="F177" s="99" t="s">
        <v>703</v>
      </c>
      <c r="G177" s="99" t="s">
        <v>703</v>
      </c>
      <c r="H177" s="99" t="s">
        <v>703</v>
      </c>
      <c r="I177" s="99">
        <v>0</v>
      </c>
      <c r="J177" s="99">
        <v>100</v>
      </c>
    </row>
    <row r="178" spans="2:10" hidden="1" x14ac:dyDescent="0.25">
      <c r="B178" s="99" t="s">
        <v>1028</v>
      </c>
      <c r="C178" s="99" t="s">
        <v>174</v>
      </c>
      <c r="D178" s="99" t="s">
        <v>703</v>
      </c>
      <c r="E178" s="99" t="s">
        <v>703</v>
      </c>
      <c r="F178" s="99" t="s">
        <v>703</v>
      </c>
      <c r="G178" s="99" t="s">
        <v>703</v>
      </c>
      <c r="H178" s="99" t="s">
        <v>703</v>
      </c>
      <c r="I178" s="99">
        <v>0</v>
      </c>
      <c r="J178" s="99">
        <v>25</v>
      </c>
    </row>
    <row r="179" spans="2:10" hidden="1" x14ac:dyDescent="0.25">
      <c r="B179" s="99" t="s">
        <v>1028</v>
      </c>
      <c r="C179" s="99" t="s">
        <v>1232</v>
      </c>
      <c r="D179" s="99" t="s">
        <v>703</v>
      </c>
      <c r="E179" s="99" t="s">
        <v>703</v>
      </c>
      <c r="F179" s="99" t="s">
        <v>703</v>
      </c>
      <c r="G179" s="99" t="s">
        <v>703</v>
      </c>
      <c r="H179" s="99" t="s">
        <v>703</v>
      </c>
      <c r="I179" s="99">
        <v>0</v>
      </c>
      <c r="J179" s="99">
        <v>100</v>
      </c>
    </row>
    <row r="180" spans="2:10" hidden="1" x14ac:dyDescent="0.25">
      <c r="B180" s="99" t="s">
        <v>1028</v>
      </c>
      <c r="C180" s="99" t="s">
        <v>1230</v>
      </c>
      <c r="D180" s="99" t="s">
        <v>703</v>
      </c>
      <c r="E180" s="99" t="s">
        <v>703</v>
      </c>
      <c r="F180" s="99" t="s">
        <v>703</v>
      </c>
      <c r="G180" s="99" t="s">
        <v>703</v>
      </c>
      <c r="H180" s="99" t="s">
        <v>703</v>
      </c>
      <c r="I180" s="99">
        <v>0</v>
      </c>
      <c r="J180" s="99">
        <v>100</v>
      </c>
    </row>
    <row r="181" spans="2:10" hidden="1" x14ac:dyDescent="0.25">
      <c r="B181" s="99" t="s">
        <v>1028</v>
      </c>
      <c r="C181" s="99" t="s">
        <v>539</v>
      </c>
      <c r="D181" s="99" t="s">
        <v>703</v>
      </c>
      <c r="E181" s="99" t="s">
        <v>703</v>
      </c>
      <c r="F181" s="99" t="s">
        <v>703</v>
      </c>
      <c r="G181" s="99" t="s">
        <v>703</v>
      </c>
      <c r="H181" s="99" t="s">
        <v>703</v>
      </c>
      <c r="I181" s="99">
        <v>0</v>
      </c>
      <c r="J181" s="99">
        <v>25</v>
      </c>
    </row>
    <row r="182" spans="2:10" hidden="1" x14ac:dyDescent="0.25">
      <c r="B182" s="99" t="s">
        <v>1028</v>
      </c>
      <c r="C182" s="99" t="s">
        <v>540</v>
      </c>
      <c r="D182" s="99" t="s">
        <v>703</v>
      </c>
      <c r="E182" s="99" t="s">
        <v>703</v>
      </c>
      <c r="F182" s="99" t="s">
        <v>703</v>
      </c>
      <c r="G182" s="99" t="s">
        <v>703</v>
      </c>
      <c r="H182" s="99" t="s">
        <v>703</v>
      </c>
      <c r="I182" s="99">
        <v>0</v>
      </c>
      <c r="J182" s="99">
        <v>25</v>
      </c>
    </row>
    <row r="183" spans="2:10" hidden="1" x14ac:dyDescent="0.25">
      <c r="B183" s="99" t="s">
        <v>1028</v>
      </c>
      <c r="C183" s="99" t="s">
        <v>178</v>
      </c>
      <c r="D183" s="99" t="s">
        <v>703</v>
      </c>
      <c r="E183" s="99" t="s">
        <v>703</v>
      </c>
      <c r="F183" s="99" t="s">
        <v>703</v>
      </c>
      <c r="G183" s="99" t="s">
        <v>703</v>
      </c>
      <c r="H183" s="99" t="s">
        <v>703</v>
      </c>
      <c r="I183" s="99">
        <v>0</v>
      </c>
      <c r="J183" s="99">
        <v>25</v>
      </c>
    </row>
    <row r="184" spans="2:10" hidden="1" x14ac:dyDescent="0.25">
      <c r="B184" s="99" t="s">
        <v>1028</v>
      </c>
      <c r="C184" s="99" t="s">
        <v>1225</v>
      </c>
      <c r="D184" s="99" t="s">
        <v>703</v>
      </c>
      <c r="E184" s="99" t="s">
        <v>703</v>
      </c>
      <c r="F184" s="99" t="s">
        <v>703</v>
      </c>
      <c r="G184" s="99" t="s">
        <v>703</v>
      </c>
      <c r="H184" s="99" t="s">
        <v>703</v>
      </c>
      <c r="I184" s="99">
        <v>0</v>
      </c>
      <c r="J184" s="99">
        <v>100</v>
      </c>
    </row>
    <row r="185" spans="2:10" hidden="1" x14ac:dyDescent="0.25">
      <c r="B185" s="99" t="s">
        <v>1028</v>
      </c>
      <c r="C185" s="99" t="s">
        <v>1223</v>
      </c>
      <c r="D185" s="99" t="s">
        <v>703</v>
      </c>
      <c r="E185" s="99" t="s">
        <v>703</v>
      </c>
      <c r="F185" s="99" t="s">
        <v>703</v>
      </c>
      <c r="G185" s="99" t="s">
        <v>703</v>
      </c>
      <c r="H185" s="99" t="s">
        <v>703</v>
      </c>
      <c r="I185" s="99">
        <v>0</v>
      </c>
      <c r="J185" s="99">
        <v>100</v>
      </c>
    </row>
    <row r="186" spans="2:10" hidden="1" x14ac:dyDescent="0.25">
      <c r="B186" s="99" t="s">
        <v>1028</v>
      </c>
      <c r="C186" s="99" t="s">
        <v>180</v>
      </c>
      <c r="D186" s="99" t="s">
        <v>703</v>
      </c>
      <c r="E186" s="99" t="s">
        <v>703</v>
      </c>
      <c r="F186" s="99" t="s">
        <v>703</v>
      </c>
      <c r="G186" s="99" t="s">
        <v>703</v>
      </c>
      <c r="H186" s="99" t="s">
        <v>703</v>
      </c>
      <c r="I186" s="99">
        <v>0</v>
      </c>
      <c r="J186" s="99">
        <v>25</v>
      </c>
    </row>
    <row r="187" spans="2:10" hidden="1" x14ac:dyDescent="0.25">
      <c r="B187" s="99" t="s">
        <v>1028</v>
      </c>
      <c r="C187" s="99" t="s">
        <v>1220</v>
      </c>
      <c r="D187" s="99" t="s">
        <v>703</v>
      </c>
      <c r="E187" s="99" t="s">
        <v>703</v>
      </c>
      <c r="F187" s="99" t="s">
        <v>703</v>
      </c>
      <c r="G187" s="99" t="s">
        <v>703</v>
      </c>
      <c r="H187" s="99" t="s">
        <v>703</v>
      </c>
      <c r="I187" s="99">
        <v>0</v>
      </c>
      <c r="J187" s="99">
        <v>100</v>
      </c>
    </row>
    <row r="188" spans="2:10" hidden="1" x14ac:dyDescent="0.25">
      <c r="B188" s="99" t="s">
        <v>1028</v>
      </c>
      <c r="C188" s="99" t="s">
        <v>1218</v>
      </c>
      <c r="D188" s="99" t="s">
        <v>703</v>
      </c>
      <c r="E188" s="99" t="s">
        <v>703</v>
      </c>
      <c r="F188" s="99" t="s">
        <v>703</v>
      </c>
      <c r="G188" s="99" t="s">
        <v>703</v>
      </c>
      <c r="H188" s="99" t="s">
        <v>703</v>
      </c>
      <c r="I188" s="99">
        <v>0</v>
      </c>
      <c r="J188" s="99">
        <v>100</v>
      </c>
    </row>
    <row r="189" spans="2:10" hidden="1" x14ac:dyDescent="0.25">
      <c r="B189" s="99" t="s">
        <v>1028</v>
      </c>
      <c r="C189" s="99" t="s">
        <v>541</v>
      </c>
      <c r="D189" s="99" t="s">
        <v>703</v>
      </c>
      <c r="E189" s="99" t="s">
        <v>703</v>
      </c>
      <c r="F189" s="99" t="s">
        <v>703</v>
      </c>
      <c r="G189" s="99" t="s">
        <v>703</v>
      </c>
      <c r="H189" s="99" t="s">
        <v>703</v>
      </c>
      <c r="I189" s="99">
        <v>0</v>
      </c>
      <c r="J189" s="99">
        <v>25</v>
      </c>
    </row>
    <row r="190" spans="2:10" hidden="1" x14ac:dyDescent="0.25">
      <c r="B190" s="99" t="s">
        <v>1028</v>
      </c>
      <c r="C190" s="99" t="s">
        <v>1215</v>
      </c>
      <c r="D190" s="99" t="s">
        <v>703</v>
      </c>
      <c r="E190" s="99" t="s">
        <v>703</v>
      </c>
      <c r="F190" s="99" t="s">
        <v>703</v>
      </c>
      <c r="G190" s="99" t="s">
        <v>703</v>
      </c>
      <c r="H190" s="99" t="s">
        <v>703</v>
      </c>
      <c r="I190" s="99">
        <v>0</v>
      </c>
      <c r="J190" s="99">
        <v>60</v>
      </c>
    </row>
    <row r="191" spans="2:10" hidden="1" x14ac:dyDescent="0.25">
      <c r="B191" s="99" t="s">
        <v>1028</v>
      </c>
      <c r="C191" s="99" t="s">
        <v>1209</v>
      </c>
      <c r="D191" s="99" t="s">
        <v>703</v>
      </c>
      <c r="E191" s="99" t="s">
        <v>703</v>
      </c>
      <c r="F191" s="99" t="s">
        <v>703</v>
      </c>
      <c r="G191" s="99" t="s">
        <v>703</v>
      </c>
      <c r="H191" s="99" t="s">
        <v>703</v>
      </c>
      <c r="I191" s="99">
        <v>0</v>
      </c>
      <c r="J191" s="99">
        <v>60</v>
      </c>
    </row>
    <row r="192" spans="2:10" hidden="1" x14ac:dyDescent="0.25">
      <c r="B192" s="99" t="s">
        <v>1028</v>
      </c>
      <c r="C192" s="99" t="s">
        <v>1207</v>
      </c>
      <c r="D192" s="99" t="s">
        <v>703</v>
      </c>
      <c r="E192" s="99" t="s">
        <v>703</v>
      </c>
      <c r="F192" s="99" t="s">
        <v>703</v>
      </c>
      <c r="G192" s="99" t="s">
        <v>703</v>
      </c>
      <c r="H192" s="99" t="s">
        <v>703</v>
      </c>
      <c r="I192" s="99">
        <v>0</v>
      </c>
      <c r="J192" s="99">
        <v>60</v>
      </c>
    </row>
    <row r="193" spans="2:10" hidden="1" x14ac:dyDescent="0.25">
      <c r="B193" s="99" t="s">
        <v>1028</v>
      </c>
      <c r="C193" s="99" t="s">
        <v>1205</v>
      </c>
      <c r="D193" s="99" t="s">
        <v>703</v>
      </c>
      <c r="E193" s="99" t="s">
        <v>703</v>
      </c>
      <c r="F193" s="99" t="s">
        <v>703</v>
      </c>
      <c r="G193" s="99" t="s">
        <v>703</v>
      </c>
      <c r="H193" s="99" t="s">
        <v>703</v>
      </c>
      <c r="I193" s="99">
        <v>0</v>
      </c>
      <c r="J193" s="99">
        <v>60</v>
      </c>
    </row>
    <row r="194" spans="2:10" hidden="1" x14ac:dyDescent="0.25">
      <c r="B194" s="99" t="s">
        <v>1028</v>
      </c>
      <c r="C194" s="99" t="s">
        <v>1201</v>
      </c>
      <c r="D194" s="99" t="s">
        <v>703</v>
      </c>
      <c r="E194" s="99" t="s">
        <v>703</v>
      </c>
      <c r="F194" s="99" t="s">
        <v>703</v>
      </c>
      <c r="G194" s="99" t="s">
        <v>703</v>
      </c>
      <c r="H194" s="99" t="s">
        <v>703</v>
      </c>
      <c r="I194" s="99">
        <v>0</v>
      </c>
      <c r="J194" s="99">
        <v>60</v>
      </c>
    </row>
    <row r="195" spans="2:10" hidden="1" x14ac:dyDescent="0.25">
      <c r="B195" s="99" t="s">
        <v>902</v>
      </c>
      <c r="C195" s="99" t="s">
        <v>169</v>
      </c>
      <c r="D195" s="99" t="s">
        <v>703</v>
      </c>
      <c r="E195" s="99" t="s">
        <v>40</v>
      </c>
      <c r="F195" s="99" t="s">
        <v>703</v>
      </c>
      <c r="G195" s="99" t="s">
        <v>703</v>
      </c>
      <c r="H195" s="99" t="s">
        <v>703</v>
      </c>
      <c r="I195" s="99">
        <v>0</v>
      </c>
      <c r="J195" s="99">
        <v>0.1</v>
      </c>
    </row>
    <row r="196" spans="2:10" hidden="1" x14ac:dyDescent="0.25">
      <c r="B196" s="99" t="s">
        <v>902</v>
      </c>
      <c r="C196" s="99" t="s">
        <v>1245</v>
      </c>
      <c r="D196" s="99" t="s">
        <v>703</v>
      </c>
      <c r="E196" s="99" t="s">
        <v>40</v>
      </c>
      <c r="F196" s="99" t="s">
        <v>703</v>
      </c>
      <c r="G196" s="99" t="s">
        <v>703</v>
      </c>
      <c r="H196" s="99" t="s">
        <v>703</v>
      </c>
      <c r="I196" s="99">
        <v>0</v>
      </c>
      <c r="J196" s="99">
        <v>0.1</v>
      </c>
    </row>
    <row r="197" spans="2:10" hidden="1" x14ac:dyDescent="0.25">
      <c r="B197" s="99" t="s">
        <v>902</v>
      </c>
      <c r="C197" s="99" t="s">
        <v>1243</v>
      </c>
      <c r="D197" s="99" t="s">
        <v>703</v>
      </c>
      <c r="E197" s="99" t="s">
        <v>40</v>
      </c>
      <c r="F197" s="99" t="s">
        <v>703</v>
      </c>
      <c r="G197" s="99" t="s">
        <v>703</v>
      </c>
      <c r="H197" s="99" t="s">
        <v>703</v>
      </c>
      <c r="I197" s="99">
        <v>0</v>
      </c>
      <c r="J197" s="99">
        <v>0.1</v>
      </c>
    </row>
    <row r="198" spans="2:10" hidden="1" x14ac:dyDescent="0.25">
      <c r="B198" s="99" t="s">
        <v>902</v>
      </c>
      <c r="C198" s="99" t="s">
        <v>538</v>
      </c>
      <c r="D198" s="99" t="s">
        <v>703</v>
      </c>
      <c r="E198" s="99" t="s">
        <v>40</v>
      </c>
      <c r="F198" s="99" t="s">
        <v>703</v>
      </c>
      <c r="G198" s="99" t="s">
        <v>703</v>
      </c>
      <c r="H198" s="99" t="s">
        <v>703</v>
      </c>
      <c r="I198" s="99">
        <v>0</v>
      </c>
      <c r="J198" s="99">
        <v>0.1</v>
      </c>
    </row>
    <row r="199" spans="2:10" hidden="1" x14ac:dyDescent="0.25">
      <c r="B199" s="99" t="s">
        <v>902</v>
      </c>
      <c r="C199" s="99" t="s">
        <v>171</v>
      </c>
      <c r="D199" s="99" t="s">
        <v>703</v>
      </c>
      <c r="E199" s="99" t="s">
        <v>40</v>
      </c>
      <c r="F199" s="99" t="s">
        <v>703</v>
      </c>
      <c r="G199" s="99" t="s">
        <v>703</v>
      </c>
      <c r="H199" s="99" t="s">
        <v>703</v>
      </c>
      <c r="I199" s="99">
        <v>0</v>
      </c>
      <c r="J199" s="99">
        <v>0.1</v>
      </c>
    </row>
    <row r="200" spans="2:10" hidden="1" x14ac:dyDescent="0.25">
      <c r="B200" s="99" t="s">
        <v>902</v>
      </c>
      <c r="C200" s="99" t="s">
        <v>1239</v>
      </c>
      <c r="D200" s="99" t="s">
        <v>703</v>
      </c>
      <c r="E200" s="99" t="s">
        <v>40</v>
      </c>
      <c r="F200" s="99" t="s">
        <v>703</v>
      </c>
      <c r="G200" s="99" t="s">
        <v>703</v>
      </c>
      <c r="H200" s="99" t="s">
        <v>703</v>
      </c>
      <c r="I200" s="99">
        <v>0</v>
      </c>
      <c r="J200" s="99">
        <v>0.1</v>
      </c>
    </row>
    <row r="201" spans="2:10" hidden="1" x14ac:dyDescent="0.25">
      <c r="B201" s="99" t="s">
        <v>902</v>
      </c>
      <c r="C201" s="99" t="s">
        <v>1237</v>
      </c>
      <c r="D201" s="99" t="s">
        <v>703</v>
      </c>
      <c r="E201" s="99" t="s">
        <v>40</v>
      </c>
      <c r="F201" s="99" t="s">
        <v>703</v>
      </c>
      <c r="G201" s="99" t="s">
        <v>703</v>
      </c>
      <c r="H201" s="99" t="s">
        <v>703</v>
      </c>
      <c r="I201" s="99">
        <v>0</v>
      </c>
      <c r="J201" s="99">
        <v>0.1</v>
      </c>
    </row>
    <row r="202" spans="2:10" hidden="1" x14ac:dyDescent="0.25">
      <c r="B202" s="99" t="s">
        <v>902</v>
      </c>
      <c r="C202" s="99" t="s">
        <v>174</v>
      </c>
      <c r="D202" s="99" t="s">
        <v>703</v>
      </c>
      <c r="E202" s="99" t="s">
        <v>40</v>
      </c>
      <c r="F202" s="99" t="s">
        <v>703</v>
      </c>
      <c r="G202" s="99" t="s">
        <v>703</v>
      </c>
      <c r="H202" s="99" t="s">
        <v>703</v>
      </c>
      <c r="I202" s="99">
        <v>0</v>
      </c>
      <c r="J202" s="99">
        <v>0.1</v>
      </c>
    </row>
    <row r="203" spans="2:10" hidden="1" x14ac:dyDescent="0.25">
      <c r="B203" s="99" t="s">
        <v>902</v>
      </c>
      <c r="C203" s="99" t="s">
        <v>1232</v>
      </c>
      <c r="D203" s="99" t="s">
        <v>703</v>
      </c>
      <c r="E203" s="99" t="s">
        <v>40</v>
      </c>
      <c r="F203" s="99" t="s">
        <v>703</v>
      </c>
      <c r="G203" s="99" t="s">
        <v>703</v>
      </c>
      <c r="H203" s="99" t="s">
        <v>703</v>
      </c>
      <c r="I203" s="99">
        <v>0</v>
      </c>
      <c r="J203" s="99">
        <v>0.1</v>
      </c>
    </row>
    <row r="204" spans="2:10" hidden="1" x14ac:dyDescent="0.25">
      <c r="B204" s="99" t="s">
        <v>902</v>
      </c>
      <c r="C204" s="99" t="s">
        <v>1230</v>
      </c>
      <c r="D204" s="99" t="s">
        <v>703</v>
      </c>
      <c r="E204" s="99" t="s">
        <v>40</v>
      </c>
      <c r="F204" s="99" t="s">
        <v>703</v>
      </c>
      <c r="G204" s="99" t="s">
        <v>703</v>
      </c>
      <c r="H204" s="99" t="s">
        <v>703</v>
      </c>
      <c r="I204" s="99">
        <v>0</v>
      </c>
      <c r="J204" s="99">
        <v>0.1</v>
      </c>
    </row>
    <row r="205" spans="2:10" hidden="1" x14ac:dyDescent="0.25">
      <c r="B205" s="99" t="s">
        <v>902</v>
      </c>
      <c r="C205" s="99" t="s">
        <v>539</v>
      </c>
      <c r="D205" s="99" t="s">
        <v>703</v>
      </c>
      <c r="E205" s="99" t="s">
        <v>40</v>
      </c>
      <c r="F205" s="99" t="s">
        <v>703</v>
      </c>
      <c r="G205" s="99" t="s">
        <v>703</v>
      </c>
      <c r="H205" s="99" t="s">
        <v>703</v>
      </c>
      <c r="I205" s="99">
        <v>0</v>
      </c>
      <c r="J205" s="99">
        <v>0.1</v>
      </c>
    </row>
    <row r="206" spans="2:10" hidden="1" x14ac:dyDescent="0.25">
      <c r="B206" s="99" t="s">
        <v>902</v>
      </c>
      <c r="C206" s="99" t="s">
        <v>540</v>
      </c>
      <c r="D206" s="99" t="s">
        <v>703</v>
      </c>
      <c r="E206" s="99" t="s">
        <v>40</v>
      </c>
      <c r="F206" s="99" t="s">
        <v>703</v>
      </c>
      <c r="G206" s="99" t="s">
        <v>703</v>
      </c>
      <c r="H206" s="99" t="s">
        <v>703</v>
      </c>
      <c r="I206" s="99">
        <v>0</v>
      </c>
      <c r="J206" s="99">
        <v>0.1</v>
      </c>
    </row>
    <row r="207" spans="2:10" hidden="1" x14ac:dyDescent="0.25">
      <c r="B207" s="99" t="s">
        <v>902</v>
      </c>
      <c r="C207" s="99" t="s">
        <v>178</v>
      </c>
      <c r="D207" s="99" t="s">
        <v>703</v>
      </c>
      <c r="E207" s="99" t="s">
        <v>40</v>
      </c>
      <c r="F207" s="99" t="s">
        <v>703</v>
      </c>
      <c r="G207" s="99" t="s">
        <v>703</v>
      </c>
      <c r="H207" s="99" t="s">
        <v>703</v>
      </c>
      <c r="I207" s="99">
        <v>0</v>
      </c>
      <c r="J207" s="99">
        <v>0.1</v>
      </c>
    </row>
    <row r="208" spans="2:10" hidden="1" x14ac:dyDescent="0.25">
      <c r="B208" s="99" t="s">
        <v>902</v>
      </c>
      <c r="C208" s="99" t="s">
        <v>1225</v>
      </c>
      <c r="D208" s="99" t="s">
        <v>703</v>
      </c>
      <c r="E208" s="99" t="s">
        <v>40</v>
      </c>
      <c r="F208" s="99" t="s">
        <v>703</v>
      </c>
      <c r="G208" s="99" t="s">
        <v>703</v>
      </c>
      <c r="H208" s="99" t="s">
        <v>703</v>
      </c>
      <c r="I208" s="99">
        <v>0</v>
      </c>
      <c r="J208" s="99">
        <v>0.1</v>
      </c>
    </row>
    <row r="209" spans="1:41" hidden="1" x14ac:dyDescent="0.25">
      <c r="B209" s="99" t="s">
        <v>902</v>
      </c>
      <c r="C209" s="99" t="s">
        <v>180</v>
      </c>
      <c r="D209" s="99" t="s">
        <v>703</v>
      </c>
      <c r="E209" s="99" t="s">
        <v>40</v>
      </c>
      <c r="F209" s="99" t="s">
        <v>703</v>
      </c>
      <c r="G209" s="99" t="s">
        <v>703</v>
      </c>
      <c r="H209" s="99" t="s">
        <v>703</v>
      </c>
      <c r="I209" s="99">
        <v>0</v>
      </c>
      <c r="J209" s="99">
        <v>1</v>
      </c>
    </row>
    <row r="210" spans="1:41" hidden="1" x14ac:dyDescent="0.25">
      <c r="B210" s="99" t="s">
        <v>902</v>
      </c>
      <c r="C210" s="99" t="s">
        <v>1220</v>
      </c>
      <c r="D210" s="99" t="s">
        <v>703</v>
      </c>
      <c r="E210" s="99" t="s">
        <v>40</v>
      </c>
      <c r="F210" s="99" t="s">
        <v>703</v>
      </c>
      <c r="G210" s="99" t="s">
        <v>703</v>
      </c>
      <c r="H210" s="99" t="s">
        <v>703</v>
      </c>
      <c r="I210" s="99">
        <v>0</v>
      </c>
      <c r="J210" s="99">
        <v>1</v>
      </c>
    </row>
    <row r="211" spans="1:41" hidden="1" x14ac:dyDescent="0.25">
      <c r="B211" s="99" t="s">
        <v>902</v>
      </c>
      <c r="C211" s="99" t="s">
        <v>1218</v>
      </c>
      <c r="D211" s="99" t="s">
        <v>703</v>
      </c>
      <c r="E211" s="99" t="s">
        <v>40</v>
      </c>
      <c r="F211" s="99" t="s">
        <v>703</v>
      </c>
      <c r="G211" s="99" t="s">
        <v>703</v>
      </c>
      <c r="H211" s="99" t="s">
        <v>703</v>
      </c>
      <c r="I211" s="99">
        <v>0</v>
      </c>
      <c r="J211" s="99">
        <v>1</v>
      </c>
    </row>
    <row r="212" spans="1:41" hidden="1" x14ac:dyDescent="0.25">
      <c r="B212" s="99" t="s">
        <v>902</v>
      </c>
      <c r="C212" s="99" t="s">
        <v>541</v>
      </c>
      <c r="D212" s="99" t="s">
        <v>703</v>
      </c>
      <c r="E212" s="99" t="s">
        <v>40</v>
      </c>
      <c r="F212" s="99" t="s">
        <v>703</v>
      </c>
      <c r="G212" s="99" t="s">
        <v>703</v>
      </c>
      <c r="H212" s="99" t="s">
        <v>703</v>
      </c>
      <c r="I212" s="99">
        <v>0</v>
      </c>
      <c r="J212" s="99">
        <v>1</v>
      </c>
    </row>
    <row r="213" spans="1:41" hidden="1" x14ac:dyDescent="0.25">
      <c r="B213" s="545" t="s">
        <v>1390</v>
      </c>
      <c r="C213" s="545" t="s">
        <v>169</v>
      </c>
      <c r="D213" s="545" t="s">
        <v>703</v>
      </c>
      <c r="E213" s="545" t="s">
        <v>703</v>
      </c>
      <c r="F213" s="545" t="s">
        <v>703</v>
      </c>
      <c r="G213" s="545" t="s">
        <v>703</v>
      </c>
      <c r="H213" s="545" t="s">
        <v>703</v>
      </c>
      <c r="I213" s="545">
        <v>0</v>
      </c>
      <c r="J213" s="545">
        <f>'Iron &amp; Steel'!AF23</f>
        <v>4.9000000000000004</v>
      </c>
      <c r="K213" s="545">
        <f>'Iron &amp; Steel'!AG23</f>
        <v>4.9000000000000004</v>
      </c>
      <c r="L213" s="545">
        <f>'Iron &amp; Steel'!AH23</f>
        <v>4.9000000000000004</v>
      </c>
      <c r="M213" s="545">
        <f>'Iron &amp; Steel'!AI23</f>
        <v>4.9000000000000004</v>
      </c>
      <c r="N213" s="545">
        <f>'Iron &amp; Steel'!AJ23</f>
        <v>4.9000000000000004</v>
      </c>
      <c r="O213" s="545">
        <f>'Iron &amp; Steel'!AK23</f>
        <v>4.9000000000000004</v>
      </c>
      <c r="P213" s="545">
        <f>'Iron &amp; Steel'!AL23</f>
        <v>4.9000000000000004</v>
      </c>
      <c r="Q213" s="545">
        <f>'Iron &amp; Steel'!AM23</f>
        <v>4.9000000000000004</v>
      </c>
      <c r="R213" s="545">
        <f>'Iron &amp; Steel'!AN23</f>
        <v>4.9000000000000004</v>
      </c>
      <c r="S213" s="545">
        <f>'Iron &amp; Steel'!AO23</f>
        <v>4.9000000000000004</v>
      </c>
      <c r="T213" s="545">
        <f>'Iron &amp; Steel'!AP23</f>
        <v>4.9000000000000004</v>
      </c>
      <c r="U213" s="545">
        <f>'Iron &amp; Steel'!AQ23</f>
        <v>4.9000000000000004</v>
      </c>
      <c r="V213" s="545">
        <f>'Iron &amp; Steel'!AR23</f>
        <v>4.9000000000000004</v>
      </c>
      <c r="W213" s="545">
        <f>'Iron &amp; Steel'!AS23</f>
        <v>4.9000000000000004</v>
      </c>
      <c r="X213" s="545">
        <f>'Iron &amp; Steel'!AT23</f>
        <v>4.9000000000000004</v>
      </c>
      <c r="Y213" s="545">
        <f>'Iron &amp; Steel'!AU23</f>
        <v>4.9000000000000004</v>
      </c>
      <c r="Z213" s="545">
        <f>'Iron &amp; Steel'!AV23</f>
        <v>4.9000000000000004</v>
      </c>
      <c r="AA213" s="545">
        <f>'Iron &amp; Steel'!AW23</f>
        <v>4.9000000000000004</v>
      </c>
      <c r="AB213" s="545">
        <f>'Iron &amp; Steel'!AX23</f>
        <v>4.9000000000000004</v>
      </c>
      <c r="AC213" s="545">
        <f>'Iron &amp; Steel'!AY23</f>
        <v>4.9000000000000004</v>
      </c>
      <c r="AD213" s="545">
        <f>'Iron &amp; Steel'!AZ23</f>
        <v>4.9000000000000004</v>
      </c>
      <c r="AE213" s="545">
        <f>'Iron &amp; Steel'!BA23</f>
        <v>4.9000000000000004</v>
      </c>
      <c r="AF213" s="545">
        <f>'Iron &amp; Steel'!BB23</f>
        <v>4.9000000000000004</v>
      </c>
      <c r="AG213" s="545">
        <f>'Iron &amp; Steel'!BC23</f>
        <v>4.9000000000000004</v>
      </c>
      <c r="AH213" s="545">
        <f>'Iron &amp; Steel'!BD23</f>
        <v>4.9000000000000004</v>
      </c>
      <c r="AI213" s="545">
        <f>'Iron &amp; Steel'!BE23</f>
        <v>0</v>
      </c>
      <c r="AJ213" s="545">
        <f>'Iron &amp; Steel'!BF23</f>
        <v>0</v>
      </c>
      <c r="AK213" s="545">
        <f>'Iron &amp; Steel'!BG23</f>
        <v>0</v>
      </c>
      <c r="AL213" s="545">
        <f>'Iron &amp; Steel'!BH23</f>
        <v>0</v>
      </c>
      <c r="AM213" s="545">
        <f>'Iron &amp; Steel'!BI23</f>
        <v>0</v>
      </c>
    </row>
    <row r="214" spans="1:41" hidden="1" x14ac:dyDescent="0.25">
      <c r="B214" s="545" t="s">
        <v>1390</v>
      </c>
      <c r="C214" s="545" t="s">
        <v>171</v>
      </c>
      <c r="D214" s="545" t="s">
        <v>703</v>
      </c>
      <c r="E214" s="545" t="s">
        <v>703</v>
      </c>
      <c r="F214" s="545" t="s">
        <v>703</v>
      </c>
      <c r="G214" s="545" t="s">
        <v>703</v>
      </c>
      <c r="H214" s="545" t="s">
        <v>703</v>
      </c>
      <c r="I214" s="545">
        <v>0</v>
      </c>
      <c r="J214" s="545">
        <f>'Iron &amp; Steel'!AF24</f>
        <v>1.2400000000000002</v>
      </c>
      <c r="K214" s="545">
        <f>'Iron &amp; Steel'!AG24</f>
        <v>1.2400000000000002</v>
      </c>
      <c r="L214" s="545">
        <f>'Iron &amp; Steel'!AH24</f>
        <v>1.2400000000000002</v>
      </c>
      <c r="M214" s="545">
        <f>'Iron &amp; Steel'!AI24</f>
        <v>1.2400000000000002</v>
      </c>
      <c r="N214" s="545">
        <f>'Iron &amp; Steel'!AJ24</f>
        <v>1.2400000000000002</v>
      </c>
      <c r="O214" s="545">
        <f>'Iron &amp; Steel'!AK24</f>
        <v>1.2400000000000002</v>
      </c>
      <c r="P214" s="545">
        <f>'Iron &amp; Steel'!AL24</f>
        <v>1.2400000000000002</v>
      </c>
      <c r="Q214" s="545">
        <f>'Iron &amp; Steel'!AM24</f>
        <v>1.2400000000000002</v>
      </c>
      <c r="R214" s="545">
        <f>'Iron &amp; Steel'!AN24</f>
        <v>1.2400000000000002</v>
      </c>
      <c r="S214" s="545">
        <f>'Iron &amp; Steel'!AO24</f>
        <v>1.2400000000000002</v>
      </c>
      <c r="T214" s="545">
        <f>'Iron &amp; Steel'!AP24</f>
        <v>1.2400000000000002</v>
      </c>
      <c r="U214" s="545">
        <f>'Iron &amp; Steel'!AQ24</f>
        <v>1.2400000000000002</v>
      </c>
      <c r="V214" s="545">
        <f>'Iron &amp; Steel'!AR24</f>
        <v>1.2400000000000002</v>
      </c>
      <c r="W214" s="545">
        <f>'Iron &amp; Steel'!AS24</f>
        <v>1.2400000000000002</v>
      </c>
      <c r="X214" s="545">
        <f>'Iron &amp; Steel'!AT24</f>
        <v>1.2400000000000002</v>
      </c>
      <c r="Y214" s="545">
        <f>'Iron &amp; Steel'!AU24</f>
        <v>1.2400000000000002</v>
      </c>
      <c r="Z214" s="545">
        <f>'Iron &amp; Steel'!AV24</f>
        <v>1.2400000000000002</v>
      </c>
      <c r="AA214" s="545">
        <f>'Iron &amp; Steel'!AW24</f>
        <v>1.2400000000000002</v>
      </c>
      <c r="AB214" s="545">
        <f>'Iron &amp; Steel'!AX24</f>
        <v>1.2400000000000002</v>
      </c>
      <c r="AC214" s="545">
        <f>'Iron &amp; Steel'!AY24</f>
        <v>1.2400000000000002</v>
      </c>
      <c r="AD214" s="545">
        <f>'Iron &amp; Steel'!AZ24</f>
        <v>1.2400000000000002</v>
      </c>
      <c r="AE214" s="545">
        <f>'Iron &amp; Steel'!BA24</f>
        <v>1.2400000000000002</v>
      </c>
      <c r="AF214" s="545">
        <f>'Iron &amp; Steel'!BB24</f>
        <v>1.2400000000000002</v>
      </c>
      <c r="AG214" s="545">
        <f>'Iron &amp; Steel'!BC24</f>
        <v>1.2400000000000002</v>
      </c>
      <c r="AH214" s="545">
        <f>'Iron &amp; Steel'!BD24</f>
        <v>1.2400000000000002</v>
      </c>
      <c r="AI214" s="545">
        <f>'Iron &amp; Steel'!BE24</f>
        <v>1.2400000000000002</v>
      </c>
      <c r="AJ214" s="545">
        <f>'Iron &amp; Steel'!BF24</f>
        <v>1.2400000000000002</v>
      </c>
      <c r="AK214" s="545">
        <f>'Iron &amp; Steel'!BG24</f>
        <v>1.2400000000000002</v>
      </c>
      <c r="AL214" s="545">
        <f>'Iron &amp; Steel'!BH24</f>
        <v>1.2400000000000002</v>
      </c>
      <c r="AM214" s="545">
        <f>'Iron &amp; Steel'!BI24</f>
        <v>1.2400000000000002</v>
      </c>
    </row>
    <row r="215" spans="1:41" hidden="1" x14ac:dyDescent="0.25">
      <c r="B215" s="545" t="s">
        <v>1390</v>
      </c>
      <c r="C215" s="545" t="s">
        <v>174</v>
      </c>
      <c r="D215" s="545" t="s">
        <v>703</v>
      </c>
      <c r="E215" s="545" t="s">
        <v>703</v>
      </c>
      <c r="F215" s="545" t="s">
        <v>703</v>
      </c>
      <c r="G215" s="545" t="s">
        <v>703</v>
      </c>
      <c r="H215" s="545" t="s">
        <v>703</v>
      </c>
      <c r="I215" s="545">
        <v>0</v>
      </c>
      <c r="J215" s="545">
        <f>'Iron &amp; Steel'!AF25</f>
        <v>1.44</v>
      </c>
      <c r="K215" s="545">
        <f>'Iron &amp; Steel'!AG25</f>
        <v>1.44</v>
      </c>
      <c r="L215" s="545">
        <f>'Iron &amp; Steel'!AH25</f>
        <v>1.44</v>
      </c>
      <c r="M215" s="545">
        <f>'Iron &amp; Steel'!AI25</f>
        <v>1.44</v>
      </c>
      <c r="N215" s="545">
        <f>'Iron &amp; Steel'!AJ25</f>
        <v>1.44</v>
      </c>
      <c r="O215" s="545">
        <f>'Iron &amp; Steel'!AK25</f>
        <v>1.44</v>
      </c>
      <c r="P215" s="545">
        <f>'Iron &amp; Steel'!AL25</f>
        <v>1.44</v>
      </c>
      <c r="Q215" s="545">
        <f>'Iron &amp; Steel'!AM25</f>
        <v>1.44</v>
      </c>
      <c r="R215" s="545">
        <f>'Iron &amp; Steel'!AN25</f>
        <v>1.44</v>
      </c>
      <c r="S215" s="545">
        <f>'Iron &amp; Steel'!AO25</f>
        <v>1.44</v>
      </c>
      <c r="T215" s="545">
        <f>'Iron &amp; Steel'!AP25</f>
        <v>1.44</v>
      </c>
      <c r="U215" s="545">
        <f>'Iron &amp; Steel'!AQ25</f>
        <v>1.44</v>
      </c>
      <c r="V215" s="545">
        <f>'Iron &amp; Steel'!AR25</f>
        <v>1.44</v>
      </c>
      <c r="W215" s="545">
        <f>'Iron &amp; Steel'!AS25</f>
        <v>1.44</v>
      </c>
      <c r="X215" s="545">
        <f>'Iron &amp; Steel'!AT25</f>
        <v>1.44</v>
      </c>
      <c r="Y215" s="545">
        <f>'Iron &amp; Steel'!AU25</f>
        <v>1.44</v>
      </c>
      <c r="Z215" s="545">
        <f>'Iron &amp; Steel'!AV25</f>
        <v>1.44</v>
      </c>
      <c r="AA215" s="545">
        <f>'Iron &amp; Steel'!AW25</f>
        <v>1.44</v>
      </c>
      <c r="AB215" s="545">
        <f>'Iron &amp; Steel'!AX25</f>
        <v>1.44</v>
      </c>
      <c r="AC215" s="545">
        <f>'Iron &amp; Steel'!AY25</f>
        <v>1.44</v>
      </c>
      <c r="AD215" s="545">
        <f>'Iron &amp; Steel'!AZ25</f>
        <v>1.44</v>
      </c>
      <c r="AE215" s="545">
        <f>'Iron &amp; Steel'!BA25</f>
        <v>1.44</v>
      </c>
      <c r="AF215" s="545">
        <f>'Iron &amp; Steel'!BB25</f>
        <v>1.44</v>
      </c>
      <c r="AG215" s="545">
        <f>'Iron &amp; Steel'!BC25</f>
        <v>1.44</v>
      </c>
      <c r="AH215" s="545">
        <f>'Iron &amp; Steel'!BD25</f>
        <v>1.44</v>
      </c>
      <c r="AI215" s="545">
        <f>'Iron &amp; Steel'!BE25</f>
        <v>0</v>
      </c>
      <c r="AJ215" s="545">
        <f>'Iron &amp; Steel'!BF25</f>
        <v>0</v>
      </c>
      <c r="AK215" s="545">
        <f>'Iron &amp; Steel'!BG25</f>
        <v>0</v>
      </c>
      <c r="AL215" s="545">
        <f>'Iron &amp; Steel'!BH25</f>
        <v>0</v>
      </c>
      <c r="AM215" s="545">
        <f>'Iron &amp; Steel'!BI25</f>
        <v>0</v>
      </c>
    </row>
    <row r="216" spans="1:41" hidden="1" x14ac:dyDescent="0.25">
      <c r="B216" s="545" t="s">
        <v>1390</v>
      </c>
      <c r="C216" s="545" t="s">
        <v>178</v>
      </c>
      <c r="D216" s="545" t="s">
        <v>703</v>
      </c>
      <c r="E216" s="545" t="s">
        <v>703</v>
      </c>
      <c r="F216" s="545" t="s">
        <v>703</v>
      </c>
      <c r="G216" s="545" t="s">
        <v>703</v>
      </c>
      <c r="H216" s="545" t="s">
        <v>703</v>
      </c>
      <c r="I216" s="545">
        <v>0</v>
      </c>
      <c r="J216" s="545">
        <f>'Iron &amp; Steel'!AF26</f>
        <v>1</v>
      </c>
      <c r="K216" s="545">
        <f>'Iron &amp; Steel'!AG26</f>
        <v>1</v>
      </c>
      <c r="L216" s="545">
        <f>'Iron &amp; Steel'!AH26</f>
        <v>1</v>
      </c>
      <c r="M216" s="545">
        <f>'Iron &amp; Steel'!AI26</f>
        <v>1</v>
      </c>
      <c r="N216" s="545">
        <f>'Iron &amp; Steel'!AJ26</f>
        <v>1</v>
      </c>
      <c r="O216" s="545">
        <f>'Iron &amp; Steel'!AK26</f>
        <v>1</v>
      </c>
      <c r="P216" s="545">
        <f>'Iron &amp; Steel'!AL26</f>
        <v>1</v>
      </c>
      <c r="Q216" s="545">
        <f>'Iron &amp; Steel'!AM26</f>
        <v>1</v>
      </c>
      <c r="R216" s="545">
        <f>'Iron &amp; Steel'!AN26</f>
        <v>1</v>
      </c>
      <c r="S216" s="545">
        <f>'Iron &amp; Steel'!AO26</f>
        <v>1</v>
      </c>
      <c r="T216" s="545">
        <f>'Iron &amp; Steel'!AP26</f>
        <v>1</v>
      </c>
      <c r="U216" s="545">
        <f>'Iron &amp; Steel'!AQ26</f>
        <v>1</v>
      </c>
      <c r="V216" s="545">
        <f>'Iron &amp; Steel'!AR26</f>
        <v>1</v>
      </c>
      <c r="W216" s="545">
        <f>'Iron &amp; Steel'!AS26</f>
        <v>1</v>
      </c>
      <c r="X216" s="545">
        <f>'Iron &amp; Steel'!AT26</f>
        <v>1</v>
      </c>
      <c r="Y216" s="545">
        <f>'Iron &amp; Steel'!AU26</f>
        <v>1</v>
      </c>
      <c r="Z216" s="545">
        <f>'Iron &amp; Steel'!AV26</f>
        <v>1</v>
      </c>
      <c r="AA216" s="545">
        <f>'Iron &amp; Steel'!AW26</f>
        <v>1</v>
      </c>
      <c r="AB216" s="545">
        <f>'Iron &amp; Steel'!AX26</f>
        <v>1</v>
      </c>
      <c r="AC216" s="545">
        <f>'Iron &amp; Steel'!AY26</f>
        <v>1</v>
      </c>
      <c r="AD216" s="545">
        <f>'Iron &amp; Steel'!AZ26</f>
        <v>1</v>
      </c>
      <c r="AE216" s="545">
        <f>'Iron &amp; Steel'!BA26</f>
        <v>1</v>
      </c>
      <c r="AF216" s="545">
        <f>'Iron &amp; Steel'!BB26</f>
        <v>1</v>
      </c>
      <c r="AG216" s="545">
        <f>'Iron &amp; Steel'!BC26</f>
        <v>1</v>
      </c>
      <c r="AH216" s="545">
        <f>'Iron &amp; Steel'!BD26</f>
        <v>1</v>
      </c>
      <c r="AI216" s="545">
        <f>'Iron &amp; Steel'!BE26</f>
        <v>0</v>
      </c>
      <c r="AJ216" s="545">
        <f>'Iron &amp; Steel'!BF26</f>
        <v>0</v>
      </c>
      <c r="AK216" s="545">
        <f>'Iron &amp; Steel'!BG26</f>
        <v>0</v>
      </c>
      <c r="AL216" s="545">
        <f>'Iron &amp; Steel'!BH26</f>
        <v>0</v>
      </c>
      <c r="AM216" s="545">
        <f>'Iron &amp; Steel'!BI26</f>
        <v>0</v>
      </c>
    </row>
    <row r="217" spans="1:41" hidden="1" x14ac:dyDescent="0.25">
      <c r="B217" s="545" t="s">
        <v>1390</v>
      </c>
      <c r="C217" s="545" t="s">
        <v>180</v>
      </c>
      <c r="D217" s="545" t="s">
        <v>703</v>
      </c>
      <c r="E217" s="545" t="s">
        <v>703</v>
      </c>
      <c r="F217" s="545" t="s">
        <v>703</v>
      </c>
      <c r="G217" s="545" t="s">
        <v>703</v>
      </c>
      <c r="H217" s="545" t="s">
        <v>703</v>
      </c>
      <c r="I217" s="545">
        <v>0</v>
      </c>
      <c r="J217" s="545">
        <f>'Iron &amp; Steel'!AF27</f>
        <v>1.7200000000000002</v>
      </c>
      <c r="K217" s="545">
        <f>'Iron &amp; Steel'!AG27</f>
        <v>1.7200000000000002</v>
      </c>
      <c r="L217" s="545">
        <f>'Iron &amp; Steel'!AH27</f>
        <v>1.7200000000000002</v>
      </c>
      <c r="M217" s="545">
        <f>'Iron &amp; Steel'!AI27</f>
        <v>1.7200000000000002</v>
      </c>
      <c r="N217" s="545">
        <f>'Iron &amp; Steel'!AJ27</f>
        <v>1.3200000000000003</v>
      </c>
      <c r="O217" s="545">
        <f>'Iron &amp; Steel'!AK27</f>
        <v>1.3200000000000003</v>
      </c>
      <c r="P217" s="545">
        <f>'Iron &amp; Steel'!AL27</f>
        <v>1.3200000000000003</v>
      </c>
      <c r="Q217" s="545">
        <f>'Iron &amp; Steel'!AM27</f>
        <v>1.3200000000000003</v>
      </c>
      <c r="R217" s="545">
        <f>'Iron &amp; Steel'!AN27</f>
        <v>1.3200000000000003</v>
      </c>
      <c r="S217" s="545">
        <f>'Iron &amp; Steel'!AO27</f>
        <v>1.3200000000000003</v>
      </c>
      <c r="T217" s="545">
        <f>'Iron &amp; Steel'!AP27</f>
        <v>1.3200000000000003</v>
      </c>
      <c r="U217" s="545">
        <f>'Iron &amp; Steel'!AQ27</f>
        <v>1.3200000000000003</v>
      </c>
      <c r="V217" s="545">
        <f>'Iron &amp; Steel'!AR27</f>
        <v>1.3200000000000003</v>
      </c>
      <c r="W217" s="545">
        <f>'Iron &amp; Steel'!AS27</f>
        <v>1.3200000000000003</v>
      </c>
      <c r="X217" s="545">
        <f>'Iron &amp; Steel'!AT27</f>
        <v>1.3200000000000003</v>
      </c>
      <c r="Y217" s="545">
        <f>'Iron &amp; Steel'!AU27</f>
        <v>1.3200000000000003</v>
      </c>
      <c r="Z217" s="545">
        <f>'Iron &amp; Steel'!AV27</f>
        <v>1.3200000000000003</v>
      </c>
      <c r="AA217" s="545">
        <f>'Iron &amp; Steel'!AW27</f>
        <v>1.3200000000000003</v>
      </c>
      <c r="AB217" s="545">
        <f>'Iron &amp; Steel'!AX27</f>
        <v>1.3200000000000003</v>
      </c>
      <c r="AC217" s="545">
        <f>'Iron &amp; Steel'!AY27</f>
        <v>1.3200000000000003</v>
      </c>
      <c r="AD217" s="545">
        <f>'Iron &amp; Steel'!AZ27</f>
        <v>1.3200000000000003</v>
      </c>
      <c r="AE217" s="545">
        <f>'Iron &amp; Steel'!BA27</f>
        <v>1.3200000000000003</v>
      </c>
      <c r="AF217" s="545">
        <f>'Iron &amp; Steel'!BB27</f>
        <v>1.3200000000000003</v>
      </c>
      <c r="AG217" s="545">
        <f>'Iron &amp; Steel'!BC27</f>
        <v>1.3200000000000003</v>
      </c>
      <c r="AH217" s="545">
        <f>'Iron &amp; Steel'!BD27</f>
        <v>1.3200000000000003</v>
      </c>
      <c r="AI217" s="545">
        <f>'Iron &amp; Steel'!BE27</f>
        <v>0</v>
      </c>
      <c r="AJ217" s="545">
        <f>'Iron &amp; Steel'!BF27</f>
        <v>0</v>
      </c>
      <c r="AK217" s="545">
        <f>'Iron &amp; Steel'!BG27</f>
        <v>0</v>
      </c>
      <c r="AL217" s="545">
        <f>'Iron &amp; Steel'!BH27</f>
        <v>0</v>
      </c>
      <c r="AM217" s="545">
        <f>'Iron &amp; Steel'!BI27</f>
        <v>0</v>
      </c>
    </row>
    <row r="218" spans="1:41" hidden="1" x14ac:dyDescent="0.25">
      <c r="B218" s="545" t="s">
        <v>1390</v>
      </c>
      <c r="C218" s="545" t="s">
        <v>1215</v>
      </c>
      <c r="D218" s="545" t="s">
        <v>703</v>
      </c>
      <c r="E218" s="545" t="s">
        <v>703</v>
      </c>
      <c r="F218" s="545" t="s">
        <v>703</v>
      </c>
      <c r="G218" s="545" t="s">
        <v>703</v>
      </c>
      <c r="H218" s="545" t="s">
        <v>703</v>
      </c>
      <c r="I218" s="545">
        <v>0</v>
      </c>
      <c r="J218" s="545">
        <v>0</v>
      </c>
    </row>
    <row r="219" spans="1:41" hidden="1" x14ac:dyDescent="0.25">
      <c r="B219" s="545" t="s">
        <v>1390</v>
      </c>
      <c r="C219" s="545" t="s">
        <v>1209</v>
      </c>
      <c r="D219" s="545" t="s">
        <v>703</v>
      </c>
      <c r="E219" s="545" t="s">
        <v>703</v>
      </c>
      <c r="F219" s="545" t="s">
        <v>703</v>
      </c>
      <c r="G219" s="545" t="s">
        <v>703</v>
      </c>
      <c r="H219" s="545" t="s">
        <v>703</v>
      </c>
      <c r="I219" s="545">
        <v>0</v>
      </c>
      <c r="J219" s="545">
        <v>0</v>
      </c>
    </row>
    <row r="220" spans="1:41" hidden="1" x14ac:dyDescent="0.25">
      <c r="B220" s="545" t="s">
        <v>1390</v>
      </c>
      <c r="C220" s="545" t="s">
        <v>1207</v>
      </c>
      <c r="D220" s="545" t="s">
        <v>703</v>
      </c>
      <c r="E220" s="545" t="s">
        <v>703</v>
      </c>
      <c r="F220" s="545" t="s">
        <v>703</v>
      </c>
      <c r="G220" s="545" t="s">
        <v>703</v>
      </c>
      <c r="H220" s="545" t="s">
        <v>703</v>
      </c>
      <c r="I220" s="545">
        <v>0</v>
      </c>
      <c r="J220" s="545">
        <v>0</v>
      </c>
    </row>
    <row r="221" spans="1:41" hidden="1" x14ac:dyDescent="0.25">
      <c r="B221" s="545" t="s">
        <v>1390</v>
      </c>
      <c r="C221" s="545" t="s">
        <v>1205</v>
      </c>
      <c r="D221" s="545" t="s">
        <v>703</v>
      </c>
      <c r="E221" s="545" t="s">
        <v>703</v>
      </c>
      <c r="F221" s="545" t="s">
        <v>703</v>
      </c>
      <c r="G221" s="545" t="s">
        <v>703</v>
      </c>
      <c r="H221" s="545" t="s">
        <v>703</v>
      </c>
      <c r="I221" s="545">
        <v>0</v>
      </c>
      <c r="J221" s="545">
        <v>0</v>
      </c>
    </row>
    <row r="222" spans="1:41" hidden="1" x14ac:dyDescent="0.25">
      <c r="B222" s="545" t="s">
        <v>1390</v>
      </c>
      <c r="C222" s="545" t="s">
        <v>1201</v>
      </c>
      <c r="D222" s="545" t="s">
        <v>703</v>
      </c>
      <c r="E222" s="545" t="s">
        <v>703</v>
      </c>
      <c r="F222" s="545" t="s">
        <v>703</v>
      </c>
      <c r="G222" s="545" t="s">
        <v>703</v>
      </c>
      <c r="H222" s="545" t="s">
        <v>703</v>
      </c>
      <c r="I222" s="545">
        <v>0</v>
      </c>
      <c r="J222" s="545">
        <v>0</v>
      </c>
    </row>
    <row r="223" spans="1:41" hidden="1" x14ac:dyDescent="0.25">
      <c r="A223" s="99" t="s">
        <v>1010</v>
      </c>
      <c r="B223" s="99" t="s">
        <v>1389</v>
      </c>
      <c r="C223" s="99" t="s">
        <v>1368</v>
      </c>
      <c r="D223" s="99" t="s">
        <v>703</v>
      </c>
      <c r="E223" s="99" t="s">
        <v>703</v>
      </c>
      <c r="F223" s="99" t="s">
        <v>703</v>
      </c>
      <c r="G223" s="99" t="s">
        <v>703</v>
      </c>
      <c r="H223" s="99" t="s">
        <v>590</v>
      </c>
      <c r="I223" s="99">
        <v>0</v>
      </c>
      <c r="J223" s="99">
        <v>5.0999999999999996</v>
      </c>
      <c r="K223" s="99">
        <f t="shared" ref="K223:AO223" si="0">J223</f>
        <v>5.0999999999999996</v>
      </c>
      <c r="L223" s="99">
        <f t="shared" si="0"/>
        <v>5.0999999999999996</v>
      </c>
      <c r="M223" s="99">
        <f t="shared" si="0"/>
        <v>5.0999999999999996</v>
      </c>
      <c r="N223" s="99">
        <f t="shared" si="0"/>
        <v>5.0999999999999996</v>
      </c>
      <c r="O223" s="99">
        <f t="shared" si="0"/>
        <v>5.0999999999999996</v>
      </c>
      <c r="P223" s="99">
        <f t="shared" si="0"/>
        <v>5.0999999999999996</v>
      </c>
      <c r="Q223" s="99">
        <f t="shared" si="0"/>
        <v>5.0999999999999996</v>
      </c>
      <c r="R223" s="99">
        <f t="shared" si="0"/>
        <v>5.0999999999999996</v>
      </c>
      <c r="S223" s="99">
        <f t="shared" si="0"/>
        <v>5.0999999999999996</v>
      </c>
      <c r="T223" s="99">
        <f t="shared" si="0"/>
        <v>5.0999999999999996</v>
      </c>
      <c r="U223" s="99">
        <f t="shared" si="0"/>
        <v>5.0999999999999996</v>
      </c>
      <c r="V223" s="99">
        <f t="shared" si="0"/>
        <v>5.0999999999999996</v>
      </c>
      <c r="W223" s="99">
        <f t="shared" si="0"/>
        <v>5.0999999999999996</v>
      </c>
      <c r="X223" s="99">
        <f t="shared" si="0"/>
        <v>5.0999999999999996</v>
      </c>
      <c r="Y223" s="99">
        <f t="shared" si="0"/>
        <v>5.0999999999999996</v>
      </c>
      <c r="Z223" s="99">
        <f t="shared" si="0"/>
        <v>5.0999999999999996</v>
      </c>
      <c r="AA223" s="99">
        <f t="shared" si="0"/>
        <v>5.0999999999999996</v>
      </c>
      <c r="AB223" s="99">
        <f t="shared" si="0"/>
        <v>5.0999999999999996</v>
      </c>
      <c r="AC223" s="99">
        <f t="shared" si="0"/>
        <v>5.0999999999999996</v>
      </c>
      <c r="AD223" s="99">
        <f t="shared" si="0"/>
        <v>5.0999999999999996</v>
      </c>
      <c r="AE223" s="99">
        <f t="shared" si="0"/>
        <v>5.0999999999999996</v>
      </c>
      <c r="AF223" s="99">
        <f t="shared" si="0"/>
        <v>5.0999999999999996</v>
      </c>
      <c r="AG223" s="99">
        <f t="shared" si="0"/>
        <v>5.0999999999999996</v>
      </c>
      <c r="AH223" s="99">
        <f t="shared" si="0"/>
        <v>5.0999999999999996</v>
      </c>
      <c r="AI223" s="99">
        <f t="shared" si="0"/>
        <v>5.0999999999999996</v>
      </c>
      <c r="AJ223" s="99">
        <f t="shared" si="0"/>
        <v>5.0999999999999996</v>
      </c>
      <c r="AK223" s="99">
        <f t="shared" si="0"/>
        <v>5.0999999999999996</v>
      </c>
      <c r="AL223" s="99">
        <f t="shared" si="0"/>
        <v>5.0999999999999996</v>
      </c>
      <c r="AM223" s="99">
        <f t="shared" si="0"/>
        <v>5.0999999999999996</v>
      </c>
      <c r="AN223" s="99">
        <f t="shared" si="0"/>
        <v>5.0999999999999996</v>
      </c>
      <c r="AO223" s="99">
        <f t="shared" si="0"/>
        <v>5.0999999999999996</v>
      </c>
    </row>
    <row r="224" spans="1:41" hidden="1" x14ac:dyDescent="0.25">
      <c r="A224" s="99" t="s">
        <v>1010</v>
      </c>
      <c r="B224" s="99" t="s">
        <v>1389</v>
      </c>
      <c r="C224" s="99" t="s">
        <v>1366</v>
      </c>
      <c r="D224" s="99" t="s">
        <v>703</v>
      </c>
      <c r="E224" s="99" t="s">
        <v>703</v>
      </c>
      <c r="F224" s="99" t="s">
        <v>703</v>
      </c>
      <c r="G224" s="99" t="s">
        <v>703</v>
      </c>
      <c r="H224" s="99" t="str">
        <f>'PAMS and scenarios'!E$65</f>
        <v>UP</v>
      </c>
      <c r="I224" s="99">
        <v>0</v>
      </c>
      <c r="J224" s="99">
        <v>0</v>
      </c>
      <c r="K224" s="99">
        <f t="shared" ref="K224:AO224" si="1">J224</f>
        <v>0</v>
      </c>
      <c r="L224" s="99">
        <f t="shared" si="1"/>
        <v>0</v>
      </c>
      <c r="M224" s="99">
        <f t="shared" si="1"/>
        <v>0</v>
      </c>
      <c r="N224" s="99">
        <f t="shared" si="1"/>
        <v>0</v>
      </c>
      <c r="O224" s="99">
        <f t="shared" si="1"/>
        <v>0</v>
      </c>
      <c r="P224" s="99">
        <f t="shared" si="1"/>
        <v>0</v>
      </c>
      <c r="Q224" s="99">
        <f t="shared" si="1"/>
        <v>0</v>
      </c>
      <c r="R224" s="99">
        <f t="shared" si="1"/>
        <v>0</v>
      </c>
      <c r="S224" s="99">
        <f t="shared" si="1"/>
        <v>0</v>
      </c>
      <c r="T224" s="99">
        <f t="shared" si="1"/>
        <v>0</v>
      </c>
      <c r="U224" s="99">
        <f t="shared" si="1"/>
        <v>0</v>
      </c>
      <c r="V224" s="99">
        <f t="shared" si="1"/>
        <v>0</v>
      </c>
      <c r="W224" s="99">
        <f t="shared" si="1"/>
        <v>0</v>
      </c>
      <c r="X224" s="99">
        <f t="shared" si="1"/>
        <v>0</v>
      </c>
      <c r="Y224" s="99">
        <f t="shared" si="1"/>
        <v>0</v>
      </c>
      <c r="Z224" s="99">
        <f t="shared" si="1"/>
        <v>0</v>
      </c>
      <c r="AA224" s="99">
        <f t="shared" si="1"/>
        <v>0</v>
      </c>
      <c r="AB224" s="99">
        <f t="shared" si="1"/>
        <v>0</v>
      </c>
      <c r="AC224" s="99">
        <f t="shared" si="1"/>
        <v>0</v>
      </c>
      <c r="AD224" s="99">
        <f t="shared" si="1"/>
        <v>0</v>
      </c>
      <c r="AE224" s="99">
        <f t="shared" si="1"/>
        <v>0</v>
      </c>
      <c r="AF224" s="99">
        <f t="shared" si="1"/>
        <v>0</v>
      </c>
      <c r="AG224" s="99">
        <f t="shared" si="1"/>
        <v>0</v>
      </c>
      <c r="AH224" s="99">
        <f t="shared" si="1"/>
        <v>0</v>
      </c>
      <c r="AI224" s="99">
        <f t="shared" si="1"/>
        <v>0</v>
      </c>
      <c r="AJ224" s="99">
        <f t="shared" si="1"/>
        <v>0</v>
      </c>
      <c r="AK224" s="99">
        <f t="shared" si="1"/>
        <v>0</v>
      </c>
      <c r="AL224" s="99">
        <f t="shared" si="1"/>
        <v>0</v>
      </c>
      <c r="AM224" s="99">
        <f t="shared" si="1"/>
        <v>0</v>
      </c>
      <c r="AN224" s="99">
        <f t="shared" si="1"/>
        <v>0</v>
      </c>
      <c r="AO224" s="99">
        <f t="shared" si="1"/>
        <v>0</v>
      </c>
    </row>
    <row r="225" spans="1:41" hidden="1" x14ac:dyDescent="0.25">
      <c r="A225" s="99" t="s">
        <v>1010</v>
      </c>
      <c r="B225" s="99" t="s">
        <v>1389</v>
      </c>
      <c r="C225" s="99" t="s">
        <v>1364</v>
      </c>
      <c r="D225" s="99" t="s">
        <v>703</v>
      </c>
      <c r="E225" s="99" t="s">
        <v>703</v>
      </c>
      <c r="F225" s="99" t="s">
        <v>703</v>
      </c>
      <c r="G225" s="99" t="s">
        <v>703</v>
      </c>
      <c r="H225" s="99" t="str">
        <f>'PAMS and scenarios'!E$65</f>
        <v>UP</v>
      </c>
      <c r="I225" s="99">
        <v>0</v>
      </c>
      <c r="J225" s="99">
        <v>0</v>
      </c>
      <c r="K225" s="99">
        <f t="shared" ref="K225:AO225" si="2">J225</f>
        <v>0</v>
      </c>
      <c r="L225" s="99">
        <f t="shared" si="2"/>
        <v>0</v>
      </c>
      <c r="M225" s="99">
        <f t="shared" si="2"/>
        <v>0</v>
      </c>
      <c r="N225" s="99">
        <f t="shared" si="2"/>
        <v>0</v>
      </c>
      <c r="O225" s="99">
        <f t="shared" si="2"/>
        <v>0</v>
      </c>
      <c r="P225" s="99">
        <f t="shared" si="2"/>
        <v>0</v>
      </c>
      <c r="Q225" s="99">
        <f t="shared" si="2"/>
        <v>0</v>
      </c>
      <c r="R225" s="99">
        <f t="shared" si="2"/>
        <v>0</v>
      </c>
      <c r="S225" s="99">
        <f t="shared" si="2"/>
        <v>0</v>
      </c>
      <c r="T225" s="99">
        <f t="shared" si="2"/>
        <v>0</v>
      </c>
      <c r="U225" s="99">
        <f t="shared" si="2"/>
        <v>0</v>
      </c>
      <c r="V225" s="99">
        <f t="shared" si="2"/>
        <v>0</v>
      </c>
      <c r="W225" s="99">
        <f t="shared" si="2"/>
        <v>0</v>
      </c>
      <c r="X225" s="99">
        <f t="shared" si="2"/>
        <v>0</v>
      </c>
      <c r="Y225" s="99">
        <f t="shared" si="2"/>
        <v>0</v>
      </c>
      <c r="Z225" s="99">
        <f t="shared" si="2"/>
        <v>0</v>
      </c>
      <c r="AA225" s="99">
        <f t="shared" si="2"/>
        <v>0</v>
      </c>
      <c r="AB225" s="99">
        <f t="shared" si="2"/>
        <v>0</v>
      </c>
      <c r="AC225" s="99">
        <f t="shared" si="2"/>
        <v>0</v>
      </c>
      <c r="AD225" s="99">
        <f t="shared" si="2"/>
        <v>0</v>
      </c>
      <c r="AE225" s="99">
        <f t="shared" si="2"/>
        <v>0</v>
      </c>
      <c r="AF225" s="99">
        <f t="shared" si="2"/>
        <v>0</v>
      </c>
      <c r="AG225" s="99">
        <f t="shared" si="2"/>
        <v>0</v>
      </c>
      <c r="AH225" s="99">
        <f t="shared" si="2"/>
        <v>0</v>
      </c>
      <c r="AI225" s="99">
        <f t="shared" si="2"/>
        <v>0</v>
      </c>
      <c r="AJ225" s="99">
        <f t="shared" si="2"/>
        <v>0</v>
      </c>
      <c r="AK225" s="99">
        <f t="shared" si="2"/>
        <v>0</v>
      </c>
      <c r="AL225" s="99">
        <f t="shared" si="2"/>
        <v>0</v>
      </c>
      <c r="AM225" s="99">
        <f t="shared" si="2"/>
        <v>0</v>
      </c>
      <c r="AN225" s="99">
        <f t="shared" si="2"/>
        <v>0</v>
      </c>
      <c r="AO225" s="99">
        <f t="shared" si="2"/>
        <v>0</v>
      </c>
    </row>
    <row r="226" spans="1:41" hidden="1" x14ac:dyDescent="0.25">
      <c r="A226" s="99" t="s">
        <v>1010</v>
      </c>
      <c r="B226" s="99" t="s">
        <v>1389</v>
      </c>
      <c r="C226" s="99" t="s">
        <v>1362</v>
      </c>
      <c r="D226" s="99" t="s">
        <v>703</v>
      </c>
      <c r="E226" s="99" t="s">
        <v>703</v>
      </c>
      <c r="F226" s="99" t="s">
        <v>703</v>
      </c>
      <c r="G226" s="99" t="s">
        <v>703</v>
      </c>
      <c r="H226" s="99" t="s">
        <v>590</v>
      </c>
      <c r="I226" s="99">
        <v>0</v>
      </c>
      <c r="J226" s="99">
        <v>1.24</v>
      </c>
      <c r="K226" s="99">
        <f t="shared" ref="K226:AO226" si="3">J226</f>
        <v>1.24</v>
      </c>
      <c r="L226" s="99">
        <f t="shared" si="3"/>
        <v>1.24</v>
      </c>
      <c r="M226" s="99">
        <f t="shared" si="3"/>
        <v>1.24</v>
      </c>
      <c r="N226" s="99">
        <f t="shared" si="3"/>
        <v>1.24</v>
      </c>
      <c r="O226" s="99">
        <f t="shared" si="3"/>
        <v>1.24</v>
      </c>
      <c r="P226" s="99">
        <f t="shared" si="3"/>
        <v>1.24</v>
      </c>
      <c r="Q226" s="99">
        <f t="shared" si="3"/>
        <v>1.24</v>
      </c>
      <c r="R226" s="99">
        <f t="shared" si="3"/>
        <v>1.24</v>
      </c>
      <c r="S226" s="99">
        <f t="shared" si="3"/>
        <v>1.24</v>
      </c>
      <c r="T226" s="99">
        <f t="shared" si="3"/>
        <v>1.24</v>
      </c>
      <c r="U226" s="99">
        <f t="shared" si="3"/>
        <v>1.24</v>
      </c>
      <c r="V226" s="99">
        <f t="shared" si="3"/>
        <v>1.24</v>
      </c>
      <c r="W226" s="99">
        <f t="shared" si="3"/>
        <v>1.24</v>
      </c>
      <c r="X226" s="99">
        <f t="shared" si="3"/>
        <v>1.24</v>
      </c>
      <c r="Y226" s="99">
        <f t="shared" si="3"/>
        <v>1.24</v>
      </c>
      <c r="Z226" s="99">
        <f t="shared" si="3"/>
        <v>1.24</v>
      </c>
      <c r="AA226" s="99">
        <f t="shared" si="3"/>
        <v>1.24</v>
      </c>
      <c r="AB226" s="99">
        <f t="shared" si="3"/>
        <v>1.24</v>
      </c>
      <c r="AC226" s="99">
        <f t="shared" si="3"/>
        <v>1.24</v>
      </c>
      <c r="AD226" s="99">
        <f t="shared" si="3"/>
        <v>1.24</v>
      </c>
      <c r="AE226" s="99">
        <f t="shared" si="3"/>
        <v>1.24</v>
      </c>
      <c r="AF226" s="99">
        <f t="shared" si="3"/>
        <v>1.24</v>
      </c>
      <c r="AG226" s="99">
        <f t="shared" si="3"/>
        <v>1.24</v>
      </c>
      <c r="AH226" s="99">
        <f t="shared" si="3"/>
        <v>1.24</v>
      </c>
      <c r="AI226" s="99">
        <f t="shared" si="3"/>
        <v>1.24</v>
      </c>
      <c r="AJ226" s="99">
        <f t="shared" si="3"/>
        <v>1.24</v>
      </c>
      <c r="AK226" s="99">
        <f t="shared" si="3"/>
        <v>1.24</v>
      </c>
      <c r="AL226" s="99">
        <f t="shared" si="3"/>
        <v>1.24</v>
      </c>
      <c r="AM226" s="99">
        <f t="shared" si="3"/>
        <v>1.24</v>
      </c>
      <c r="AN226" s="99">
        <f t="shared" si="3"/>
        <v>1.24</v>
      </c>
      <c r="AO226" s="99">
        <f t="shared" si="3"/>
        <v>1.24</v>
      </c>
    </row>
    <row r="227" spans="1:41" hidden="1" x14ac:dyDescent="0.25">
      <c r="A227" s="99" t="s">
        <v>1010</v>
      </c>
      <c r="B227" s="99" t="s">
        <v>1389</v>
      </c>
      <c r="C227" s="99" t="s">
        <v>1360</v>
      </c>
      <c r="D227" s="99" t="s">
        <v>703</v>
      </c>
      <c r="E227" s="99" t="s">
        <v>703</v>
      </c>
      <c r="F227" s="99" t="s">
        <v>703</v>
      </c>
      <c r="G227" s="99" t="s">
        <v>703</v>
      </c>
      <c r="H227" s="99" t="str">
        <f>'PAMS and scenarios'!E$65</f>
        <v>UP</v>
      </c>
      <c r="I227" s="99">
        <v>0</v>
      </c>
      <c r="J227" s="99">
        <v>0</v>
      </c>
      <c r="K227" s="99">
        <f t="shared" ref="K227:AO227" si="4">J227</f>
        <v>0</v>
      </c>
      <c r="L227" s="99">
        <f t="shared" si="4"/>
        <v>0</v>
      </c>
      <c r="M227" s="99">
        <f t="shared" si="4"/>
        <v>0</v>
      </c>
      <c r="N227" s="99">
        <f t="shared" si="4"/>
        <v>0</v>
      </c>
      <c r="O227" s="99">
        <f t="shared" si="4"/>
        <v>0</v>
      </c>
      <c r="P227" s="99">
        <f t="shared" si="4"/>
        <v>0</v>
      </c>
      <c r="Q227" s="99">
        <f t="shared" si="4"/>
        <v>0</v>
      </c>
      <c r="R227" s="99">
        <f t="shared" si="4"/>
        <v>0</v>
      </c>
      <c r="S227" s="99">
        <f t="shared" si="4"/>
        <v>0</v>
      </c>
      <c r="T227" s="99">
        <f t="shared" si="4"/>
        <v>0</v>
      </c>
      <c r="U227" s="99">
        <f t="shared" si="4"/>
        <v>0</v>
      </c>
      <c r="V227" s="99">
        <f t="shared" si="4"/>
        <v>0</v>
      </c>
      <c r="W227" s="99">
        <f t="shared" si="4"/>
        <v>0</v>
      </c>
      <c r="X227" s="99">
        <f t="shared" si="4"/>
        <v>0</v>
      </c>
      <c r="Y227" s="99">
        <f t="shared" si="4"/>
        <v>0</v>
      </c>
      <c r="Z227" s="99">
        <f t="shared" si="4"/>
        <v>0</v>
      </c>
      <c r="AA227" s="99">
        <f t="shared" si="4"/>
        <v>0</v>
      </c>
      <c r="AB227" s="99">
        <f t="shared" si="4"/>
        <v>0</v>
      </c>
      <c r="AC227" s="99">
        <f t="shared" si="4"/>
        <v>0</v>
      </c>
      <c r="AD227" s="99">
        <f t="shared" si="4"/>
        <v>0</v>
      </c>
      <c r="AE227" s="99">
        <f t="shared" si="4"/>
        <v>0</v>
      </c>
      <c r="AF227" s="99">
        <f t="shared" si="4"/>
        <v>0</v>
      </c>
      <c r="AG227" s="99">
        <f t="shared" si="4"/>
        <v>0</v>
      </c>
      <c r="AH227" s="99">
        <f t="shared" si="4"/>
        <v>0</v>
      </c>
      <c r="AI227" s="99">
        <f t="shared" si="4"/>
        <v>0</v>
      </c>
      <c r="AJ227" s="99">
        <f t="shared" si="4"/>
        <v>0</v>
      </c>
      <c r="AK227" s="99">
        <f t="shared" si="4"/>
        <v>0</v>
      </c>
      <c r="AL227" s="99">
        <f t="shared" si="4"/>
        <v>0</v>
      </c>
      <c r="AM227" s="99">
        <f t="shared" si="4"/>
        <v>0</v>
      </c>
      <c r="AN227" s="99">
        <f t="shared" si="4"/>
        <v>0</v>
      </c>
      <c r="AO227" s="99">
        <f t="shared" si="4"/>
        <v>0</v>
      </c>
    </row>
    <row r="228" spans="1:41" hidden="1" x14ac:dyDescent="0.25">
      <c r="A228" s="99" t="s">
        <v>1010</v>
      </c>
      <c r="B228" s="99" t="s">
        <v>1389</v>
      </c>
      <c r="C228" s="99" t="s">
        <v>1358</v>
      </c>
      <c r="D228" s="99" t="s">
        <v>703</v>
      </c>
      <c r="E228" s="99" t="s">
        <v>703</v>
      </c>
      <c r="F228" s="99" t="s">
        <v>703</v>
      </c>
      <c r="G228" s="99" t="s">
        <v>703</v>
      </c>
      <c r="H228" s="99" t="str">
        <f>'PAMS and scenarios'!E$65</f>
        <v>UP</v>
      </c>
      <c r="I228" s="99">
        <v>0</v>
      </c>
      <c r="J228" s="99">
        <v>0</v>
      </c>
      <c r="K228" s="99">
        <f t="shared" ref="K228:AO228" si="5">J228</f>
        <v>0</v>
      </c>
      <c r="L228" s="99">
        <f t="shared" si="5"/>
        <v>0</v>
      </c>
      <c r="M228" s="99">
        <f t="shared" si="5"/>
        <v>0</v>
      </c>
      <c r="N228" s="99">
        <f t="shared" si="5"/>
        <v>0</v>
      </c>
      <c r="O228" s="99">
        <f t="shared" si="5"/>
        <v>0</v>
      </c>
      <c r="P228" s="99">
        <f t="shared" si="5"/>
        <v>0</v>
      </c>
      <c r="Q228" s="99">
        <f t="shared" si="5"/>
        <v>0</v>
      </c>
      <c r="R228" s="99">
        <f t="shared" si="5"/>
        <v>0</v>
      </c>
      <c r="S228" s="99">
        <f t="shared" si="5"/>
        <v>0</v>
      </c>
      <c r="T228" s="99">
        <f t="shared" si="5"/>
        <v>0</v>
      </c>
      <c r="U228" s="99">
        <f t="shared" si="5"/>
        <v>0</v>
      </c>
      <c r="V228" s="99">
        <f t="shared" si="5"/>
        <v>0</v>
      </c>
      <c r="W228" s="99">
        <f t="shared" si="5"/>
        <v>0</v>
      </c>
      <c r="X228" s="99">
        <f t="shared" si="5"/>
        <v>0</v>
      </c>
      <c r="Y228" s="99">
        <f t="shared" si="5"/>
        <v>0</v>
      </c>
      <c r="Z228" s="99">
        <f t="shared" si="5"/>
        <v>0</v>
      </c>
      <c r="AA228" s="99">
        <f t="shared" si="5"/>
        <v>0</v>
      </c>
      <c r="AB228" s="99">
        <f t="shared" si="5"/>
        <v>0</v>
      </c>
      <c r="AC228" s="99">
        <f t="shared" si="5"/>
        <v>0</v>
      </c>
      <c r="AD228" s="99">
        <f t="shared" si="5"/>
        <v>0</v>
      </c>
      <c r="AE228" s="99">
        <f t="shared" si="5"/>
        <v>0</v>
      </c>
      <c r="AF228" s="99">
        <f t="shared" si="5"/>
        <v>0</v>
      </c>
      <c r="AG228" s="99">
        <f t="shared" si="5"/>
        <v>0</v>
      </c>
      <c r="AH228" s="99">
        <f t="shared" si="5"/>
        <v>0</v>
      </c>
      <c r="AI228" s="99">
        <f t="shared" si="5"/>
        <v>0</v>
      </c>
      <c r="AJ228" s="99">
        <f t="shared" si="5"/>
        <v>0</v>
      </c>
      <c r="AK228" s="99">
        <f t="shared" si="5"/>
        <v>0</v>
      </c>
      <c r="AL228" s="99">
        <f t="shared" si="5"/>
        <v>0</v>
      </c>
      <c r="AM228" s="99">
        <f t="shared" si="5"/>
        <v>0</v>
      </c>
      <c r="AN228" s="99">
        <f t="shared" si="5"/>
        <v>0</v>
      </c>
      <c r="AO228" s="99">
        <f t="shared" si="5"/>
        <v>0</v>
      </c>
    </row>
    <row r="229" spans="1:41" hidden="1" x14ac:dyDescent="0.25">
      <c r="A229" s="99" t="s">
        <v>1010</v>
      </c>
      <c r="B229" s="99" t="s">
        <v>1389</v>
      </c>
      <c r="C229" s="99" t="s">
        <v>1356</v>
      </c>
      <c r="D229" s="99" t="s">
        <v>703</v>
      </c>
      <c r="E229" s="99" t="s">
        <v>703</v>
      </c>
      <c r="F229" s="99" t="s">
        <v>703</v>
      </c>
      <c r="G229" s="99" t="s">
        <v>703</v>
      </c>
      <c r="H229" s="99" t="s">
        <v>590</v>
      </c>
      <c r="I229" s="99">
        <v>0</v>
      </c>
      <c r="J229" s="99">
        <v>1.44</v>
      </c>
      <c r="K229" s="99">
        <f t="shared" ref="K229:AO229" si="6">J229</f>
        <v>1.44</v>
      </c>
      <c r="L229" s="99">
        <f t="shared" si="6"/>
        <v>1.44</v>
      </c>
      <c r="M229" s="99">
        <f t="shared" si="6"/>
        <v>1.44</v>
      </c>
      <c r="N229" s="99">
        <f t="shared" si="6"/>
        <v>1.44</v>
      </c>
      <c r="O229" s="99">
        <f t="shared" si="6"/>
        <v>1.44</v>
      </c>
      <c r="P229" s="99">
        <f t="shared" si="6"/>
        <v>1.44</v>
      </c>
      <c r="Q229" s="99">
        <f t="shared" si="6"/>
        <v>1.44</v>
      </c>
      <c r="R229" s="99">
        <f t="shared" si="6"/>
        <v>1.44</v>
      </c>
      <c r="S229" s="99">
        <f t="shared" si="6"/>
        <v>1.44</v>
      </c>
      <c r="T229" s="99">
        <f t="shared" si="6"/>
        <v>1.44</v>
      </c>
      <c r="U229" s="99">
        <f t="shared" si="6"/>
        <v>1.44</v>
      </c>
      <c r="V229" s="99">
        <f t="shared" si="6"/>
        <v>1.44</v>
      </c>
      <c r="W229" s="99">
        <f t="shared" si="6"/>
        <v>1.44</v>
      </c>
      <c r="X229" s="99">
        <f t="shared" si="6"/>
        <v>1.44</v>
      </c>
      <c r="Y229" s="99">
        <f t="shared" si="6"/>
        <v>1.44</v>
      </c>
      <c r="Z229" s="99">
        <f t="shared" si="6"/>
        <v>1.44</v>
      </c>
      <c r="AA229" s="99">
        <f t="shared" si="6"/>
        <v>1.44</v>
      </c>
      <c r="AB229" s="99">
        <f t="shared" si="6"/>
        <v>1.44</v>
      </c>
      <c r="AC229" s="99">
        <f t="shared" si="6"/>
        <v>1.44</v>
      </c>
      <c r="AD229" s="99">
        <f t="shared" si="6"/>
        <v>1.44</v>
      </c>
      <c r="AE229" s="99">
        <f t="shared" si="6"/>
        <v>1.44</v>
      </c>
      <c r="AF229" s="99">
        <f t="shared" si="6"/>
        <v>1.44</v>
      </c>
      <c r="AG229" s="99">
        <f t="shared" si="6"/>
        <v>1.44</v>
      </c>
      <c r="AH229" s="99">
        <f t="shared" si="6"/>
        <v>1.44</v>
      </c>
      <c r="AI229" s="99">
        <f t="shared" si="6"/>
        <v>1.44</v>
      </c>
      <c r="AJ229" s="99">
        <f t="shared" si="6"/>
        <v>1.44</v>
      </c>
      <c r="AK229" s="99">
        <f t="shared" si="6"/>
        <v>1.44</v>
      </c>
      <c r="AL229" s="99">
        <f t="shared" si="6"/>
        <v>1.44</v>
      </c>
      <c r="AM229" s="99">
        <f t="shared" si="6"/>
        <v>1.44</v>
      </c>
      <c r="AN229" s="99">
        <f t="shared" si="6"/>
        <v>1.44</v>
      </c>
      <c r="AO229" s="99">
        <f t="shared" si="6"/>
        <v>1.44</v>
      </c>
    </row>
    <row r="230" spans="1:41" hidden="1" x14ac:dyDescent="0.25">
      <c r="A230" s="99" t="s">
        <v>1010</v>
      </c>
      <c r="B230" s="99" t="s">
        <v>1389</v>
      </c>
      <c r="C230" s="99" t="s">
        <v>1354</v>
      </c>
      <c r="D230" s="99" t="s">
        <v>703</v>
      </c>
      <c r="E230" s="99" t="s">
        <v>703</v>
      </c>
      <c r="F230" s="99" t="s">
        <v>703</v>
      </c>
      <c r="G230" s="99" t="s">
        <v>703</v>
      </c>
      <c r="H230" s="99" t="str">
        <f>'PAMS and scenarios'!E$65</f>
        <v>UP</v>
      </c>
      <c r="I230" s="99">
        <v>0</v>
      </c>
      <c r="J230" s="99">
        <v>0</v>
      </c>
      <c r="K230" s="99">
        <f t="shared" ref="K230:AO230" si="7">J230</f>
        <v>0</v>
      </c>
      <c r="L230" s="99">
        <f t="shared" si="7"/>
        <v>0</v>
      </c>
      <c r="M230" s="99">
        <f t="shared" si="7"/>
        <v>0</v>
      </c>
      <c r="N230" s="99">
        <f t="shared" si="7"/>
        <v>0</v>
      </c>
      <c r="O230" s="99">
        <f t="shared" si="7"/>
        <v>0</v>
      </c>
      <c r="P230" s="99">
        <f t="shared" si="7"/>
        <v>0</v>
      </c>
      <c r="Q230" s="99">
        <f t="shared" si="7"/>
        <v>0</v>
      </c>
      <c r="R230" s="99">
        <f t="shared" si="7"/>
        <v>0</v>
      </c>
      <c r="S230" s="99">
        <f t="shared" si="7"/>
        <v>0</v>
      </c>
      <c r="T230" s="99">
        <f t="shared" si="7"/>
        <v>0</v>
      </c>
      <c r="U230" s="99">
        <f t="shared" si="7"/>
        <v>0</v>
      </c>
      <c r="V230" s="99">
        <f t="shared" si="7"/>
        <v>0</v>
      </c>
      <c r="W230" s="99">
        <f t="shared" si="7"/>
        <v>0</v>
      </c>
      <c r="X230" s="99">
        <f t="shared" si="7"/>
        <v>0</v>
      </c>
      <c r="Y230" s="99">
        <f t="shared" si="7"/>
        <v>0</v>
      </c>
      <c r="Z230" s="99">
        <f t="shared" si="7"/>
        <v>0</v>
      </c>
      <c r="AA230" s="99">
        <f t="shared" si="7"/>
        <v>0</v>
      </c>
      <c r="AB230" s="99">
        <f t="shared" si="7"/>
        <v>0</v>
      </c>
      <c r="AC230" s="99">
        <f t="shared" si="7"/>
        <v>0</v>
      </c>
      <c r="AD230" s="99">
        <f t="shared" si="7"/>
        <v>0</v>
      </c>
      <c r="AE230" s="99">
        <f t="shared" si="7"/>
        <v>0</v>
      </c>
      <c r="AF230" s="99">
        <f t="shared" si="7"/>
        <v>0</v>
      </c>
      <c r="AG230" s="99">
        <f t="shared" si="7"/>
        <v>0</v>
      </c>
      <c r="AH230" s="99">
        <f t="shared" si="7"/>
        <v>0</v>
      </c>
      <c r="AI230" s="99">
        <f t="shared" si="7"/>
        <v>0</v>
      </c>
      <c r="AJ230" s="99">
        <f t="shared" si="7"/>
        <v>0</v>
      </c>
      <c r="AK230" s="99">
        <f t="shared" si="7"/>
        <v>0</v>
      </c>
      <c r="AL230" s="99">
        <f t="shared" si="7"/>
        <v>0</v>
      </c>
      <c r="AM230" s="99">
        <f t="shared" si="7"/>
        <v>0</v>
      </c>
      <c r="AN230" s="99">
        <f t="shared" si="7"/>
        <v>0</v>
      </c>
      <c r="AO230" s="99">
        <f t="shared" si="7"/>
        <v>0</v>
      </c>
    </row>
    <row r="231" spans="1:41" hidden="1" x14ac:dyDescent="0.25">
      <c r="A231" s="99" t="s">
        <v>1010</v>
      </c>
      <c r="B231" s="99" t="s">
        <v>1389</v>
      </c>
      <c r="C231" s="99" t="s">
        <v>1352</v>
      </c>
      <c r="D231" s="99" t="s">
        <v>703</v>
      </c>
      <c r="E231" s="99" t="s">
        <v>703</v>
      </c>
      <c r="F231" s="99" t="s">
        <v>703</v>
      </c>
      <c r="G231" s="99" t="s">
        <v>703</v>
      </c>
      <c r="H231" s="99" t="str">
        <f>'PAMS and scenarios'!E$65</f>
        <v>UP</v>
      </c>
      <c r="I231" s="99">
        <v>0</v>
      </c>
      <c r="J231" s="99">
        <v>0</v>
      </c>
      <c r="K231" s="99">
        <f t="shared" ref="K231:AO231" si="8">J231</f>
        <v>0</v>
      </c>
      <c r="L231" s="99">
        <f t="shared" si="8"/>
        <v>0</v>
      </c>
      <c r="M231" s="99">
        <f t="shared" si="8"/>
        <v>0</v>
      </c>
      <c r="N231" s="99">
        <f t="shared" si="8"/>
        <v>0</v>
      </c>
      <c r="O231" s="99">
        <f t="shared" si="8"/>
        <v>0</v>
      </c>
      <c r="P231" s="99">
        <f t="shared" si="8"/>
        <v>0</v>
      </c>
      <c r="Q231" s="99">
        <f t="shared" si="8"/>
        <v>0</v>
      </c>
      <c r="R231" s="99">
        <f t="shared" si="8"/>
        <v>0</v>
      </c>
      <c r="S231" s="99">
        <f t="shared" si="8"/>
        <v>0</v>
      </c>
      <c r="T231" s="99">
        <f t="shared" si="8"/>
        <v>0</v>
      </c>
      <c r="U231" s="99">
        <f t="shared" si="8"/>
        <v>0</v>
      </c>
      <c r="V231" s="99">
        <f t="shared" si="8"/>
        <v>0</v>
      </c>
      <c r="W231" s="99">
        <f t="shared" si="8"/>
        <v>0</v>
      </c>
      <c r="X231" s="99">
        <f t="shared" si="8"/>
        <v>0</v>
      </c>
      <c r="Y231" s="99">
        <f t="shared" si="8"/>
        <v>0</v>
      </c>
      <c r="Z231" s="99">
        <f t="shared" si="8"/>
        <v>0</v>
      </c>
      <c r="AA231" s="99">
        <f t="shared" si="8"/>
        <v>0</v>
      </c>
      <c r="AB231" s="99">
        <f t="shared" si="8"/>
        <v>0</v>
      </c>
      <c r="AC231" s="99">
        <f t="shared" si="8"/>
        <v>0</v>
      </c>
      <c r="AD231" s="99">
        <f t="shared" si="8"/>
        <v>0</v>
      </c>
      <c r="AE231" s="99">
        <f t="shared" si="8"/>
        <v>0</v>
      </c>
      <c r="AF231" s="99">
        <f t="shared" si="8"/>
        <v>0</v>
      </c>
      <c r="AG231" s="99">
        <f t="shared" si="8"/>
        <v>0</v>
      </c>
      <c r="AH231" s="99">
        <f t="shared" si="8"/>
        <v>0</v>
      </c>
      <c r="AI231" s="99">
        <f t="shared" si="8"/>
        <v>0</v>
      </c>
      <c r="AJ231" s="99">
        <f t="shared" si="8"/>
        <v>0</v>
      </c>
      <c r="AK231" s="99">
        <f t="shared" si="8"/>
        <v>0</v>
      </c>
      <c r="AL231" s="99">
        <f t="shared" si="8"/>
        <v>0</v>
      </c>
      <c r="AM231" s="99">
        <f t="shared" si="8"/>
        <v>0</v>
      </c>
      <c r="AN231" s="99">
        <f t="shared" si="8"/>
        <v>0</v>
      </c>
      <c r="AO231" s="99">
        <f t="shared" si="8"/>
        <v>0</v>
      </c>
    </row>
    <row r="232" spans="1:41" hidden="1" x14ac:dyDescent="0.25">
      <c r="A232" s="99" t="s">
        <v>1010</v>
      </c>
      <c r="B232" s="545" t="s">
        <v>1389</v>
      </c>
      <c r="C232" s="545" t="s">
        <v>1350</v>
      </c>
      <c r="D232" s="545" t="s">
        <v>703</v>
      </c>
      <c r="E232" s="545" t="s">
        <v>703</v>
      </c>
      <c r="F232" s="545" t="s">
        <v>703</v>
      </c>
      <c r="G232" s="545" t="s">
        <v>703</v>
      </c>
      <c r="H232" s="545" t="s">
        <v>590</v>
      </c>
      <c r="I232" s="99">
        <v>0</v>
      </c>
      <c r="J232" s="545">
        <f t="shared" ref="J232:AI232" si="9">J216</f>
        <v>1</v>
      </c>
      <c r="K232" s="545">
        <f t="shared" si="9"/>
        <v>1</v>
      </c>
      <c r="L232" s="545">
        <f t="shared" si="9"/>
        <v>1</v>
      </c>
      <c r="M232" s="545">
        <f t="shared" si="9"/>
        <v>1</v>
      </c>
      <c r="N232" s="545">
        <f t="shared" si="9"/>
        <v>1</v>
      </c>
      <c r="O232" s="545">
        <f t="shared" si="9"/>
        <v>1</v>
      </c>
      <c r="P232" s="545">
        <f t="shared" si="9"/>
        <v>1</v>
      </c>
      <c r="Q232" s="545">
        <f t="shared" si="9"/>
        <v>1</v>
      </c>
      <c r="R232" s="545">
        <f t="shared" si="9"/>
        <v>1</v>
      </c>
      <c r="S232" s="545">
        <f t="shared" si="9"/>
        <v>1</v>
      </c>
      <c r="T232" s="545">
        <f t="shared" si="9"/>
        <v>1</v>
      </c>
      <c r="U232" s="545">
        <f t="shared" si="9"/>
        <v>1</v>
      </c>
      <c r="V232" s="545">
        <f t="shared" si="9"/>
        <v>1</v>
      </c>
      <c r="W232" s="545">
        <f t="shared" si="9"/>
        <v>1</v>
      </c>
      <c r="X232" s="545">
        <f t="shared" si="9"/>
        <v>1</v>
      </c>
      <c r="Y232" s="545">
        <f t="shared" si="9"/>
        <v>1</v>
      </c>
      <c r="Z232" s="545">
        <f t="shared" si="9"/>
        <v>1</v>
      </c>
      <c r="AA232" s="545">
        <f t="shared" si="9"/>
        <v>1</v>
      </c>
      <c r="AB232" s="545">
        <f t="shared" si="9"/>
        <v>1</v>
      </c>
      <c r="AC232" s="545">
        <f t="shared" si="9"/>
        <v>1</v>
      </c>
      <c r="AD232" s="545">
        <f t="shared" si="9"/>
        <v>1</v>
      </c>
      <c r="AE232" s="545">
        <f t="shared" si="9"/>
        <v>1</v>
      </c>
      <c r="AF232" s="545">
        <f t="shared" si="9"/>
        <v>1</v>
      </c>
      <c r="AG232" s="545">
        <f t="shared" si="9"/>
        <v>1</v>
      </c>
      <c r="AH232" s="545">
        <f t="shared" si="9"/>
        <v>1</v>
      </c>
      <c r="AI232" s="545">
        <f t="shared" si="9"/>
        <v>0</v>
      </c>
      <c r="AJ232" s="99">
        <f t="shared" ref="AJ232:AO239" si="10">AI232</f>
        <v>0</v>
      </c>
      <c r="AK232" s="99">
        <f t="shared" si="10"/>
        <v>0</v>
      </c>
      <c r="AL232" s="99">
        <f t="shared" si="10"/>
        <v>0</v>
      </c>
      <c r="AM232" s="99">
        <f t="shared" si="10"/>
        <v>0</v>
      </c>
      <c r="AN232" s="99">
        <f t="shared" si="10"/>
        <v>0</v>
      </c>
      <c r="AO232" s="99">
        <f t="shared" si="10"/>
        <v>0</v>
      </c>
    </row>
    <row r="233" spans="1:41" hidden="1" x14ac:dyDescent="0.25">
      <c r="A233" s="99" t="s">
        <v>1010</v>
      </c>
      <c r="B233" s="99" t="s">
        <v>1389</v>
      </c>
      <c r="C233" s="99" t="s">
        <v>1348</v>
      </c>
      <c r="D233" s="99" t="s">
        <v>703</v>
      </c>
      <c r="E233" s="99" t="s">
        <v>703</v>
      </c>
      <c r="F233" s="99" t="s">
        <v>703</v>
      </c>
      <c r="G233" s="99" t="s">
        <v>703</v>
      </c>
      <c r="H233" s="99" t="str">
        <f>'PAMS and scenarios'!E$65</f>
        <v>UP</v>
      </c>
      <c r="I233" s="99">
        <v>0</v>
      </c>
      <c r="J233" s="99">
        <v>0</v>
      </c>
      <c r="K233" s="99">
        <f t="shared" ref="K233:AI233" si="11">J233</f>
        <v>0</v>
      </c>
      <c r="L233" s="99">
        <f t="shared" si="11"/>
        <v>0</v>
      </c>
      <c r="M233" s="99">
        <f t="shared" si="11"/>
        <v>0</v>
      </c>
      <c r="N233" s="99">
        <f t="shared" si="11"/>
        <v>0</v>
      </c>
      <c r="O233" s="99">
        <f t="shared" si="11"/>
        <v>0</v>
      </c>
      <c r="P233" s="99">
        <f t="shared" si="11"/>
        <v>0</v>
      </c>
      <c r="Q233" s="99">
        <f t="shared" si="11"/>
        <v>0</v>
      </c>
      <c r="R233" s="99">
        <f t="shared" si="11"/>
        <v>0</v>
      </c>
      <c r="S233" s="99">
        <f t="shared" si="11"/>
        <v>0</v>
      </c>
      <c r="T233" s="99">
        <f t="shared" si="11"/>
        <v>0</v>
      </c>
      <c r="U233" s="99">
        <f t="shared" si="11"/>
        <v>0</v>
      </c>
      <c r="V233" s="99">
        <f t="shared" si="11"/>
        <v>0</v>
      </c>
      <c r="W233" s="99">
        <f t="shared" si="11"/>
        <v>0</v>
      </c>
      <c r="X233" s="99">
        <f t="shared" si="11"/>
        <v>0</v>
      </c>
      <c r="Y233" s="99">
        <f t="shared" si="11"/>
        <v>0</v>
      </c>
      <c r="Z233" s="99">
        <f t="shared" si="11"/>
        <v>0</v>
      </c>
      <c r="AA233" s="99">
        <f t="shared" si="11"/>
        <v>0</v>
      </c>
      <c r="AB233" s="99">
        <f t="shared" si="11"/>
        <v>0</v>
      </c>
      <c r="AC233" s="99">
        <f t="shared" si="11"/>
        <v>0</v>
      </c>
      <c r="AD233" s="99">
        <f t="shared" si="11"/>
        <v>0</v>
      </c>
      <c r="AE233" s="99">
        <f t="shared" si="11"/>
        <v>0</v>
      </c>
      <c r="AF233" s="99">
        <f t="shared" si="11"/>
        <v>0</v>
      </c>
      <c r="AG233" s="99">
        <f t="shared" si="11"/>
        <v>0</v>
      </c>
      <c r="AH233" s="99">
        <f t="shared" si="11"/>
        <v>0</v>
      </c>
      <c r="AI233" s="99">
        <f t="shared" si="11"/>
        <v>0</v>
      </c>
      <c r="AJ233" s="99">
        <f t="shared" si="10"/>
        <v>0</v>
      </c>
      <c r="AK233" s="99">
        <f t="shared" si="10"/>
        <v>0</v>
      </c>
      <c r="AL233" s="99">
        <f t="shared" si="10"/>
        <v>0</v>
      </c>
      <c r="AM233" s="99">
        <f t="shared" si="10"/>
        <v>0</v>
      </c>
      <c r="AN233" s="99">
        <f t="shared" si="10"/>
        <v>0</v>
      </c>
      <c r="AO233" s="99">
        <f t="shared" si="10"/>
        <v>0</v>
      </c>
    </row>
    <row r="234" spans="1:41" hidden="1" x14ac:dyDescent="0.25">
      <c r="A234" s="99" t="s">
        <v>1010</v>
      </c>
      <c r="B234" s="99" t="s">
        <v>1389</v>
      </c>
      <c r="C234" s="99" t="s">
        <v>1346</v>
      </c>
      <c r="D234" s="99" t="s">
        <v>703</v>
      </c>
      <c r="E234" s="99" t="s">
        <v>703</v>
      </c>
      <c r="F234" s="99" t="s">
        <v>703</v>
      </c>
      <c r="G234" s="99" t="s">
        <v>703</v>
      </c>
      <c r="H234" s="99" t="str">
        <f>'PAMS and scenarios'!E$65</f>
        <v>UP</v>
      </c>
      <c r="I234" s="99">
        <v>0</v>
      </c>
      <c r="J234" s="99">
        <v>0</v>
      </c>
      <c r="K234" s="99">
        <f t="shared" ref="K234:AI234" si="12">J234</f>
        <v>0</v>
      </c>
      <c r="L234" s="99">
        <f t="shared" si="12"/>
        <v>0</v>
      </c>
      <c r="M234" s="99">
        <f t="shared" si="12"/>
        <v>0</v>
      </c>
      <c r="N234" s="99">
        <f t="shared" si="12"/>
        <v>0</v>
      </c>
      <c r="O234" s="99">
        <f t="shared" si="12"/>
        <v>0</v>
      </c>
      <c r="P234" s="99">
        <f t="shared" si="12"/>
        <v>0</v>
      </c>
      <c r="Q234" s="99">
        <f t="shared" si="12"/>
        <v>0</v>
      </c>
      <c r="R234" s="99">
        <f t="shared" si="12"/>
        <v>0</v>
      </c>
      <c r="S234" s="99">
        <f t="shared" si="12"/>
        <v>0</v>
      </c>
      <c r="T234" s="99">
        <f t="shared" si="12"/>
        <v>0</v>
      </c>
      <c r="U234" s="99">
        <f t="shared" si="12"/>
        <v>0</v>
      </c>
      <c r="V234" s="99">
        <f t="shared" si="12"/>
        <v>0</v>
      </c>
      <c r="W234" s="99">
        <f t="shared" si="12"/>
        <v>0</v>
      </c>
      <c r="X234" s="99">
        <f t="shared" si="12"/>
        <v>0</v>
      </c>
      <c r="Y234" s="99">
        <f t="shared" si="12"/>
        <v>0</v>
      </c>
      <c r="Z234" s="99">
        <f t="shared" si="12"/>
        <v>0</v>
      </c>
      <c r="AA234" s="99">
        <f t="shared" si="12"/>
        <v>0</v>
      </c>
      <c r="AB234" s="99">
        <f t="shared" si="12"/>
        <v>0</v>
      </c>
      <c r="AC234" s="99">
        <f t="shared" si="12"/>
        <v>0</v>
      </c>
      <c r="AD234" s="99">
        <f t="shared" si="12"/>
        <v>0</v>
      </c>
      <c r="AE234" s="99">
        <f t="shared" si="12"/>
        <v>0</v>
      </c>
      <c r="AF234" s="99">
        <f t="shared" si="12"/>
        <v>0</v>
      </c>
      <c r="AG234" s="99">
        <f t="shared" si="12"/>
        <v>0</v>
      </c>
      <c r="AH234" s="99">
        <f t="shared" si="12"/>
        <v>0</v>
      </c>
      <c r="AI234" s="99">
        <f t="shared" si="12"/>
        <v>0</v>
      </c>
      <c r="AJ234" s="99">
        <f t="shared" si="10"/>
        <v>0</v>
      </c>
      <c r="AK234" s="99">
        <f t="shared" si="10"/>
        <v>0</v>
      </c>
      <c r="AL234" s="99">
        <f t="shared" si="10"/>
        <v>0</v>
      </c>
      <c r="AM234" s="99">
        <f t="shared" si="10"/>
        <v>0</v>
      </c>
      <c r="AN234" s="99">
        <f t="shared" si="10"/>
        <v>0</v>
      </c>
      <c r="AO234" s="99">
        <f t="shared" si="10"/>
        <v>0</v>
      </c>
    </row>
    <row r="235" spans="1:41" hidden="1" x14ac:dyDescent="0.25">
      <c r="B235" s="545" t="s">
        <v>1389</v>
      </c>
      <c r="C235" s="545" t="s">
        <v>1344</v>
      </c>
      <c r="D235" s="545" t="s">
        <v>703</v>
      </c>
      <c r="E235" s="545" t="s">
        <v>703</v>
      </c>
      <c r="F235" s="545" t="s">
        <v>703</v>
      </c>
      <c r="G235" s="545" t="s">
        <v>703</v>
      </c>
      <c r="H235" s="545" t="s">
        <v>590</v>
      </c>
      <c r="I235" s="99">
        <v>0</v>
      </c>
      <c r="J235" s="545">
        <f t="shared" ref="J235:AI235" si="13">J217</f>
        <v>1.7200000000000002</v>
      </c>
      <c r="K235" s="545">
        <f t="shared" si="13"/>
        <v>1.7200000000000002</v>
      </c>
      <c r="L235" s="545">
        <f t="shared" si="13"/>
        <v>1.7200000000000002</v>
      </c>
      <c r="M235" s="545">
        <f t="shared" si="13"/>
        <v>1.7200000000000002</v>
      </c>
      <c r="N235" s="545">
        <f t="shared" si="13"/>
        <v>1.3200000000000003</v>
      </c>
      <c r="O235" s="545">
        <f t="shared" si="13"/>
        <v>1.3200000000000003</v>
      </c>
      <c r="P235" s="545">
        <f t="shared" si="13"/>
        <v>1.3200000000000003</v>
      </c>
      <c r="Q235" s="545">
        <f t="shared" si="13"/>
        <v>1.3200000000000003</v>
      </c>
      <c r="R235" s="545">
        <f t="shared" si="13"/>
        <v>1.3200000000000003</v>
      </c>
      <c r="S235" s="545">
        <f t="shared" si="13"/>
        <v>1.3200000000000003</v>
      </c>
      <c r="T235" s="545">
        <f t="shared" si="13"/>
        <v>1.3200000000000003</v>
      </c>
      <c r="U235" s="545">
        <f t="shared" si="13"/>
        <v>1.3200000000000003</v>
      </c>
      <c r="V235" s="545">
        <f t="shared" si="13"/>
        <v>1.3200000000000003</v>
      </c>
      <c r="W235" s="545">
        <f t="shared" si="13"/>
        <v>1.3200000000000003</v>
      </c>
      <c r="X235" s="545">
        <f t="shared" si="13"/>
        <v>1.3200000000000003</v>
      </c>
      <c r="Y235" s="545">
        <f t="shared" si="13"/>
        <v>1.3200000000000003</v>
      </c>
      <c r="Z235" s="545">
        <f t="shared" si="13"/>
        <v>1.3200000000000003</v>
      </c>
      <c r="AA235" s="545">
        <f t="shared" si="13"/>
        <v>1.3200000000000003</v>
      </c>
      <c r="AB235" s="545">
        <f t="shared" si="13"/>
        <v>1.3200000000000003</v>
      </c>
      <c r="AC235" s="545">
        <f t="shared" si="13"/>
        <v>1.3200000000000003</v>
      </c>
      <c r="AD235" s="545">
        <f t="shared" si="13"/>
        <v>1.3200000000000003</v>
      </c>
      <c r="AE235" s="545">
        <f t="shared" si="13"/>
        <v>1.3200000000000003</v>
      </c>
      <c r="AF235" s="545">
        <f t="shared" si="13"/>
        <v>1.3200000000000003</v>
      </c>
      <c r="AG235" s="545">
        <f t="shared" si="13"/>
        <v>1.3200000000000003</v>
      </c>
      <c r="AH235" s="545">
        <f t="shared" si="13"/>
        <v>1.3200000000000003</v>
      </c>
      <c r="AI235" s="545">
        <f t="shared" si="13"/>
        <v>0</v>
      </c>
      <c r="AJ235" s="99">
        <f t="shared" si="10"/>
        <v>0</v>
      </c>
      <c r="AK235" s="99">
        <f t="shared" si="10"/>
        <v>0</v>
      </c>
      <c r="AL235" s="99">
        <f t="shared" si="10"/>
        <v>0</v>
      </c>
      <c r="AM235" s="99">
        <f t="shared" si="10"/>
        <v>0</v>
      </c>
      <c r="AN235" s="99">
        <f t="shared" si="10"/>
        <v>0</v>
      </c>
      <c r="AO235" s="99">
        <f t="shared" si="10"/>
        <v>0</v>
      </c>
    </row>
    <row r="236" spans="1:41" hidden="1" x14ac:dyDescent="0.25">
      <c r="B236" s="99" t="s">
        <v>1389</v>
      </c>
      <c r="C236" s="99" t="s">
        <v>1342</v>
      </c>
      <c r="D236" s="99" t="s">
        <v>703</v>
      </c>
      <c r="E236" s="99" t="s">
        <v>703</v>
      </c>
      <c r="F236" s="99" t="s">
        <v>703</v>
      </c>
      <c r="G236" s="99" t="s">
        <v>703</v>
      </c>
      <c r="H236" s="99" t="s">
        <v>590</v>
      </c>
      <c r="I236" s="99">
        <v>0</v>
      </c>
      <c r="J236" s="99">
        <v>0</v>
      </c>
      <c r="K236" s="99">
        <f t="shared" ref="K236:AI236" si="14">J236</f>
        <v>0</v>
      </c>
      <c r="L236" s="99">
        <f t="shared" si="14"/>
        <v>0</v>
      </c>
      <c r="M236" s="99">
        <f t="shared" si="14"/>
        <v>0</v>
      </c>
      <c r="N236" s="99">
        <f t="shared" si="14"/>
        <v>0</v>
      </c>
      <c r="O236" s="99">
        <f t="shared" si="14"/>
        <v>0</v>
      </c>
      <c r="P236" s="99">
        <f t="shared" si="14"/>
        <v>0</v>
      </c>
      <c r="Q236" s="99">
        <f t="shared" si="14"/>
        <v>0</v>
      </c>
      <c r="R236" s="99">
        <f t="shared" si="14"/>
        <v>0</v>
      </c>
      <c r="S236" s="99">
        <f t="shared" si="14"/>
        <v>0</v>
      </c>
      <c r="T236" s="99">
        <f t="shared" si="14"/>
        <v>0</v>
      </c>
      <c r="U236" s="99">
        <f t="shared" si="14"/>
        <v>0</v>
      </c>
      <c r="V236" s="99">
        <f t="shared" si="14"/>
        <v>0</v>
      </c>
      <c r="W236" s="99">
        <f t="shared" si="14"/>
        <v>0</v>
      </c>
      <c r="X236" s="99">
        <f t="shared" si="14"/>
        <v>0</v>
      </c>
      <c r="Y236" s="99">
        <f t="shared" si="14"/>
        <v>0</v>
      </c>
      <c r="Z236" s="99">
        <f t="shared" si="14"/>
        <v>0</v>
      </c>
      <c r="AA236" s="99">
        <f t="shared" si="14"/>
        <v>0</v>
      </c>
      <c r="AB236" s="99">
        <f t="shared" si="14"/>
        <v>0</v>
      </c>
      <c r="AC236" s="99">
        <f t="shared" si="14"/>
        <v>0</v>
      </c>
      <c r="AD236" s="99">
        <f t="shared" si="14"/>
        <v>0</v>
      </c>
      <c r="AE236" s="99">
        <f t="shared" si="14"/>
        <v>0</v>
      </c>
      <c r="AF236" s="99">
        <f t="shared" si="14"/>
        <v>0</v>
      </c>
      <c r="AG236" s="99">
        <f t="shared" si="14"/>
        <v>0</v>
      </c>
      <c r="AH236" s="99">
        <f t="shared" si="14"/>
        <v>0</v>
      </c>
      <c r="AI236" s="99">
        <f t="shared" si="14"/>
        <v>0</v>
      </c>
      <c r="AJ236" s="99">
        <f t="shared" si="10"/>
        <v>0</v>
      </c>
      <c r="AK236" s="99">
        <f t="shared" si="10"/>
        <v>0</v>
      </c>
      <c r="AL236" s="99">
        <f t="shared" si="10"/>
        <v>0</v>
      </c>
      <c r="AM236" s="99">
        <f t="shared" si="10"/>
        <v>0</v>
      </c>
      <c r="AN236" s="99">
        <f t="shared" si="10"/>
        <v>0</v>
      </c>
      <c r="AO236" s="99">
        <f t="shared" si="10"/>
        <v>0</v>
      </c>
    </row>
    <row r="237" spans="1:41" hidden="1" x14ac:dyDescent="0.25">
      <c r="B237" s="99" t="s">
        <v>1389</v>
      </c>
      <c r="C237" s="99" t="s">
        <v>1340</v>
      </c>
      <c r="D237" s="99" t="s">
        <v>703</v>
      </c>
      <c r="E237" s="99" t="s">
        <v>703</v>
      </c>
      <c r="F237" s="99" t="s">
        <v>703</v>
      </c>
      <c r="G237" s="99" t="s">
        <v>703</v>
      </c>
      <c r="H237" s="99" t="s">
        <v>589</v>
      </c>
      <c r="I237" s="99">
        <v>0</v>
      </c>
      <c r="J237" s="99">
        <v>0</v>
      </c>
      <c r="K237" s="99">
        <f t="shared" ref="K237:AI237" si="15">J237</f>
        <v>0</v>
      </c>
      <c r="L237" s="99">
        <f t="shared" si="15"/>
        <v>0</v>
      </c>
      <c r="M237" s="99">
        <f t="shared" si="15"/>
        <v>0</v>
      </c>
      <c r="N237" s="99">
        <f t="shared" si="15"/>
        <v>0</v>
      </c>
      <c r="O237" s="99">
        <f t="shared" si="15"/>
        <v>0</v>
      </c>
      <c r="P237" s="99">
        <f t="shared" si="15"/>
        <v>0</v>
      </c>
      <c r="Q237" s="99">
        <f t="shared" si="15"/>
        <v>0</v>
      </c>
      <c r="R237" s="99">
        <f t="shared" si="15"/>
        <v>0</v>
      </c>
      <c r="S237" s="99">
        <f t="shared" si="15"/>
        <v>0</v>
      </c>
      <c r="T237" s="99">
        <f t="shared" si="15"/>
        <v>0</v>
      </c>
      <c r="U237" s="99">
        <f t="shared" si="15"/>
        <v>0</v>
      </c>
      <c r="V237" s="99">
        <f t="shared" si="15"/>
        <v>0</v>
      </c>
      <c r="W237" s="99">
        <f t="shared" si="15"/>
        <v>0</v>
      </c>
      <c r="X237" s="99">
        <f t="shared" si="15"/>
        <v>0</v>
      </c>
      <c r="Y237" s="99">
        <f t="shared" si="15"/>
        <v>0</v>
      </c>
      <c r="Z237" s="99">
        <f t="shared" si="15"/>
        <v>0</v>
      </c>
      <c r="AA237" s="99">
        <f t="shared" si="15"/>
        <v>0</v>
      </c>
      <c r="AB237" s="99">
        <f t="shared" si="15"/>
        <v>0</v>
      </c>
      <c r="AC237" s="99">
        <f t="shared" si="15"/>
        <v>0</v>
      </c>
      <c r="AD237" s="99">
        <f t="shared" si="15"/>
        <v>0</v>
      </c>
      <c r="AE237" s="99">
        <f t="shared" si="15"/>
        <v>0</v>
      </c>
      <c r="AF237" s="99">
        <f t="shared" si="15"/>
        <v>0</v>
      </c>
      <c r="AG237" s="99">
        <f t="shared" si="15"/>
        <v>0</v>
      </c>
      <c r="AH237" s="99">
        <f t="shared" si="15"/>
        <v>0</v>
      </c>
      <c r="AI237" s="99">
        <f t="shared" si="15"/>
        <v>0</v>
      </c>
      <c r="AJ237" s="99">
        <f t="shared" si="10"/>
        <v>0</v>
      </c>
      <c r="AK237" s="99">
        <f t="shared" si="10"/>
        <v>0</v>
      </c>
      <c r="AL237" s="99">
        <f t="shared" si="10"/>
        <v>0</v>
      </c>
      <c r="AM237" s="99">
        <f t="shared" si="10"/>
        <v>0</v>
      </c>
      <c r="AN237" s="99">
        <f t="shared" si="10"/>
        <v>0</v>
      </c>
      <c r="AO237" s="99">
        <f t="shared" si="10"/>
        <v>0</v>
      </c>
    </row>
    <row r="238" spans="1:41" hidden="1" x14ac:dyDescent="0.25">
      <c r="A238" s="99" t="s">
        <v>1010</v>
      </c>
      <c r="B238" s="99" t="s">
        <v>1389</v>
      </c>
      <c r="C238" s="99" t="s">
        <v>1338</v>
      </c>
      <c r="D238" s="99" t="s">
        <v>703</v>
      </c>
      <c r="E238" s="99" t="s">
        <v>703</v>
      </c>
      <c r="F238" s="99" t="s">
        <v>703</v>
      </c>
      <c r="G238" s="99" t="s">
        <v>703</v>
      </c>
      <c r="H238" s="99" t="str">
        <f>'PAMS and scenarios'!E$65</f>
        <v>UP</v>
      </c>
      <c r="I238" s="99">
        <f>'PAMS and scenarios'!F$65</f>
        <v>0</v>
      </c>
      <c r="J238" s="99">
        <v>0</v>
      </c>
      <c r="K238" s="99">
        <f t="shared" ref="K238:AI238" si="16">J238</f>
        <v>0</v>
      </c>
      <c r="L238" s="99">
        <f t="shared" si="16"/>
        <v>0</v>
      </c>
      <c r="M238" s="99">
        <f t="shared" si="16"/>
        <v>0</v>
      </c>
      <c r="N238" s="99">
        <f t="shared" si="16"/>
        <v>0</v>
      </c>
      <c r="O238" s="99">
        <f t="shared" si="16"/>
        <v>0</v>
      </c>
      <c r="P238" s="99">
        <f t="shared" si="16"/>
        <v>0</v>
      </c>
      <c r="Q238" s="99">
        <f t="shared" si="16"/>
        <v>0</v>
      </c>
      <c r="R238" s="99">
        <f t="shared" si="16"/>
        <v>0</v>
      </c>
      <c r="S238" s="99">
        <f t="shared" si="16"/>
        <v>0</v>
      </c>
      <c r="T238" s="99">
        <f t="shared" si="16"/>
        <v>0</v>
      </c>
      <c r="U238" s="99">
        <f t="shared" si="16"/>
        <v>0</v>
      </c>
      <c r="V238" s="99">
        <f t="shared" si="16"/>
        <v>0</v>
      </c>
      <c r="W238" s="99">
        <f t="shared" si="16"/>
        <v>0</v>
      </c>
      <c r="X238" s="99">
        <f t="shared" si="16"/>
        <v>0</v>
      </c>
      <c r="Y238" s="99">
        <f t="shared" si="16"/>
        <v>0</v>
      </c>
      <c r="Z238" s="99">
        <f t="shared" si="16"/>
        <v>0</v>
      </c>
      <c r="AA238" s="99">
        <f t="shared" si="16"/>
        <v>0</v>
      </c>
      <c r="AB238" s="99">
        <f t="shared" si="16"/>
        <v>0</v>
      </c>
      <c r="AC238" s="99">
        <f t="shared" si="16"/>
        <v>0</v>
      </c>
      <c r="AD238" s="99">
        <f t="shared" si="16"/>
        <v>0</v>
      </c>
      <c r="AE238" s="99">
        <f t="shared" si="16"/>
        <v>0</v>
      </c>
      <c r="AF238" s="99">
        <f t="shared" si="16"/>
        <v>0</v>
      </c>
      <c r="AG238" s="99">
        <f t="shared" si="16"/>
        <v>0</v>
      </c>
      <c r="AH238" s="99">
        <f t="shared" si="16"/>
        <v>0</v>
      </c>
      <c r="AI238" s="99">
        <f t="shared" si="16"/>
        <v>0</v>
      </c>
      <c r="AJ238" s="99">
        <f t="shared" si="10"/>
        <v>0</v>
      </c>
      <c r="AK238" s="99">
        <f t="shared" si="10"/>
        <v>0</v>
      </c>
      <c r="AL238" s="99">
        <f t="shared" si="10"/>
        <v>0</v>
      </c>
      <c r="AM238" s="99">
        <f t="shared" si="10"/>
        <v>0</v>
      </c>
      <c r="AN238" s="99">
        <f t="shared" si="10"/>
        <v>0</v>
      </c>
      <c r="AO238" s="99">
        <f t="shared" si="10"/>
        <v>0</v>
      </c>
    </row>
    <row r="239" spans="1:41" hidden="1" x14ac:dyDescent="0.25">
      <c r="A239" s="99" t="s">
        <v>1010</v>
      </c>
      <c r="B239" s="99" t="s">
        <v>1389</v>
      </c>
      <c r="C239" s="99" t="s">
        <v>1335</v>
      </c>
      <c r="D239" s="99" t="s">
        <v>703</v>
      </c>
      <c r="E239" s="99" t="s">
        <v>703</v>
      </c>
      <c r="F239" s="99" t="s">
        <v>703</v>
      </c>
      <c r="G239" s="99" t="s">
        <v>703</v>
      </c>
      <c r="H239" s="99" t="str">
        <f>'PAMS and scenarios'!E$65</f>
        <v>UP</v>
      </c>
      <c r="I239" s="99">
        <f>'PAMS and scenarios'!F$65</f>
        <v>0</v>
      </c>
      <c r="J239" s="99">
        <v>0</v>
      </c>
      <c r="K239" s="99">
        <f t="shared" ref="K239:AI239" si="17">J239</f>
        <v>0</v>
      </c>
      <c r="L239" s="99">
        <f t="shared" si="17"/>
        <v>0</v>
      </c>
      <c r="M239" s="99">
        <f t="shared" si="17"/>
        <v>0</v>
      </c>
      <c r="N239" s="99">
        <f t="shared" si="17"/>
        <v>0</v>
      </c>
      <c r="O239" s="99">
        <f t="shared" si="17"/>
        <v>0</v>
      </c>
      <c r="P239" s="99">
        <f t="shared" si="17"/>
        <v>0</v>
      </c>
      <c r="Q239" s="99">
        <f t="shared" si="17"/>
        <v>0</v>
      </c>
      <c r="R239" s="99">
        <f t="shared" si="17"/>
        <v>0</v>
      </c>
      <c r="S239" s="99">
        <f t="shared" si="17"/>
        <v>0</v>
      </c>
      <c r="T239" s="99">
        <f t="shared" si="17"/>
        <v>0</v>
      </c>
      <c r="U239" s="99">
        <f t="shared" si="17"/>
        <v>0</v>
      </c>
      <c r="V239" s="99">
        <f t="shared" si="17"/>
        <v>0</v>
      </c>
      <c r="W239" s="99">
        <f t="shared" si="17"/>
        <v>0</v>
      </c>
      <c r="X239" s="99">
        <f t="shared" si="17"/>
        <v>0</v>
      </c>
      <c r="Y239" s="99">
        <f t="shared" si="17"/>
        <v>0</v>
      </c>
      <c r="Z239" s="99">
        <f t="shared" si="17"/>
        <v>0</v>
      </c>
      <c r="AA239" s="99">
        <f t="shared" si="17"/>
        <v>0</v>
      </c>
      <c r="AB239" s="99">
        <f t="shared" si="17"/>
        <v>0</v>
      </c>
      <c r="AC239" s="99">
        <f t="shared" si="17"/>
        <v>0</v>
      </c>
      <c r="AD239" s="99">
        <f t="shared" si="17"/>
        <v>0</v>
      </c>
      <c r="AE239" s="99">
        <f t="shared" si="17"/>
        <v>0</v>
      </c>
      <c r="AF239" s="99">
        <f t="shared" si="17"/>
        <v>0</v>
      </c>
      <c r="AG239" s="99">
        <f t="shared" si="17"/>
        <v>0</v>
      </c>
      <c r="AH239" s="99">
        <f t="shared" si="17"/>
        <v>0</v>
      </c>
      <c r="AI239" s="99">
        <f t="shared" si="17"/>
        <v>0</v>
      </c>
      <c r="AJ239" s="99">
        <f t="shared" si="10"/>
        <v>0</v>
      </c>
      <c r="AK239" s="99">
        <f t="shared" si="10"/>
        <v>0</v>
      </c>
      <c r="AL239" s="99">
        <f t="shared" si="10"/>
        <v>0</v>
      </c>
      <c r="AM239" s="99">
        <f t="shared" si="10"/>
        <v>0</v>
      </c>
      <c r="AN239" s="99">
        <f t="shared" si="10"/>
        <v>0</v>
      </c>
      <c r="AO239" s="99">
        <f t="shared" si="10"/>
        <v>0</v>
      </c>
    </row>
    <row r="240" spans="1:41" hidden="1" x14ac:dyDescent="0.25">
      <c r="A240" s="99" t="s">
        <v>1010</v>
      </c>
      <c r="B240" s="99" t="s">
        <v>1377</v>
      </c>
      <c r="C240" s="99" t="s">
        <v>1366</v>
      </c>
      <c r="D240" s="99" t="s">
        <v>1370</v>
      </c>
      <c r="E240" s="99" t="s">
        <v>1375</v>
      </c>
      <c r="F240" s="99" t="s">
        <v>703</v>
      </c>
      <c r="G240" s="99" t="s">
        <v>1043</v>
      </c>
      <c r="H240" s="99" t="s">
        <v>703</v>
      </c>
      <c r="I240" s="545">
        <f>'PAMS and scenarios'!F$65</f>
        <v>0</v>
      </c>
      <c r="J240" s="545">
        <f>INDEX('PAMS and scenarios'!$I$53:$Q$60,MATCH($C240,'PAMS and scenarios'!$B$53:$B$60,0),MATCH(J$2,'PAMS and scenarios'!$I$52:$Q$52,0))</f>
        <v>0</v>
      </c>
      <c r="K240" s="545">
        <f>J240+($M240-$J240)/3</f>
        <v>0</v>
      </c>
      <c r="L240" s="545">
        <f>K240+($M240-$J240)/3</f>
        <v>0</v>
      </c>
      <c r="M240" s="545">
        <f>INDEX('PAMS and scenarios'!$I$53:$Q$60,MATCH($C240,'PAMS and scenarios'!$B$53:$B$60,0),MATCH(M$2,'PAMS and scenarios'!$I$52:$Q$52,0))</f>
        <v>0</v>
      </c>
      <c r="N240" s="545">
        <f>M240+($R240-$M240)/3</f>
        <v>0</v>
      </c>
      <c r="O240" s="545">
        <f>N240+($R240-$M240)/3</f>
        <v>0</v>
      </c>
      <c r="P240" s="545">
        <f>O240+($R240-$M240)/3</f>
        <v>0</v>
      </c>
      <c r="Q240" s="545">
        <f>P240+($R240-$M240)/3</f>
        <v>0</v>
      </c>
      <c r="R240" s="545">
        <f>INDEX('PAMS and scenarios'!$I$53:$Q$60,MATCH($C240,'PAMS and scenarios'!$B$53:$B$60,0),MATCH(R$2,'PAMS and scenarios'!$I$52:$Q$52,0))</f>
        <v>0</v>
      </c>
      <c r="S240" s="545">
        <f>R240+($W240-$R240)/4</f>
        <v>0</v>
      </c>
      <c r="T240" s="545">
        <f>S240+($W240-$R240)/4</f>
        <v>0</v>
      </c>
      <c r="U240" s="545">
        <f>T240+($W240-$R240)/4</f>
        <v>0</v>
      </c>
      <c r="V240" s="545">
        <f>U240+($W240-$R240)/4</f>
        <v>0</v>
      </c>
      <c r="W240" s="545">
        <f>INDEX('PAMS and scenarios'!$I$53:$Q$60,MATCH($C240,'PAMS and scenarios'!$B$53:$B$60,0),MATCH(W$2,'PAMS and scenarios'!$I$52:$Q$52,0))</f>
        <v>0</v>
      </c>
      <c r="X240" s="545">
        <f>W240+($AB240-$W240)/4</f>
        <v>0</v>
      </c>
      <c r="Y240" s="545">
        <f>X240+($AB240-$W240)/4</f>
        <v>0</v>
      </c>
      <c r="Z240" s="545">
        <f>Y240+($AB240-$W240)/4</f>
        <v>0</v>
      </c>
      <c r="AA240" s="545">
        <f>Z240+($AB240-$W240)/4</f>
        <v>0</v>
      </c>
      <c r="AB240" s="545">
        <f>INDEX('PAMS and scenarios'!$I$53:$Q$60,MATCH($C240,'PAMS and scenarios'!$B$53:$B$60,0),MATCH(AB$2,'PAMS and scenarios'!$I$52:$Q$52,0))</f>
        <v>0</v>
      </c>
      <c r="AC240" s="545">
        <f>AB240+($AG240-$AB240)/4</f>
        <v>0</v>
      </c>
      <c r="AD240" s="545">
        <f>AC240+($AG240-$AB240)/4</f>
        <v>0</v>
      </c>
      <c r="AE240" s="545">
        <f>AD240+($AG240-$AB240)/4</f>
        <v>0</v>
      </c>
      <c r="AF240" s="545">
        <f>AE240+($AG240-$AB240)/4</f>
        <v>0</v>
      </c>
      <c r="AG240" s="545">
        <f>INDEX('PAMS and scenarios'!$I$53:$Q$60,MATCH($C240,'PAMS and scenarios'!$B$53:$B$60,0),MATCH(AG$2,'PAMS and scenarios'!$I$52:$Q$52,0))</f>
        <v>0</v>
      </c>
      <c r="AH240" s="545">
        <f>AG240+($AM240-$AG240)/4</f>
        <v>0</v>
      </c>
      <c r="AI240" s="545">
        <f>AH240+($AM240-$AG240)/4</f>
        <v>0</v>
      </c>
      <c r="AJ240" s="545">
        <f>AI240+($AM240-$AG240)/4</f>
        <v>0</v>
      </c>
      <c r="AK240" s="545">
        <f>AJ240+($AM240-$AG240)/4</f>
        <v>0</v>
      </c>
      <c r="AL240" s="545">
        <f>INDEX('PAMS and scenarios'!$I$53:$Q$60,MATCH($C240,'PAMS and scenarios'!$B$53:$B$60,0),MATCH(AL$2,'PAMS and scenarios'!$I$52:$Q$52,0))</f>
        <v>0</v>
      </c>
      <c r="AM240" s="545">
        <f>INDEX('PAMS and scenarios'!$I$53:$Q$60,MATCH($C240,'PAMS and scenarios'!$B$53:$B$60,0),MATCH(AM$2,'PAMS and scenarios'!$I$52:$Q$52,0))</f>
        <v>0</v>
      </c>
      <c r="AN240" s="545">
        <f>INDEX('PAMS and scenarios'!$I$53:$Q$60,MATCH($C240,'PAMS and scenarios'!$B$53:$B$60,0),MATCH(AN$2,'PAMS and scenarios'!$I$52:$Q$52,0))</f>
        <v>0</v>
      </c>
    </row>
    <row r="241" spans="1:40" hidden="1" x14ac:dyDescent="0.25">
      <c r="A241" s="99" t="s">
        <v>1010</v>
      </c>
      <c r="B241" s="99" t="s">
        <v>1377</v>
      </c>
      <c r="C241" s="99" t="s">
        <v>1366</v>
      </c>
      <c r="D241" s="99" t="s">
        <v>1370</v>
      </c>
      <c r="E241" s="99" t="s">
        <v>1388</v>
      </c>
      <c r="F241" s="99" t="s">
        <v>703</v>
      </c>
      <c r="G241" s="99" t="s">
        <v>1043</v>
      </c>
      <c r="H241" s="99" t="s">
        <v>703</v>
      </c>
      <c r="I241" s="99">
        <v>0</v>
      </c>
      <c r="J241" s="99">
        <v>1</v>
      </c>
      <c r="K241" s="99">
        <f t="shared" ref="K241:AN241" si="18">J241</f>
        <v>1</v>
      </c>
      <c r="L241" s="99">
        <f t="shared" si="18"/>
        <v>1</v>
      </c>
      <c r="M241" s="99">
        <f t="shared" si="18"/>
        <v>1</v>
      </c>
      <c r="N241" s="99">
        <f t="shared" si="18"/>
        <v>1</v>
      </c>
      <c r="O241" s="99">
        <f t="shared" si="18"/>
        <v>1</v>
      </c>
      <c r="P241" s="99">
        <f t="shared" si="18"/>
        <v>1</v>
      </c>
      <c r="Q241" s="99">
        <f t="shared" si="18"/>
        <v>1</v>
      </c>
      <c r="R241" s="99">
        <f t="shared" si="18"/>
        <v>1</v>
      </c>
      <c r="S241" s="99">
        <f t="shared" si="18"/>
        <v>1</v>
      </c>
      <c r="T241" s="99">
        <f t="shared" si="18"/>
        <v>1</v>
      </c>
      <c r="U241" s="99">
        <f t="shared" si="18"/>
        <v>1</v>
      </c>
      <c r="V241" s="99">
        <f t="shared" si="18"/>
        <v>1</v>
      </c>
      <c r="W241" s="99">
        <f t="shared" si="18"/>
        <v>1</v>
      </c>
      <c r="X241" s="99">
        <f t="shared" si="18"/>
        <v>1</v>
      </c>
      <c r="Y241" s="99">
        <f t="shared" si="18"/>
        <v>1</v>
      </c>
      <c r="Z241" s="99">
        <f t="shared" si="18"/>
        <v>1</v>
      </c>
      <c r="AA241" s="99">
        <f t="shared" si="18"/>
        <v>1</v>
      </c>
      <c r="AB241" s="99">
        <f t="shared" si="18"/>
        <v>1</v>
      </c>
      <c r="AC241" s="99">
        <f t="shared" si="18"/>
        <v>1</v>
      </c>
      <c r="AD241" s="99">
        <f t="shared" si="18"/>
        <v>1</v>
      </c>
      <c r="AE241" s="99">
        <f t="shared" si="18"/>
        <v>1</v>
      </c>
      <c r="AF241" s="99">
        <f t="shared" si="18"/>
        <v>1</v>
      </c>
      <c r="AG241" s="99">
        <f t="shared" si="18"/>
        <v>1</v>
      </c>
      <c r="AH241" s="99">
        <f t="shared" si="18"/>
        <v>1</v>
      </c>
      <c r="AI241" s="99">
        <f t="shared" si="18"/>
        <v>1</v>
      </c>
      <c r="AJ241" s="99">
        <f t="shared" si="18"/>
        <v>1</v>
      </c>
      <c r="AK241" s="99">
        <f t="shared" si="18"/>
        <v>1</v>
      </c>
      <c r="AL241" s="99">
        <f t="shared" si="18"/>
        <v>1</v>
      </c>
      <c r="AM241" s="99">
        <f t="shared" si="18"/>
        <v>1</v>
      </c>
      <c r="AN241" s="99">
        <f t="shared" si="18"/>
        <v>1</v>
      </c>
    </row>
    <row r="242" spans="1:40" hidden="1" x14ac:dyDescent="0.25">
      <c r="A242" s="99" t="s">
        <v>1010</v>
      </c>
      <c r="B242" s="99" t="s">
        <v>1377</v>
      </c>
      <c r="C242" s="99" t="s">
        <v>1364</v>
      </c>
      <c r="D242" s="99" t="s">
        <v>1370</v>
      </c>
      <c r="E242" s="99" t="s">
        <v>1375</v>
      </c>
      <c r="F242" s="99" t="s">
        <v>703</v>
      </c>
      <c r="G242" s="99" t="s">
        <v>1043</v>
      </c>
      <c r="H242" s="99" t="s">
        <v>703</v>
      </c>
      <c r="I242" s="545">
        <f>'PAMS and scenarios'!F$65</f>
        <v>0</v>
      </c>
      <c r="J242" s="545">
        <f>INDEX('PAMS and scenarios'!$I$53:$Q$60,MATCH($C242,'PAMS and scenarios'!$B$53:$B$60,0),MATCH(J$2,'PAMS and scenarios'!$I$52:$Q$52,0))</f>
        <v>0</v>
      </c>
      <c r="K242" s="545">
        <f>J242+($M242-$J242)/3</f>
        <v>0</v>
      </c>
      <c r="L242" s="545">
        <f>K242+($M242-$J242)/3</f>
        <v>0</v>
      </c>
      <c r="M242" s="545">
        <f>INDEX('PAMS and scenarios'!$I$53:$Q$60,MATCH($C242,'PAMS and scenarios'!$B$53:$B$60,0),MATCH(M$2,'PAMS and scenarios'!$I$52:$Q$52,0))</f>
        <v>0</v>
      </c>
      <c r="N242" s="545">
        <f>M242+($R242-$M242)/3</f>
        <v>0</v>
      </c>
      <c r="O242" s="545">
        <f>N242+($R242-$M242)/3</f>
        <v>0</v>
      </c>
      <c r="P242" s="545">
        <f>O242+($R242-$M242)/3</f>
        <v>0</v>
      </c>
      <c r="Q242" s="545">
        <f>P242+($R242-$M242)/3</f>
        <v>0</v>
      </c>
      <c r="R242" s="545">
        <f>INDEX('PAMS and scenarios'!$I$53:$Q$60,MATCH($C242,'PAMS and scenarios'!$B$53:$B$60,0),MATCH(R$2,'PAMS and scenarios'!$I$52:$Q$52,0))</f>
        <v>0</v>
      </c>
      <c r="S242" s="545">
        <f>R242+($W242-$R242)/4</f>
        <v>0</v>
      </c>
      <c r="T242" s="545">
        <f>S242+($W242-$R242)/4</f>
        <v>0</v>
      </c>
      <c r="U242" s="545">
        <f>T242+($W242-$R242)/4</f>
        <v>0</v>
      </c>
      <c r="V242" s="545">
        <f>U242+($W242-$R242)/4</f>
        <v>0</v>
      </c>
      <c r="W242" s="545">
        <f>INDEX('PAMS and scenarios'!$I$53:$Q$60,MATCH($C242,'PAMS and scenarios'!$B$53:$B$60,0),MATCH(W$2,'PAMS and scenarios'!$I$52:$Q$52,0))</f>
        <v>0</v>
      </c>
      <c r="X242" s="545">
        <f>W242+($AB242-$W242)/4</f>
        <v>0</v>
      </c>
      <c r="Y242" s="545">
        <f>X242+($AB242-$W242)/4</f>
        <v>0</v>
      </c>
      <c r="Z242" s="545">
        <f>Y242+($AB242-$W242)/4</f>
        <v>0</v>
      </c>
      <c r="AA242" s="545">
        <f>Z242+($AB242-$W242)/4</f>
        <v>0</v>
      </c>
      <c r="AB242" s="545">
        <f>INDEX('PAMS and scenarios'!$I$53:$Q$60,MATCH($C242,'PAMS and scenarios'!$B$53:$B$60,0),MATCH(AB$2,'PAMS and scenarios'!$I$52:$Q$52,0))</f>
        <v>0</v>
      </c>
      <c r="AC242" s="545">
        <f>AB242+($AG242-$AB242)/4</f>
        <v>0</v>
      </c>
      <c r="AD242" s="545">
        <f>AC242+($AG242-$AB242)/4</f>
        <v>0</v>
      </c>
      <c r="AE242" s="545">
        <f>AD242+($AG242-$AB242)/4</f>
        <v>0</v>
      </c>
      <c r="AF242" s="545">
        <f>AE242+($AG242-$AB242)/4</f>
        <v>0</v>
      </c>
      <c r="AG242" s="545">
        <f>INDEX('PAMS and scenarios'!$I$53:$Q$60,MATCH($C242,'PAMS and scenarios'!$B$53:$B$60,0),MATCH(AG$2,'PAMS and scenarios'!$I$52:$Q$52,0))</f>
        <v>0</v>
      </c>
      <c r="AH242" s="545">
        <f>AG242+($AM242-$AG242)/4</f>
        <v>0</v>
      </c>
      <c r="AI242" s="545">
        <f>AH242+($AM242-$AG242)/4</f>
        <v>0</v>
      </c>
      <c r="AJ242" s="545">
        <f>AI242+($AM242-$AG242)/4</f>
        <v>0</v>
      </c>
      <c r="AK242" s="545">
        <f>AJ242+($AM242-$AG242)/4</f>
        <v>0</v>
      </c>
      <c r="AL242" s="545">
        <f>INDEX('PAMS and scenarios'!$I$53:$Q$60,MATCH($C242,'PAMS and scenarios'!$B$53:$B$60,0),MATCH(AL$2,'PAMS and scenarios'!$I$52:$Q$52,0))</f>
        <v>0</v>
      </c>
      <c r="AM242" s="545">
        <f>INDEX('PAMS and scenarios'!$I$53:$Q$60,MATCH($C242,'PAMS and scenarios'!$B$53:$B$60,0),MATCH(AM$2,'PAMS and scenarios'!$I$52:$Q$52,0))</f>
        <v>0</v>
      </c>
      <c r="AN242" s="545">
        <f>INDEX('PAMS and scenarios'!$I$53:$Q$60,MATCH($C242,'PAMS and scenarios'!$B$53:$B$60,0),MATCH(AN$2,'PAMS and scenarios'!$I$52:$Q$52,0))</f>
        <v>0</v>
      </c>
    </row>
    <row r="243" spans="1:40" hidden="1" x14ac:dyDescent="0.25">
      <c r="A243" s="99" t="s">
        <v>1010</v>
      </c>
      <c r="B243" s="99" t="s">
        <v>1377</v>
      </c>
      <c r="C243" s="99" t="s">
        <v>1364</v>
      </c>
      <c r="D243" s="99" t="s">
        <v>1370</v>
      </c>
      <c r="E243" s="99" t="s">
        <v>1387</v>
      </c>
      <c r="F243" s="99" t="s">
        <v>703</v>
      </c>
      <c r="G243" s="99" t="s">
        <v>1043</v>
      </c>
      <c r="H243" s="99" t="s">
        <v>703</v>
      </c>
      <c r="I243" s="99">
        <v>0</v>
      </c>
      <c r="J243" s="99">
        <v>1</v>
      </c>
      <c r="K243" s="99">
        <f t="shared" ref="K243:AN243" si="19">J243</f>
        <v>1</v>
      </c>
      <c r="L243" s="99">
        <f t="shared" si="19"/>
        <v>1</v>
      </c>
      <c r="M243" s="99">
        <f t="shared" si="19"/>
        <v>1</v>
      </c>
      <c r="N243" s="99">
        <f t="shared" si="19"/>
        <v>1</v>
      </c>
      <c r="O243" s="99">
        <f t="shared" si="19"/>
        <v>1</v>
      </c>
      <c r="P243" s="99">
        <f t="shared" si="19"/>
        <v>1</v>
      </c>
      <c r="Q243" s="99">
        <f t="shared" si="19"/>
        <v>1</v>
      </c>
      <c r="R243" s="99">
        <f t="shared" si="19"/>
        <v>1</v>
      </c>
      <c r="S243" s="99">
        <f t="shared" si="19"/>
        <v>1</v>
      </c>
      <c r="T243" s="99">
        <f t="shared" si="19"/>
        <v>1</v>
      </c>
      <c r="U243" s="99">
        <f t="shared" si="19"/>
        <v>1</v>
      </c>
      <c r="V243" s="99">
        <f t="shared" si="19"/>
        <v>1</v>
      </c>
      <c r="W243" s="99">
        <f t="shared" si="19"/>
        <v>1</v>
      </c>
      <c r="X243" s="99">
        <f t="shared" si="19"/>
        <v>1</v>
      </c>
      <c r="Y243" s="99">
        <f t="shared" si="19"/>
        <v>1</v>
      </c>
      <c r="Z243" s="99">
        <f t="shared" si="19"/>
        <v>1</v>
      </c>
      <c r="AA243" s="99">
        <f t="shared" si="19"/>
        <v>1</v>
      </c>
      <c r="AB243" s="99">
        <f t="shared" si="19"/>
        <v>1</v>
      </c>
      <c r="AC243" s="99">
        <f t="shared" si="19"/>
        <v>1</v>
      </c>
      <c r="AD243" s="99">
        <f t="shared" si="19"/>
        <v>1</v>
      </c>
      <c r="AE243" s="99">
        <f t="shared" si="19"/>
        <v>1</v>
      </c>
      <c r="AF243" s="99">
        <f t="shared" si="19"/>
        <v>1</v>
      </c>
      <c r="AG243" s="99">
        <f t="shared" si="19"/>
        <v>1</v>
      </c>
      <c r="AH243" s="99">
        <f t="shared" si="19"/>
        <v>1</v>
      </c>
      <c r="AI243" s="99">
        <f t="shared" si="19"/>
        <v>1</v>
      </c>
      <c r="AJ243" s="99">
        <f t="shared" si="19"/>
        <v>1</v>
      </c>
      <c r="AK243" s="99">
        <f t="shared" si="19"/>
        <v>1</v>
      </c>
      <c r="AL243" s="99">
        <f t="shared" si="19"/>
        <v>1</v>
      </c>
      <c r="AM243" s="99">
        <f t="shared" si="19"/>
        <v>1</v>
      </c>
      <c r="AN243" s="99">
        <f t="shared" si="19"/>
        <v>1</v>
      </c>
    </row>
    <row r="244" spans="1:40" hidden="1" x14ac:dyDescent="0.25">
      <c r="A244" s="99" t="s">
        <v>1010</v>
      </c>
      <c r="B244" s="99" t="s">
        <v>1377</v>
      </c>
      <c r="C244" s="99" t="s">
        <v>1360</v>
      </c>
      <c r="D244" s="99" t="s">
        <v>1370</v>
      </c>
      <c r="E244" s="99" t="s">
        <v>1374</v>
      </c>
      <c r="F244" s="99" t="s">
        <v>703</v>
      </c>
      <c r="G244" s="99" t="s">
        <v>1043</v>
      </c>
      <c r="H244" s="99" t="s">
        <v>703</v>
      </c>
      <c r="I244" s="545">
        <f>'PAMS and scenarios'!F$65</f>
        <v>0</v>
      </c>
      <c r="J244" s="545">
        <f>INDEX('PAMS and scenarios'!$I$53:$Q$60,MATCH($C244,'PAMS and scenarios'!$B$53:$B$60,0),MATCH(J$2,'PAMS and scenarios'!$I$52:$Q$52,0))</f>
        <v>0</v>
      </c>
      <c r="K244" s="545">
        <f>J244+($M244-$J244)/3</f>
        <v>0</v>
      </c>
      <c r="L244" s="545">
        <f>K244+($M244-$J244)/3</f>
        <v>0</v>
      </c>
      <c r="M244" s="545">
        <f>INDEX('PAMS and scenarios'!$I$53:$Q$60,MATCH($C244,'PAMS and scenarios'!$B$53:$B$60,0),MATCH(M$2,'PAMS and scenarios'!$I$52:$Q$52,0))</f>
        <v>0</v>
      </c>
      <c r="N244" s="545">
        <f>M244+($R244-$M244)/3</f>
        <v>0</v>
      </c>
      <c r="O244" s="545">
        <f>N244+($R244-$M244)/3</f>
        <v>0</v>
      </c>
      <c r="P244" s="545">
        <f>O244+($R244-$M244)/3</f>
        <v>0</v>
      </c>
      <c r="Q244" s="545">
        <f>P244+($R244-$M244)/3</f>
        <v>0</v>
      </c>
      <c r="R244" s="545">
        <f>INDEX('PAMS and scenarios'!$I$53:$Q$60,MATCH($C244,'PAMS and scenarios'!$B$53:$B$60,0),MATCH(R$2,'PAMS and scenarios'!$I$52:$Q$52,0))</f>
        <v>0</v>
      </c>
      <c r="S244" s="545">
        <f>R244+($W244-$R244)/4</f>
        <v>0</v>
      </c>
      <c r="T244" s="545">
        <f>S244+($W244-$R244)/4</f>
        <v>0</v>
      </c>
      <c r="U244" s="545">
        <f>T244+($W244-$R244)/4</f>
        <v>0</v>
      </c>
      <c r="V244" s="545">
        <f>U244+($W244-$R244)/4</f>
        <v>0</v>
      </c>
      <c r="W244" s="545">
        <f>INDEX('PAMS and scenarios'!$I$53:$Q$60,MATCH($C244,'PAMS and scenarios'!$B$53:$B$60,0),MATCH(W$2,'PAMS and scenarios'!$I$52:$Q$52,0))</f>
        <v>0</v>
      </c>
      <c r="X244" s="545">
        <f>W244+($AB244-$W244)/4</f>
        <v>0</v>
      </c>
      <c r="Y244" s="545">
        <f>X244+($AB244-$W244)/4</f>
        <v>0</v>
      </c>
      <c r="Z244" s="545">
        <f>Y244+($AB244-$W244)/4</f>
        <v>0</v>
      </c>
      <c r="AA244" s="545">
        <f>Z244+($AB244-$W244)/4</f>
        <v>0</v>
      </c>
      <c r="AB244" s="545">
        <f>INDEX('PAMS and scenarios'!$I$53:$Q$60,MATCH($C244,'PAMS and scenarios'!$B$53:$B$60,0),MATCH(AB$2,'PAMS and scenarios'!$I$52:$Q$52,0))</f>
        <v>0</v>
      </c>
      <c r="AC244" s="545">
        <f>AB244+($AG244-$AB244)/4</f>
        <v>0</v>
      </c>
      <c r="AD244" s="545">
        <f>AC244+($AG244-$AB244)/4</f>
        <v>0</v>
      </c>
      <c r="AE244" s="545">
        <f>AD244+($AG244-$AB244)/4</f>
        <v>0</v>
      </c>
      <c r="AF244" s="545">
        <f>AE244+($AG244-$AB244)/4</f>
        <v>0</v>
      </c>
      <c r="AG244" s="545">
        <f>INDEX('PAMS and scenarios'!$I$53:$Q$60,MATCH($C244,'PAMS and scenarios'!$B$53:$B$60,0),MATCH(AG$2,'PAMS and scenarios'!$I$52:$Q$52,0))</f>
        <v>0</v>
      </c>
      <c r="AH244" s="545">
        <f>AG244+($AM244-$AG244)/4</f>
        <v>0</v>
      </c>
      <c r="AI244" s="545">
        <f>AH244+($AM244-$AG244)/4</f>
        <v>0</v>
      </c>
      <c r="AJ244" s="545">
        <f>AI244+($AM244-$AG244)/4</f>
        <v>0</v>
      </c>
      <c r="AK244" s="545">
        <f>AJ244+($AM244-$AG244)/4</f>
        <v>0</v>
      </c>
      <c r="AL244" s="545">
        <f>INDEX('PAMS and scenarios'!$I$53:$Q$60,MATCH($C244,'PAMS and scenarios'!$B$53:$B$60,0),MATCH(AL$2,'PAMS and scenarios'!$I$52:$Q$52,0))</f>
        <v>0</v>
      </c>
      <c r="AM244" s="545">
        <f>INDEX('PAMS and scenarios'!$I$53:$Q$60,MATCH($C244,'PAMS and scenarios'!$B$53:$B$60,0),MATCH(AM$2,'PAMS and scenarios'!$I$52:$Q$52,0))</f>
        <v>0</v>
      </c>
      <c r="AN244" s="545">
        <f>INDEX('PAMS and scenarios'!$I$53:$Q$60,MATCH($C244,'PAMS and scenarios'!$B$53:$B$60,0),MATCH(AN$2,'PAMS and scenarios'!$I$52:$Q$52,0))</f>
        <v>0</v>
      </c>
    </row>
    <row r="245" spans="1:40" hidden="1" x14ac:dyDescent="0.25">
      <c r="A245" s="99" t="s">
        <v>1010</v>
      </c>
      <c r="B245" s="99" t="s">
        <v>1377</v>
      </c>
      <c r="C245" s="99" t="s">
        <v>1360</v>
      </c>
      <c r="D245" s="99" t="s">
        <v>1370</v>
      </c>
      <c r="E245" s="99" t="s">
        <v>1386</v>
      </c>
      <c r="F245" s="99" t="s">
        <v>703</v>
      </c>
      <c r="G245" s="99" t="s">
        <v>1043</v>
      </c>
      <c r="H245" s="99" t="s">
        <v>703</v>
      </c>
      <c r="I245" s="99">
        <v>0</v>
      </c>
      <c r="J245" s="99">
        <v>1</v>
      </c>
      <c r="K245" s="99">
        <f t="shared" ref="K245:AN245" si="20">J245</f>
        <v>1</v>
      </c>
      <c r="L245" s="99">
        <f t="shared" si="20"/>
        <v>1</v>
      </c>
      <c r="M245" s="99">
        <f t="shared" si="20"/>
        <v>1</v>
      </c>
      <c r="N245" s="99">
        <f t="shared" si="20"/>
        <v>1</v>
      </c>
      <c r="O245" s="99">
        <f t="shared" si="20"/>
        <v>1</v>
      </c>
      <c r="P245" s="99">
        <f t="shared" si="20"/>
        <v>1</v>
      </c>
      <c r="Q245" s="99">
        <f t="shared" si="20"/>
        <v>1</v>
      </c>
      <c r="R245" s="99">
        <f t="shared" si="20"/>
        <v>1</v>
      </c>
      <c r="S245" s="99">
        <f t="shared" si="20"/>
        <v>1</v>
      </c>
      <c r="T245" s="99">
        <f t="shared" si="20"/>
        <v>1</v>
      </c>
      <c r="U245" s="99">
        <f t="shared" si="20"/>
        <v>1</v>
      </c>
      <c r="V245" s="99">
        <f t="shared" si="20"/>
        <v>1</v>
      </c>
      <c r="W245" s="99">
        <f t="shared" si="20"/>
        <v>1</v>
      </c>
      <c r="X245" s="99">
        <f t="shared" si="20"/>
        <v>1</v>
      </c>
      <c r="Y245" s="99">
        <f t="shared" si="20"/>
        <v>1</v>
      </c>
      <c r="Z245" s="99">
        <f t="shared" si="20"/>
        <v>1</v>
      </c>
      <c r="AA245" s="99">
        <f t="shared" si="20"/>
        <v>1</v>
      </c>
      <c r="AB245" s="99">
        <f t="shared" si="20"/>
        <v>1</v>
      </c>
      <c r="AC245" s="99">
        <f t="shared" si="20"/>
        <v>1</v>
      </c>
      <c r="AD245" s="99">
        <f t="shared" si="20"/>
        <v>1</v>
      </c>
      <c r="AE245" s="99">
        <f t="shared" si="20"/>
        <v>1</v>
      </c>
      <c r="AF245" s="99">
        <f t="shared" si="20"/>
        <v>1</v>
      </c>
      <c r="AG245" s="99">
        <f t="shared" si="20"/>
        <v>1</v>
      </c>
      <c r="AH245" s="99">
        <f t="shared" si="20"/>
        <v>1</v>
      </c>
      <c r="AI245" s="99">
        <f t="shared" si="20"/>
        <v>1</v>
      </c>
      <c r="AJ245" s="99">
        <f t="shared" si="20"/>
        <v>1</v>
      </c>
      <c r="AK245" s="99">
        <f t="shared" si="20"/>
        <v>1</v>
      </c>
      <c r="AL245" s="99">
        <f t="shared" si="20"/>
        <v>1</v>
      </c>
      <c r="AM245" s="99">
        <f t="shared" si="20"/>
        <v>1</v>
      </c>
      <c r="AN245" s="99">
        <f t="shared" si="20"/>
        <v>1</v>
      </c>
    </row>
    <row r="246" spans="1:40" hidden="1" x14ac:dyDescent="0.25">
      <c r="A246" s="99" t="s">
        <v>1010</v>
      </c>
      <c r="B246" s="99" t="s">
        <v>1377</v>
      </c>
      <c r="C246" s="99" t="s">
        <v>1358</v>
      </c>
      <c r="D246" s="99" t="s">
        <v>1370</v>
      </c>
      <c r="E246" s="99" t="s">
        <v>1374</v>
      </c>
      <c r="F246" s="99" t="s">
        <v>703</v>
      </c>
      <c r="G246" s="99" t="s">
        <v>1043</v>
      </c>
      <c r="H246" s="99" t="s">
        <v>703</v>
      </c>
      <c r="I246" s="545">
        <f>'PAMS and scenarios'!F$65</f>
        <v>0</v>
      </c>
      <c r="J246" s="545">
        <f>INDEX('PAMS and scenarios'!$I$53:$Q$60,MATCH($C246,'PAMS and scenarios'!$B$53:$B$60,0),MATCH(J$2,'PAMS and scenarios'!$I$52:$Q$52,0))</f>
        <v>0</v>
      </c>
      <c r="K246" s="545">
        <f>J246+($M246-$J246)/3</f>
        <v>0</v>
      </c>
      <c r="L246" s="545">
        <f>K246+($M246-$J246)/3</f>
        <v>0</v>
      </c>
      <c r="M246" s="545">
        <f>INDEX('PAMS and scenarios'!$I$53:$Q$60,MATCH($C246,'PAMS and scenarios'!$B$53:$B$60,0),MATCH(M$2,'PAMS and scenarios'!$I$52:$Q$52,0))</f>
        <v>0</v>
      </c>
      <c r="N246" s="545">
        <f>M246+($R246-$M246)/3</f>
        <v>0</v>
      </c>
      <c r="O246" s="545">
        <f>N246+($R246-$M246)/3</f>
        <v>0</v>
      </c>
      <c r="P246" s="545">
        <f>O246+($R246-$M246)/3</f>
        <v>0</v>
      </c>
      <c r="Q246" s="545">
        <f>P246+($R246-$M246)/3</f>
        <v>0</v>
      </c>
      <c r="R246" s="545">
        <f>INDEX('PAMS and scenarios'!$I$53:$Q$60,MATCH($C246,'PAMS and scenarios'!$B$53:$B$60,0),MATCH(R$2,'PAMS and scenarios'!$I$52:$Q$52,0))</f>
        <v>0</v>
      </c>
      <c r="S246" s="545">
        <f>R246+($W246-$R246)/4</f>
        <v>0</v>
      </c>
      <c r="T246" s="545">
        <f>S246+($W246-$R246)/4</f>
        <v>0</v>
      </c>
      <c r="U246" s="545">
        <f>T246+($W246-$R246)/4</f>
        <v>0</v>
      </c>
      <c r="V246" s="545">
        <f>U246+($W246-$R246)/4</f>
        <v>0</v>
      </c>
      <c r="W246" s="545">
        <f>INDEX('PAMS and scenarios'!$I$53:$Q$60,MATCH($C246,'PAMS and scenarios'!$B$53:$B$60,0),MATCH(W$2,'PAMS and scenarios'!$I$52:$Q$52,0))</f>
        <v>0</v>
      </c>
      <c r="X246" s="545">
        <f>W246+($AB246-$W246)/4</f>
        <v>0</v>
      </c>
      <c r="Y246" s="545">
        <f>X246+($AB246-$W246)/4</f>
        <v>0</v>
      </c>
      <c r="Z246" s="545">
        <f>Y246+($AB246-$W246)/4</f>
        <v>0</v>
      </c>
      <c r="AA246" s="545">
        <f>Z246+($AB246-$W246)/4</f>
        <v>0</v>
      </c>
      <c r="AB246" s="545">
        <f>INDEX('PAMS and scenarios'!$I$53:$Q$60,MATCH($C246,'PAMS and scenarios'!$B$53:$B$60,0),MATCH(AB$2,'PAMS and scenarios'!$I$52:$Q$52,0))</f>
        <v>0</v>
      </c>
      <c r="AC246" s="545">
        <f>AB246+($AG246-$AB246)/4</f>
        <v>0</v>
      </c>
      <c r="AD246" s="545">
        <f>AC246+($AG246-$AB246)/4</f>
        <v>0</v>
      </c>
      <c r="AE246" s="545">
        <f>AD246+($AG246-$AB246)/4</f>
        <v>0</v>
      </c>
      <c r="AF246" s="545">
        <f>AE246+($AG246-$AB246)/4</f>
        <v>0</v>
      </c>
      <c r="AG246" s="545">
        <f>INDEX('PAMS and scenarios'!$I$53:$Q$60,MATCH($C246,'PAMS and scenarios'!$B$53:$B$60,0),MATCH(AG$2,'PAMS and scenarios'!$I$52:$Q$52,0))</f>
        <v>0</v>
      </c>
      <c r="AH246" s="545">
        <f>AG246+($AM246-$AG246)/4</f>
        <v>0</v>
      </c>
      <c r="AI246" s="545">
        <f>AH246+($AM246-$AG246)/4</f>
        <v>0</v>
      </c>
      <c r="AJ246" s="545">
        <f>AI246+($AM246-$AG246)/4</f>
        <v>0</v>
      </c>
      <c r="AK246" s="545">
        <f>AJ246+($AM246-$AG246)/4</f>
        <v>0</v>
      </c>
      <c r="AL246" s="545">
        <f>INDEX('PAMS and scenarios'!$I$53:$Q$60,MATCH($C246,'PAMS and scenarios'!$B$53:$B$60,0),MATCH(AL$2,'PAMS and scenarios'!$I$52:$Q$52,0))</f>
        <v>0</v>
      </c>
      <c r="AM246" s="545">
        <f>INDEX('PAMS and scenarios'!$I$53:$Q$60,MATCH($C246,'PAMS and scenarios'!$B$53:$B$60,0),MATCH(AM$2,'PAMS and scenarios'!$I$52:$Q$52,0))</f>
        <v>0</v>
      </c>
      <c r="AN246" s="545">
        <f>INDEX('PAMS and scenarios'!$I$53:$Q$60,MATCH($C246,'PAMS and scenarios'!$B$53:$B$60,0),MATCH(AN$2,'PAMS and scenarios'!$I$52:$Q$52,0))</f>
        <v>0</v>
      </c>
    </row>
    <row r="247" spans="1:40" hidden="1" x14ac:dyDescent="0.25">
      <c r="A247" s="99" t="s">
        <v>1010</v>
      </c>
      <c r="B247" s="99" t="s">
        <v>1377</v>
      </c>
      <c r="C247" s="99" t="s">
        <v>1358</v>
      </c>
      <c r="D247" s="99" t="s">
        <v>1370</v>
      </c>
      <c r="E247" s="99" t="s">
        <v>1385</v>
      </c>
      <c r="F247" s="99" t="s">
        <v>703</v>
      </c>
      <c r="G247" s="99" t="s">
        <v>1043</v>
      </c>
      <c r="H247" s="99" t="s">
        <v>703</v>
      </c>
      <c r="I247" s="99">
        <v>0</v>
      </c>
      <c r="J247" s="99">
        <v>1</v>
      </c>
      <c r="K247" s="99">
        <f t="shared" ref="K247:AN247" si="21">J247</f>
        <v>1</v>
      </c>
      <c r="L247" s="99">
        <f t="shared" si="21"/>
        <v>1</v>
      </c>
      <c r="M247" s="99">
        <f t="shared" si="21"/>
        <v>1</v>
      </c>
      <c r="N247" s="99">
        <f t="shared" si="21"/>
        <v>1</v>
      </c>
      <c r="O247" s="99">
        <f t="shared" si="21"/>
        <v>1</v>
      </c>
      <c r="P247" s="99">
        <f t="shared" si="21"/>
        <v>1</v>
      </c>
      <c r="Q247" s="99">
        <f t="shared" si="21"/>
        <v>1</v>
      </c>
      <c r="R247" s="99">
        <f t="shared" si="21"/>
        <v>1</v>
      </c>
      <c r="S247" s="99">
        <f t="shared" si="21"/>
        <v>1</v>
      </c>
      <c r="T247" s="99">
        <f t="shared" si="21"/>
        <v>1</v>
      </c>
      <c r="U247" s="99">
        <f t="shared" si="21"/>
        <v>1</v>
      </c>
      <c r="V247" s="99">
        <f t="shared" si="21"/>
        <v>1</v>
      </c>
      <c r="W247" s="99">
        <f t="shared" si="21"/>
        <v>1</v>
      </c>
      <c r="X247" s="99">
        <f t="shared" si="21"/>
        <v>1</v>
      </c>
      <c r="Y247" s="99">
        <f t="shared" si="21"/>
        <v>1</v>
      </c>
      <c r="Z247" s="99">
        <f t="shared" si="21"/>
        <v>1</v>
      </c>
      <c r="AA247" s="99">
        <f t="shared" si="21"/>
        <v>1</v>
      </c>
      <c r="AB247" s="99">
        <f t="shared" si="21"/>
        <v>1</v>
      </c>
      <c r="AC247" s="99">
        <f t="shared" si="21"/>
        <v>1</v>
      </c>
      <c r="AD247" s="99">
        <f t="shared" si="21"/>
        <v>1</v>
      </c>
      <c r="AE247" s="99">
        <f t="shared" si="21"/>
        <v>1</v>
      </c>
      <c r="AF247" s="99">
        <f t="shared" si="21"/>
        <v>1</v>
      </c>
      <c r="AG247" s="99">
        <f t="shared" si="21"/>
        <v>1</v>
      </c>
      <c r="AH247" s="99">
        <f t="shared" si="21"/>
        <v>1</v>
      </c>
      <c r="AI247" s="99">
        <f t="shared" si="21"/>
        <v>1</v>
      </c>
      <c r="AJ247" s="99">
        <f t="shared" si="21"/>
        <v>1</v>
      </c>
      <c r="AK247" s="99">
        <f t="shared" si="21"/>
        <v>1</v>
      </c>
      <c r="AL247" s="99">
        <f t="shared" si="21"/>
        <v>1</v>
      </c>
      <c r="AM247" s="99">
        <f t="shared" si="21"/>
        <v>1</v>
      </c>
      <c r="AN247" s="99">
        <f t="shared" si="21"/>
        <v>1</v>
      </c>
    </row>
    <row r="248" spans="1:40" hidden="1" x14ac:dyDescent="0.25">
      <c r="A248" s="99" t="s">
        <v>1010</v>
      </c>
      <c r="B248" s="99" t="s">
        <v>1377</v>
      </c>
      <c r="C248" s="99" t="s">
        <v>1354</v>
      </c>
      <c r="D248" s="99" t="s">
        <v>1370</v>
      </c>
      <c r="E248" s="99" t="s">
        <v>1373</v>
      </c>
      <c r="F248" s="99" t="s">
        <v>703</v>
      </c>
      <c r="G248" s="99" t="s">
        <v>1043</v>
      </c>
      <c r="H248" s="99" t="s">
        <v>703</v>
      </c>
      <c r="I248" s="545">
        <f>'PAMS and scenarios'!F$65</f>
        <v>0</v>
      </c>
      <c r="J248" s="545">
        <f>INDEX('PAMS and scenarios'!$I$53:$Q$60,MATCH($C248,'PAMS and scenarios'!$B$53:$B$60,0),MATCH(J$2,'PAMS and scenarios'!$I$52:$Q$52,0))</f>
        <v>0</v>
      </c>
      <c r="K248" s="545">
        <f>J248+($M248-$J248)/3</f>
        <v>0</v>
      </c>
      <c r="L248" s="545">
        <f>K248+($M248-$J248)/3</f>
        <v>0</v>
      </c>
      <c r="M248" s="545">
        <f>INDEX('PAMS and scenarios'!$I$53:$Q$60,MATCH($C248,'PAMS and scenarios'!$B$53:$B$60,0),MATCH(M$2,'PAMS and scenarios'!$I$52:$Q$52,0))</f>
        <v>0</v>
      </c>
      <c r="N248" s="545">
        <f>M248+($R248-$M248)/3</f>
        <v>0</v>
      </c>
      <c r="O248" s="545">
        <f>N248+($R248-$M248)/3</f>
        <v>0</v>
      </c>
      <c r="P248" s="545">
        <f>O248+($R248-$M248)/3</f>
        <v>0</v>
      </c>
      <c r="Q248" s="545">
        <f>P248+($R248-$M248)/3</f>
        <v>0</v>
      </c>
      <c r="R248" s="545">
        <f>INDEX('PAMS and scenarios'!$I$53:$Q$60,MATCH($C248,'PAMS and scenarios'!$B$53:$B$60,0),MATCH(R$2,'PAMS and scenarios'!$I$52:$Q$52,0))</f>
        <v>0</v>
      </c>
      <c r="S248" s="545">
        <f>R248+($W248-$R248)/4</f>
        <v>0</v>
      </c>
      <c r="T248" s="545">
        <f>S248+($W248-$R248)/4</f>
        <v>0</v>
      </c>
      <c r="U248" s="545">
        <f>T248+($W248-$R248)/4</f>
        <v>0</v>
      </c>
      <c r="V248" s="545">
        <f>U248+($W248-$R248)/4</f>
        <v>0</v>
      </c>
      <c r="W248" s="545">
        <f>INDEX('PAMS and scenarios'!$I$53:$Q$60,MATCH($C248,'PAMS and scenarios'!$B$53:$B$60,0),MATCH(W$2,'PAMS and scenarios'!$I$52:$Q$52,0))</f>
        <v>0</v>
      </c>
      <c r="X248" s="545">
        <f>W248+($AB248-$W248)/4</f>
        <v>0</v>
      </c>
      <c r="Y248" s="545">
        <f>X248+($AB248-$W248)/4</f>
        <v>0</v>
      </c>
      <c r="Z248" s="545">
        <f>Y248+($AB248-$W248)/4</f>
        <v>0</v>
      </c>
      <c r="AA248" s="545">
        <f>Z248+($AB248-$W248)/4</f>
        <v>0</v>
      </c>
      <c r="AB248" s="545">
        <f>INDEX('PAMS and scenarios'!$I$53:$Q$60,MATCH($C248,'PAMS and scenarios'!$B$53:$B$60,0),MATCH(AB$2,'PAMS and scenarios'!$I$52:$Q$52,0))</f>
        <v>0</v>
      </c>
      <c r="AC248" s="545">
        <f>AB248+($AG248-$AB248)/4</f>
        <v>0</v>
      </c>
      <c r="AD248" s="545">
        <f>AC248+($AG248-$AB248)/4</f>
        <v>0</v>
      </c>
      <c r="AE248" s="545">
        <f>AD248+($AG248-$AB248)/4</f>
        <v>0</v>
      </c>
      <c r="AF248" s="545">
        <f>AE248+($AG248-$AB248)/4</f>
        <v>0</v>
      </c>
      <c r="AG248" s="545">
        <f>INDEX('PAMS and scenarios'!$I$53:$Q$60,MATCH($C248,'PAMS and scenarios'!$B$53:$B$60,0),MATCH(AG$2,'PAMS and scenarios'!$I$52:$Q$52,0))</f>
        <v>0</v>
      </c>
      <c r="AH248" s="545">
        <f>AG248+($AM248-$AG248)/4</f>
        <v>0</v>
      </c>
      <c r="AI248" s="545">
        <f>AH248+($AM248-$AG248)/4</f>
        <v>0</v>
      </c>
      <c r="AJ248" s="545">
        <f>AI248+($AM248-$AG248)/4</f>
        <v>0</v>
      </c>
      <c r="AK248" s="545">
        <f>AJ248+($AM248-$AG248)/4</f>
        <v>0</v>
      </c>
      <c r="AL248" s="545">
        <f>INDEX('PAMS and scenarios'!$I$53:$Q$60,MATCH($C248,'PAMS and scenarios'!$B$53:$B$60,0),MATCH(AL$2,'PAMS and scenarios'!$I$52:$Q$52,0))</f>
        <v>0</v>
      </c>
      <c r="AM248" s="545">
        <f>INDEX('PAMS and scenarios'!$I$53:$Q$60,MATCH($C248,'PAMS and scenarios'!$B$53:$B$60,0),MATCH(AM$2,'PAMS and scenarios'!$I$52:$Q$52,0))</f>
        <v>0</v>
      </c>
      <c r="AN248" s="545">
        <f>INDEX('PAMS and scenarios'!$I$53:$Q$60,MATCH($C248,'PAMS and scenarios'!$B$53:$B$60,0),MATCH(AN$2,'PAMS and scenarios'!$I$52:$Q$52,0))</f>
        <v>0</v>
      </c>
    </row>
    <row r="249" spans="1:40" hidden="1" x14ac:dyDescent="0.25">
      <c r="A249" s="99" t="s">
        <v>1010</v>
      </c>
      <c r="B249" s="99" t="s">
        <v>1377</v>
      </c>
      <c r="C249" s="99" t="s">
        <v>1354</v>
      </c>
      <c r="D249" s="99" t="s">
        <v>1370</v>
      </c>
      <c r="E249" s="99" t="s">
        <v>1384</v>
      </c>
      <c r="F249" s="99" t="s">
        <v>703</v>
      </c>
      <c r="G249" s="99" t="s">
        <v>1043</v>
      </c>
      <c r="H249" s="99" t="s">
        <v>703</v>
      </c>
      <c r="I249" s="99">
        <v>0</v>
      </c>
      <c r="J249" s="99">
        <v>1</v>
      </c>
      <c r="K249" s="99">
        <f t="shared" ref="K249:AN249" si="22">J249</f>
        <v>1</v>
      </c>
      <c r="L249" s="99">
        <f t="shared" si="22"/>
        <v>1</v>
      </c>
      <c r="M249" s="99">
        <f t="shared" si="22"/>
        <v>1</v>
      </c>
      <c r="N249" s="99">
        <f t="shared" si="22"/>
        <v>1</v>
      </c>
      <c r="O249" s="99">
        <f t="shared" si="22"/>
        <v>1</v>
      </c>
      <c r="P249" s="99">
        <f t="shared" si="22"/>
        <v>1</v>
      </c>
      <c r="Q249" s="99">
        <f t="shared" si="22"/>
        <v>1</v>
      </c>
      <c r="R249" s="99">
        <f t="shared" si="22"/>
        <v>1</v>
      </c>
      <c r="S249" s="99">
        <f t="shared" si="22"/>
        <v>1</v>
      </c>
      <c r="T249" s="99">
        <f t="shared" si="22"/>
        <v>1</v>
      </c>
      <c r="U249" s="99">
        <f t="shared" si="22"/>
        <v>1</v>
      </c>
      <c r="V249" s="99">
        <f t="shared" si="22"/>
        <v>1</v>
      </c>
      <c r="W249" s="99">
        <f t="shared" si="22"/>
        <v>1</v>
      </c>
      <c r="X249" s="99">
        <f t="shared" si="22"/>
        <v>1</v>
      </c>
      <c r="Y249" s="99">
        <f t="shared" si="22"/>
        <v>1</v>
      </c>
      <c r="Z249" s="99">
        <f t="shared" si="22"/>
        <v>1</v>
      </c>
      <c r="AA249" s="99">
        <f t="shared" si="22"/>
        <v>1</v>
      </c>
      <c r="AB249" s="99">
        <f t="shared" si="22"/>
        <v>1</v>
      </c>
      <c r="AC249" s="99">
        <f t="shared" si="22"/>
        <v>1</v>
      </c>
      <c r="AD249" s="99">
        <f t="shared" si="22"/>
        <v>1</v>
      </c>
      <c r="AE249" s="99">
        <f t="shared" si="22"/>
        <v>1</v>
      </c>
      <c r="AF249" s="99">
        <f t="shared" si="22"/>
        <v>1</v>
      </c>
      <c r="AG249" s="99">
        <f t="shared" si="22"/>
        <v>1</v>
      </c>
      <c r="AH249" s="99">
        <f t="shared" si="22"/>
        <v>1</v>
      </c>
      <c r="AI249" s="99">
        <f t="shared" si="22"/>
        <v>1</v>
      </c>
      <c r="AJ249" s="99">
        <f t="shared" si="22"/>
        <v>1</v>
      </c>
      <c r="AK249" s="99">
        <f t="shared" si="22"/>
        <v>1</v>
      </c>
      <c r="AL249" s="99">
        <f t="shared" si="22"/>
        <v>1</v>
      </c>
      <c r="AM249" s="99">
        <f t="shared" si="22"/>
        <v>1</v>
      </c>
      <c r="AN249" s="99">
        <f t="shared" si="22"/>
        <v>1</v>
      </c>
    </row>
    <row r="250" spans="1:40" hidden="1" x14ac:dyDescent="0.25">
      <c r="A250" s="99" t="s">
        <v>1010</v>
      </c>
      <c r="B250" s="99" t="s">
        <v>1377</v>
      </c>
      <c r="C250" s="99" t="s">
        <v>1352</v>
      </c>
      <c r="D250" s="99" t="s">
        <v>1370</v>
      </c>
      <c r="E250" s="99" t="s">
        <v>1373</v>
      </c>
      <c r="F250" s="99" t="s">
        <v>703</v>
      </c>
      <c r="G250" s="99" t="s">
        <v>1043</v>
      </c>
      <c r="H250" s="99" t="s">
        <v>703</v>
      </c>
      <c r="I250" s="545">
        <f>'PAMS and scenarios'!F$65</f>
        <v>0</v>
      </c>
      <c r="J250" s="545">
        <f>INDEX('PAMS and scenarios'!$I$53:$Q$60,MATCH($C250,'PAMS and scenarios'!$B$53:$B$60,0),MATCH(J$2,'PAMS and scenarios'!$I$52:$Q$52,0))</f>
        <v>0</v>
      </c>
      <c r="K250" s="545">
        <f>J250+($M250-$J250)/3</f>
        <v>0</v>
      </c>
      <c r="L250" s="545">
        <f>K250+($M250-$J250)/3</f>
        <v>0</v>
      </c>
      <c r="M250" s="545">
        <f>INDEX('PAMS and scenarios'!$I$53:$Q$60,MATCH($C250,'PAMS and scenarios'!$B$53:$B$60,0),MATCH(M$2,'PAMS and scenarios'!$I$52:$Q$52,0))</f>
        <v>0</v>
      </c>
      <c r="N250" s="545">
        <f>M250+($R250-$M250)/3</f>
        <v>0</v>
      </c>
      <c r="O250" s="545">
        <f>N250+($R250-$M250)/3</f>
        <v>0</v>
      </c>
      <c r="P250" s="545">
        <f>O250+($R250-$M250)/3</f>
        <v>0</v>
      </c>
      <c r="Q250" s="545">
        <f>P250+($R250-$M250)/3</f>
        <v>0</v>
      </c>
      <c r="R250" s="545">
        <f>INDEX('PAMS and scenarios'!$I$53:$Q$60,MATCH($C250,'PAMS and scenarios'!$B$53:$B$60,0),MATCH(R$2,'PAMS and scenarios'!$I$52:$Q$52,0))</f>
        <v>0</v>
      </c>
      <c r="S250" s="545">
        <f>R250+($W250-$R250)/4</f>
        <v>0</v>
      </c>
      <c r="T250" s="545">
        <f>S250+($W250-$R250)/4</f>
        <v>0</v>
      </c>
      <c r="U250" s="545">
        <f>T250+($W250-$R250)/4</f>
        <v>0</v>
      </c>
      <c r="V250" s="545">
        <f>U250+($W250-$R250)/4</f>
        <v>0</v>
      </c>
      <c r="W250" s="545">
        <f>INDEX('PAMS and scenarios'!$I$53:$Q$60,MATCH($C250,'PAMS and scenarios'!$B$53:$B$60,0),MATCH(W$2,'PAMS and scenarios'!$I$52:$Q$52,0))</f>
        <v>0</v>
      </c>
      <c r="X250" s="545">
        <f>W250+($AB250-$W250)/4</f>
        <v>0</v>
      </c>
      <c r="Y250" s="545">
        <f>X250+($AB250-$W250)/4</f>
        <v>0</v>
      </c>
      <c r="Z250" s="545">
        <f>Y250+($AB250-$W250)/4</f>
        <v>0</v>
      </c>
      <c r="AA250" s="545">
        <f>Z250+($AB250-$W250)/4</f>
        <v>0</v>
      </c>
      <c r="AB250" s="545">
        <f>INDEX('PAMS and scenarios'!$I$53:$Q$60,MATCH($C250,'PAMS and scenarios'!$B$53:$B$60,0),MATCH(AB$2,'PAMS and scenarios'!$I$52:$Q$52,0))</f>
        <v>0</v>
      </c>
      <c r="AC250" s="545">
        <f>AB250+($AG250-$AB250)/4</f>
        <v>0</v>
      </c>
      <c r="AD250" s="545">
        <f>AC250+($AG250-$AB250)/4</f>
        <v>0</v>
      </c>
      <c r="AE250" s="545">
        <f>AD250+($AG250-$AB250)/4</f>
        <v>0</v>
      </c>
      <c r="AF250" s="545">
        <f>AE250+($AG250-$AB250)/4</f>
        <v>0</v>
      </c>
      <c r="AG250" s="545">
        <f>INDEX('PAMS and scenarios'!$I$53:$Q$60,MATCH($C250,'PAMS and scenarios'!$B$53:$B$60,0),MATCH(AG$2,'PAMS and scenarios'!$I$52:$Q$52,0))</f>
        <v>0</v>
      </c>
      <c r="AH250" s="545">
        <f>AG250+($AM250-$AG250)/4</f>
        <v>0</v>
      </c>
      <c r="AI250" s="545">
        <f>AH250+($AM250-$AG250)/4</f>
        <v>0</v>
      </c>
      <c r="AJ250" s="545">
        <f>AI250+($AM250-$AG250)/4</f>
        <v>0</v>
      </c>
      <c r="AK250" s="545">
        <f>AJ250+($AM250-$AG250)/4</f>
        <v>0</v>
      </c>
      <c r="AL250" s="545">
        <f>INDEX('PAMS and scenarios'!$I$53:$Q$60,MATCH($C250,'PAMS and scenarios'!$B$53:$B$60,0),MATCH(AL$2,'PAMS and scenarios'!$I$52:$Q$52,0))</f>
        <v>0</v>
      </c>
      <c r="AM250" s="545">
        <f>INDEX('PAMS and scenarios'!$I$53:$Q$60,MATCH($C250,'PAMS and scenarios'!$B$53:$B$60,0),MATCH(AM$2,'PAMS and scenarios'!$I$52:$Q$52,0))</f>
        <v>0</v>
      </c>
      <c r="AN250" s="545">
        <f>INDEX('PAMS and scenarios'!$I$53:$Q$60,MATCH($C250,'PAMS and scenarios'!$B$53:$B$60,0),MATCH(AN$2,'PAMS and scenarios'!$I$52:$Q$52,0))</f>
        <v>0</v>
      </c>
    </row>
    <row r="251" spans="1:40" hidden="1" x14ac:dyDescent="0.25">
      <c r="A251" s="99" t="s">
        <v>1010</v>
      </c>
      <c r="B251" s="99" t="s">
        <v>1377</v>
      </c>
      <c r="C251" s="99" t="s">
        <v>1352</v>
      </c>
      <c r="D251" s="99" t="s">
        <v>1370</v>
      </c>
      <c r="E251" s="99" t="s">
        <v>1383</v>
      </c>
      <c r="F251" s="99" t="s">
        <v>703</v>
      </c>
      <c r="G251" s="99" t="s">
        <v>1043</v>
      </c>
      <c r="H251" s="99" t="s">
        <v>703</v>
      </c>
      <c r="I251" s="99">
        <v>0</v>
      </c>
      <c r="J251" s="99">
        <v>1</v>
      </c>
      <c r="K251" s="99">
        <f t="shared" ref="K251:AN251" si="23">J251</f>
        <v>1</v>
      </c>
      <c r="L251" s="99">
        <f t="shared" si="23"/>
        <v>1</v>
      </c>
      <c r="M251" s="99">
        <f t="shared" si="23"/>
        <v>1</v>
      </c>
      <c r="N251" s="99">
        <f t="shared" si="23"/>
        <v>1</v>
      </c>
      <c r="O251" s="99">
        <f t="shared" si="23"/>
        <v>1</v>
      </c>
      <c r="P251" s="99">
        <f t="shared" si="23"/>
        <v>1</v>
      </c>
      <c r="Q251" s="99">
        <f t="shared" si="23"/>
        <v>1</v>
      </c>
      <c r="R251" s="99">
        <f t="shared" si="23"/>
        <v>1</v>
      </c>
      <c r="S251" s="99">
        <f t="shared" si="23"/>
        <v>1</v>
      </c>
      <c r="T251" s="99">
        <f t="shared" si="23"/>
        <v>1</v>
      </c>
      <c r="U251" s="99">
        <f t="shared" si="23"/>
        <v>1</v>
      </c>
      <c r="V251" s="99">
        <f t="shared" si="23"/>
        <v>1</v>
      </c>
      <c r="W251" s="99">
        <f t="shared" si="23"/>
        <v>1</v>
      </c>
      <c r="X251" s="99">
        <f t="shared" si="23"/>
        <v>1</v>
      </c>
      <c r="Y251" s="99">
        <f t="shared" si="23"/>
        <v>1</v>
      </c>
      <c r="Z251" s="99">
        <f t="shared" si="23"/>
        <v>1</v>
      </c>
      <c r="AA251" s="99">
        <f t="shared" si="23"/>
        <v>1</v>
      </c>
      <c r="AB251" s="99">
        <f t="shared" si="23"/>
        <v>1</v>
      </c>
      <c r="AC251" s="99">
        <f t="shared" si="23"/>
        <v>1</v>
      </c>
      <c r="AD251" s="99">
        <f t="shared" si="23"/>
        <v>1</v>
      </c>
      <c r="AE251" s="99">
        <f t="shared" si="23"/>
        <v>1</v>
      </c>
      <c r="AF251" s="99">
        <f t="shared" si="23"/>
        <v>1</v>
      </c>
      <c r="AG251" s="99">
        <f t="shared" si="23"/>
        <v>1</v>
      </c>
      <c r="AH251" s="99">
        <f t="shared" si="23"/>
        <v>1</v>
      </c>
      <c r="AI251" s="99">
        <f t="shared" si="23"/>
        <v>1</v>
      </c>
      <c r="AJ251" s="99">
        <f t="shared" si="23"/>
        <v>1</v>
      </c>
      <c r="AK251" s="99">
        <f t="shared" si="23"/>
        <v>1</v>
      </c>
      <c r="AL251" s="99">
        <f t="shared" si="23"/>
        <v>1</v>
      </c>
      <c r="AM251" s="99">
        <f t="shared" si="23"/>
        <v>1</v>
      </c>
      <c r="AN251" s="99">
        <f t="shared" si="23"/>
        <v>1</v>
      </c>
    </row>
    <row r="252" spans="1:40" hidden="1" x14ac:dyDescent="0.25">
      <c r="A252" s="99" t="s">
        <v>1010</v>
      </c>
      <c r="B252" s="99" t="s">
        <v>1377</v>
      </c>
      <c r="C252" s="99" t="s">
        <v>1348</v>
      </c>
      <c r="D252" s="99" t="s">
        <v>1370</v>
      </c>
      <c r="E252" s="99" t="s">
        <v>1372</v>
      </c>
      <c r="F252" s="99" t="s">
        <v>703</v>
      </c>
      <c r="G252" s="99" t="s">
        <v>1043</v>
      </c>
      <c r="H252" s="99" t="s">
        <v>703</v>
      </c>
      <c r="I252" s="545">
        <f>'PAMS and scenarios'!F$65</f>
        <v>0</v>
      </c>
      <c r="J252" s="545">
        <f>INDEX('PAMS and scenarios'!$I$53:$Q$60,MATCH($C252,'PAMS and scenarios'!$B$53:$B$60,0),MATCH(J$2,'PAMS and scenarios'!$I$52:$Q$52,0))</f>
        <v>0</v>
      </c>
      <c r="K252" s="545">
        <f>J252+($M252-$J252)/3</f>
        <v>0</v>
      </c>
      <c r="L252" s="545">
        <f>K252+($M252-$J252)/3</f>
        <v>0</v>
      </c>
      <c r="M252" s="545">
        <f>INDEX('PAMS and scenarios'!$I$53:$Q$60,MATCH($C252,'PAMS and scenarios'!$B$53:$B$60,0),MATCH(M$2,'PAMS and scenarios'!$I$52:$Q$52,0))</f>
        <v>0</v>
      </c>
      <c r="N252" s="545">
        <f>M252+($R252-$M252)/3</f>
        <v>0</v>
      </c>
      <c r="O252" s="545">
        <f>N252+($R252-$M252)/3</f>
        <v>0</v>
      </c>
      <c r="P252" s="545">
        <f>O252+($R252-$M252)/3</f>
        <v>0</v>
      </c>
      <c r="Q252" s="545">
        <f>P252+($R252-$M252)/3</f>
        <v>0</v>
      </c>
      <c r="R252" s="545">
        <f>INDEX('PAMS and scenarios'!$I$53:$Q$60,MATCH($C252,'PAMS and scenarios'!$B$53:$B$60,0),MATCH(R$2,'PAMS and scenarios'!$I$52:$Q$52,0))</f>
        <v>0</v>
      </c>
      <c r="S252" s="545">
        <f>R252+($W252-$R252)/4</f>
        <v>0</v>
      </c>
      <c r="T252" s="545">
        <f>S252+($W252-$R252)/4</f>
        <v>0</v>
      </c>
      <c r="U252" s="545">
        <f>T252+($W252-$R252)/4</f>
        <v>0</v>
      </c>
      <c r="V252" s="545">
        <f>U252+($W252-$R252)/4</f>
        <v>0</v>
      </c>
      <c r="W252" s="545">
        <f>INDEX('PAMS and scenarios'!$I$53:$Q$60,MATCH($C252,'PAMS and scenarios'!$B$53:$B$60,0),MATCH(W$2,'PAMS and scenarios'!$I$52:$Q$52,0))</f>
        <v>0</v>
      </c>
      <c r="X252" s="545">
        <f>W252+($AB252-$W252)/4</f>
        <v>0</v>
      </c>
      <c r="Y252" s="545">
        <f>X252+($AB252-$W252)/4</f>
        <v>0</v>
      </c>
      <c r="Z252" s="545">
        <f>Y252+($AB252-$W252)/4</f>
        <v>0</v>
      </c>
      <c r="AA252" s="545">
        <f>Z252+($AB252-$W252)/4</f>
        <v>0</v>
      </c>
      <c r="AB252" s="545">
        <f>INDEX('PAMS and scenarios'!$I$53:$Q$60,MATCH($C252,'PAMS and scenarios'!$B$53:$B$60,0),MATCH(AB$2,'PAMS and scenarios'!$I$52:$Q$52,0))</f>
        <v>0</v>
      </c>
      <c r="AC252" s="545">
        <f>AB252+($AG252-$AB252)/4</f>
        <v>0</v>
      </c>
      <c r="AD252" s="545">
        <f>AC252+($AG252-$AB252)/4</f>
        <v>0</v>
      </c>
      <c r="AE252" s="545">
        <f>AD252+($AG252-$AB252)/4</f>
        <v>0</v>
      </c>
      <c r="AF252" s="545">
        <f>AE252+($AG252-$AB252)/4</f>
        <v>0</v>
      </c>
      <c r="AG252" s="545">
        <f>INDEX('PAMS and scenarios'!$I$53:$Q$60,MATCH($C252,'PAMS and scenarios'!$B$53:$B$60,0),MATCH(AG$2,'PAMS and scenarios'!$I$52:$Q$52,0))</f>
        <v>0</v>
      </c>
      <c r="AH252" s="545">
        <f>AG252+($AM252-$AG252)/4</f>
        <v>0</v>
      </c>
      <c r="AI252" s="545">
        <f>AH252+($AM252-$AG252)/4</f>
        <v>0</v>
      </c>
      <c r="AJ252" s="545">
        <f>AI252+($AM252-$AG252)/4</f>
        <v>0</v>
      </c>
      <c r="AK252" s="545">
        <f>AJ252+($AM252-$AG252)/4</f>
        <v>0</v>
      </c>
      <c r="AL252" s="545">
        <f>INDEX('PAMS and scenarios'!$I$53:$Q$60,MATCH($C252,'PAMS and scenarios'!$B$53:$B$60,0),MATCH(AL$2,'PAMS and scenarios'!$I$52:$Q$52,0))</f>
        <v>0</v>
      </c>
      <c r="AM252" s="545">
        <f>INDEX('PAMS and scenarios'!$I$53:$Q$60,MATCH($C252,'PAMS and scenarios'!$B$53:$B$60,0),MATCH(AM$2,'PAMS and scenarios'!$I$52:$Q$52,0))</f>
        <v>0</v>
      </c>
      <c r="AN252" s="545">
        <f>INDEX('PAMS and scenarios'!$I$53:$Q$60,MATCH($C252,'PAMS and scenarios'!$B$53:$B$60,0),MATCH(AN$2,'PAMS and scenarios'!$I$52:$Q$52,0))</f>
        <v>0</v>
      </c>
    </row>
    <row r="253" spans="1:40" hidden="1" x14ac:dyDescent="0.25">
      <c r="A253" s="99" t="s">
        <v>1010</v>
      </c>
      <c r="B253" s="99" t="s">
        <v>1377</v>
      </c>
      <c r="C253" s="99" t="s">
        <v>1348</v>
      </c>
      <c r="D253" s="99" t="s">
        <v>1370</v>
      </c>
      <c r="E253" s="99" t="s">
        <v>1382</v>
      </c>
      <c r="F253" s="99" t="s">
        <v>703</v>
      </c>
      <c r="G253" s="99" t="s">
        <v>1043</v>
      </c>
      <c r="H253" s="99" t="s">
        <v>703</v>
      </c>
      <c r="I253" s="99">
        <v>0</v>
      </c>
      <c r="J253" s="99">
        <v>1</v>
      </c>
      <c r="K253" s="99">
        <f t="shared" ref="K253:AN253" si="24">J253</f>
        <v>1</v>
      </c>
      <c r="L253" s="99">
        <f t="shared" si="24"/>
        <v>1</v>
      </c>
      <c r="M253" s="99">
        <f t="shared" si="24"/>
        <v>1</v>
      </c>
      <c r="N253" s="99">
        <f t="shared" si="24"/>
        <v>1</v>
      </c>
      <c r="O253" s="99">
        <f t="shared" si="24"/>
        <v>1</v>
      </c>
      <c r="P253" s="99">
        <f t="shared" si="24"/>
        <v>1</v>
      </c>
      <c r="Q253" s="99">
        <f t="shared" si="24"/>
        <v>1</v>
      </c>
      <c r="R253" s="99">
        <f t="shared" si="24"/>
        <v>1</v>
      </c>
      <c r="S253" s="99">
        <f t="shared" si="24"/>
        <v>1</v>
      </c>
      <c r="T253" s="99">
        <f t="shared" si="24"/>
        <v>1</v>
      </c>
      <c r="U253" s="99">
        <f t="shared" si="24"/>
        <v>1</v>
      </c>
      <c r="V253" s="99">
        <f t="shared" si="24"/>
        <v>1</v>
      </c>
      <c r="W253" s="99">
        <f t="shared" si="24"/>
        <v>1</v>
      </c>
      <c r="X253" s="99">
        <f t="shared" si="24"/>
        <v>1</v>
      </c>
      <c r="Y253" s="99">
        <f t="shared" si="24"/>
        <v>1</v>
      </c>
      <c r="Z253" s="99">
        <f t="shared" si="24"/>
        <v>1</v>
      </c>
      <c r="AA253" s="99">
        <f t="shared" si="24"/>
        <v>1</v>
      </c>
      <c r="AB253" s="99">
        <f t="shared" si="24"/>
        <v>1</v>
      </c>
      <c r="AC253" s="99">
        <f t="shared" si="24"/>
        <v>1</v>
      </c>
      <c r="AD253" s="99">
        <f t="shared" si="24"/>
        <v>1</v>
      </c>
      <c r="AE253" s="99">
        <f t="shared" si="24"/>
        <v>1</v>
      </c>
      <c r="AF253" s="99">
        <f t="shared" si="24"/>
        <v>1</v>
      </c>
      <c r="AG253" s="99">
        <f t="shared" si="24"/>
        <v>1</v>
      </c>
      <c r="AH253" s="99">
        <f t="shared" si="24"/>
        <v>1</v>
      </c>
      <c r="AI253" s="99">
        <f t="shared" si="24"/>
        <v>1</v>
      </c>
      <c r="AJ253" s="99">
        <f t="shared" si="24"/>
        <v>1</v>
      </c>
      <c r="AK253" s="99">
        <f t="shared" si="24"/>
        <v>1</v>
      </c>
      <c r="AL253" s="99">
        <f t="shared" si="24"/>
        <v>1</v>
      </c>
      <c r="AM253" s="99">
        <f t="shared" si="24"/>
        <v>1</v>
      </c>
      <c r="AN253" s="99">
        <f t="shared" si="24"/>
        <v>1</v>
      </c>
    </row>
    <row r="254" spans="1:40" hidden="1" x14ac:dyDescent="0.25">
      <c r="A254" s="99" t="s">
        <v>1010</v>
      </c>
      <c r="B254" s="99" t="s">
        <v>1377</v>
      </c>
      <c r="C254" s="99" t="s">
        <v>1346</v>
      </c>
      <c r="D254" s="99" t="s">
        <v>1370</v>
      </c>
      <c r="E254" s="99" t="s">
        <v>1372</v>
      </c>
      <c r="F254" s="99" t="s">
        <v>703</v>
      </c>
      <c r="G254" s="99" t="s">
        <v>1043</v>
      </c>
      <c r="H254" s="99" t="s">
        <v>703</v>
      </c>
      <c r="I254" s="545">
        <f>'PAMS and scenarios'!F$65</f>
        <v>0</v>
      </c>
      <c r="J254" s="545">
        <f>INDEX('PAMS and scenarios'!$I$53:$Q$60,MATCH($C254,'PAMS and scenarios'!$B$53:$B$60,0),MATCH(J$2,'PAMS and scenarios'!$I$52:$Q$52,0))</f>
        <v>0</v>
      </c>
      <c r="K254" s="545">
        <f>J254+($M254-$J254)/3</f>
        <v>0</v>
      </c>
      <c r="L254" s="545">
        <f>K254+($M254-$J254)/3</f>
        <v>0</v>
      </c>
      <c r="M254" s="545">
        <f>INDEX('PAMS and scenarios'!$I$53:$Q$60,MATCH($C254,'PAMS and scenarios'!$B$53:$B$60,0),MATCH(M$2,'PAMS and scenarios'!$I$52:$Q$52,0))</f>
        <v>0</v>
      </c>
      <c r="N254" s="545">
        <f>M254+($R254-$M254)/3</f>
        <v>0</v>
      </c>
      <c r="O254" s="545">
        <f>N254+($R254-$M254)/3</f>
        <v>0</v>
      </c>
      <c r="P254" s="545">
        <f>O254+($R254-$M254)/3</f>
        <v>0</v>
      </c>
      <c r="Q254" s="545">
        <f>P254+($R254-$M254)/3</f>
        <v>0</v>
      </c>
      <c r="R254" s="545">
        <f>INDEX('PAMS and scenarios'!$I$53:$Q$60,MATCH($C254,'PAMS and scenarios'!$B$53:$B$60,0),MATCH(R$2,'PAMS and scenarios'!$I$52:$Q$52,0))</f>
        <v>0</v>
      </c>
      <c r="S254" s="545">
        <f>R254+($W254-$R254)/4</f>
        <v>0</v>
      </c>
      <c r="T254" s="545">
        <f>S254+($W254-$R254)/4</f>
        <v>0</v>
      </c>
      <c r="U254" s="545">
        <f>T254+($W254-$R254)/4</f>
        <v>0</v>
      </c>
      <c r="V254" s="545">
        <f>U254+($W254-$R254)/4</f>
        <v>0</v>
      </c>
      <c r="W254" s="545">
        <f>INDEX('PAMS and scenarios'!$I$53:$Q$60,MATCH($C254,'PAMS and scenarios'!$B$53:$B$60,0),MATCH(W$2,'PAMS and scenarios'!$I$52:$Q$52,0))</f>
        <v>0</v>
      </c>
      <c r="X254" s="545">
        <f>W254+($AB254-$W254)/4</f>
        <v>0</v>
      </c>
      <c r="Y254" s="545">
        <f>X254+($AB254-$W254)/4</f>
        <v>0</v>
      </c>
      <c r="Z254" s="545">
        <f>Y254+($AB254-$W254)/4</f>
        <v>0</v>
      </c>
      <c r="AA254" s="545">
        <f>Z254+($AB254-$W254)/4</f>
        <v>0</v>
      </c>
      <c r="AB254" s="545">
        <f>INDEX('PAMS and scenarios'!$I$53:$Q$60,MATCH($C254,'PAMS and scenarios'!$B$53:$B$60,0),MATCH(AB$2,'PAMS and scenarios'!$I$52:$Q$52,0))</f>
        <v>0</v>
      </c>
      <c r="AC254" s="545">
        <f>AB254+($AG254-$AB254)/4</f>
        <v>0</v>
      </c>
      <c r="AD254" s="545">
        <f>AC254+($AG254-$AB254)/4</f>
        <v>0</v>
      </c>
      <c r="AE254" s="545">
        <f>AD254+($AG254-$AB254)/4</f>
        <v>0</v>
      </c>
      <c r="AF254" s="545">
        <f>AE254+($AG254-$AB254)/4</f>
        <v>0</v>
      </c>
      <c r="AG254" s="545">
        <f>INDEX('PAMS and scenarios'!$I$53:$Q$60,MATCH($C254,'PAMS and scenarios'!$B$53:$B$60,0),MATCH(AG$2,'PAMS and scenarios'!$I$52:$Q$52,0))</f>
        <v>0</v>
      </c>
      <c r="AH254" s="545">
        <f>AG254+($AM254-$AG254)/4</f>
        <v>0</v>
      </c>
      <c r="AI254" s="545">
        <f>AH254+($AM254-$AG254)/4</f>
        <v>0</v>
      </c>
      <c r="AJ254" s="545">
        <f>AI254+($AM254-$AG254)/4</f>
        <v>0</v>
      </c>
      <c r="AK254" s="545">
        <f>AJ254+($AM254-$AG254)/4</f>
        <v>0</v>
      </c>
      <c r="AL254" s="545">
        <f>INDEX('PAMS and scenarios'!$I$53:$Q$60,MATCH($C254,'PAMS and scenarios'!$B$53:$B$60,0),MATCH(AL$2,'PAMS and scenarios'!$I$52:$Q$52,0))</f>
        <v>0</v>
      </c>
      <c r="AM254" s="545">
        <f>INDEX('PAMS and scenarios'!$I$53:$Q$60,MATCH($C254,'PAMS and scenarios'!$B$53:$B$60,0),MATCH(AM$2,'PAMS and scenarios'!$I$52:$Q$52,0))</f>
        <v>0</v>
      </c>
      <c r="AN254" s="545">
        <f>INDEX('PAMS and scenarios'!$I$53:$Q$60,MATCH($C254,'PAMS and scenarios'!$B$53:$B$60,0),MATCH(AN$2,'PAMS and scenarios'!$I$52:$Q$52,0))</f>
        <v>0</v>
      </c>
    </row>
    <row r="255" spans="1:40" hidden="1" x14ac:dyDescent="0.25">
      <c r="A255" s="99" t="s">
        <v>1010</v>
      </c>
      <c r="B255" s="99" t="s">
        <v>1377</v>
      </c>
      <c r="C255" s="99" t="s">
        <v>1346</v>
      </c>
      <c r="D255" s="99" t="s">
        <v>1370</v>
      </c>
      <c r="E255" s="99" t="s">
        <v>1381</v>
      </c>
      <c r="F255" s="99" t="s">
        <v>703</v>
      </c>
      <c r="G255" s="99" t="s">
        <v>1043</v>
      </c>
      <c r="H255" s="99" t="s">
        <v>703</v>
      </c>
      <c r="I255" s="99">
        <v>0</v>
      </c>
      <c r="J255" s="99">
        <v>1</v>
      </c>
      <c r="K255" s="99">
        <f t="shared" ref="K255:AN255" si="25">J255</f>
        <v>1</v>
      </c>
      <c r="L255" s="99">
        <f t="shared" si="25"/>
        <v>1</v>
      </c>
      <c r="M255" s="99">
        <f t="shared" si="25"/>
        <v>1</v>
      </c>
      <c r="N255" s="99">
        <f t="shared" si="25"/>
        <v>1</v>
      </c>
      <c r="O255" s="99">
        <f t="shared" si="25"/>
        <v>1</v>
      </c>
      <c r="P255" s="99">
        <f t="shared" si="25"/>
        <v>1</v>
      </c>
      <c r="Q255" s="99">
        <f t="shared" si="25"/>
        <v>1</v>
      </c>
      <c r="R255" s="99">
        <f t="shared" si="25"/>
        <v>1</v>
      </c>
      <c r="S255" s="99">
        <f t="shared" si="25"/>
        <v>1</v>
      </c>
      <c r="T255" s="99">
        <f t="shared" si="25"/>
        <v>1</v>
      </c>
      <c r="U255" s="99">
        <f t="shared" si="25"/>
        <v>1</v>
      </c>
      <c r="V255" s="99">
        <f t="shared" si="25"/>
        <v>1</v>
      </c>
      <c r="W255" s="99">
        <f t="shared" si="25"/>
        <v>1</v>
      </c>
      <c r="X255" s="99">
        <f t="shared" si="25"/>
        <v>1</v>
      </c>
      <c r="Y255" s="99">
        <f t="shared" si="25"/>
        <v>1</v>
      </c>
      <c r="Z255" s="99">
        <f t="shared" si="25"/>
        <v>1</v>
      </c>
      <c r="AA255" s="99">
        <f t="shared" si="25"/>
        <v>1</v>
      </c>
      <c r="AB255" s="99">
        <f t="shared" si="25"/>
        <v>1</v>
      </c>
      <c r="AC255" s="99">
        <f t="shared" si="25"/>
        <v>1</v>
      </c>
      <c r="AD255" s="99">
        <f t="shared" si="25"/>
        <v>1</v>
      </c>
      <c r="AE255" s="99">
        <f t="shared" si="25"/>
        <v>1</v>
      </c>
      <c r="AF255" s="99">
        <f t="shared" si="25"/>
        <v>1</v>
      </c>
      <c r="AG255" s="99">
        <f t="shared" si="25"/>
        <v>1</v>
      </c>
      <c r="AH255" s="99">
        <f t="shared" si="25"/>
        <v>1</v>
      </c>
      <c r="AI255" s="99">
        <f t="shared" si="25"/>
        <v>1</v>
      </c>
      <c r="AJ255" s="99">
        <f t="shared" si="25"/>
        <v>1</v>
      </c>
      <c r="AK255" s="99">
        <f t="shared" si="25"/>
        <v>1</v>
      </c>
      <c r="AL255" s="99">
        <f t="shared" si="25"/>
        <v>1</v>
      </c>
      <c r="AM255" s="99">
        <f t="shared" si="25"/>
        <v>1</v>
      </c>
      <c r="AN255" s="99">
        <f t="shared" si="25"/>
        <v>1</v>
      </c>
    </row>
    <row r="256" spans="1:40" hidden="1" x14ac:dyDescent="0.25">
      <c r="B256" s="99" t="s">
        <v>1377</v>
      </c>
      <c r="C256" s="99" t="s">
        <v>1342</v>
      </c>
      <c r="D256" s="99" t="s">
        <v>1370</v>
      </c>
      <c r="E256" s="99" t="s">
        <v>1380</v>
      </c>
      <c r="F256" s="99" t="s">
        <v>703</v>
      </c>
      <c r="G256" s="99" t="s">
        <v>1043</v>
      </c>
      <c r="H256" s="99" t="s">
        <v>703</v>
      </c>
      <c r="I256" s="99">
        <v>0</v>
      </c>
      <c r="J256" s="546" t="str">
        <f>'Iron &amp; Steel'!AF31</f>
        <v>-0.126</v>
      </c>
      <c r="K256" s="545" t="str">
        <f>'Iron &amp; Steel'!AG31</f>
        <v>-0.126</v>
      </c>
      <c r="L256" s="545" t="str">
        <f>'Iron &amp; Steel'!AH31</f>
        <v>-0.126</v>
      </c>
      <c r="M256" s="545" t="str">
        <f>'Iron &amp; Steel'!AI31</f>
        <v>-0.217</v>
      </c>
      <c r="N256" s="545" t="str">
        <f>'Iron &amp; Steel'!AJ31</f>
        <v>-0.221</v>
      </c>
      <c r="O256" s="545" t="str">
        <f>'Iron &amp; Steel'!AK31</f>
        <v>-0.216</v>
      </c>
      <c r="P256" s="545" t="str">
        <f>'Iron &amp; Steel'!AL31</f>
        <v>-0.196</v>
      </c>
      <c r="Q256" s="545" t="str">
        <f>'Iron &amp; Steel'!AM31</f>
        <v>-0.201</v>
      </c>
      <c r="R256" s="545" t="str">
        <f>'Iron &amp; Steel'!AN31</f>
        <v>-0.246</v>
      </c>
      <c r="S256" s="99">
        <f>R256+($W256-$R256)/4</f>
        <v>-0.25275000000000003</v>
      </c>
      <c r="T256" s="99">
        <f>S256+($W256-$R256)/4</f>
        <v>-0.25950000000000006</v>
      </c>
      <c r="U256" s="99">
        <f>T256+($W256-$R256)/4</f>
        <v>-0.2662500000000001</v>
      </c>
      <c r="V256" s="99">
        <f>U256+($W256-$R256)/4</f>
        <v>-0.27300000000000013</v>
      </c>
      <c r="W256" s="547">
        <f>IF(wastePAM,(R256+(AB256-R256)/2)*(1+'[2]PAMS central control panel'!F274),(R256+(AB256-R256)/2))</f>
        <v>-0.27300000000000002</v>
      </c>
      <c r="X256" s="99">
        <f>W256+($AB256-$W256)/4</f>
        <v>-0.27975</v>
      </c>
      <c r="Y256" s="99">
        <f>X256+($AB256-$W256)/4</f>
        <v>-0.28649999999999998</v>
      </c>
      <c r="Z256" s="99">
        <f>Y256+($AB256-$W256)/4</f>
        <v>-0.29324999999999996</v>
      </c>
      <c r="AA256" s="99">
        <f>Z256+($AB256-$W256)/4</f>
        <v>-0.29999999999999993</v>
      </c>
      <c r="AB256" s="99">
        <f>IF(wastePAM,'Iron &amp; Steel'!$D$150*(1+'[2]PAMS central control panel'!G283),'Iron &amp; Steel'!$D$150)</f>
        <v>-0.3</v>
      </c>
      <c r="AC256" s="99">
        <f>AB256+($AG256-$AB256)/4</f>
        <v>-0.3</v>
      </c>
      <c r="AD256" s="99">
        <f>AC256+($AG256-$AB256)/4</f>
        <v>-0.3</v>
      </c>
      <c r="AE256" s="99">
        <f>AD256+($AG256-$AB256)/4</f>
        <v>-0.3</v>
      </c>
      <c r="AF256" s="99">
        <f>AE256+($AG256-$AB256)/4</f>
        <v>-0.3</v>
      </c>
      <c r="AG256" s="99">
        <f>IF(wastePAM,'Iron &amp; Steel'!$D$150*(1+'[2]PAMS central control panel'!H283),'Iron &amp; Steel'!$D$150)</f>
        <v>-0.3</v>
      </c>
      <c r="AH256" s="99">
        <f>AG256+($AM256-$AG256)/4</f>
        <v>-0.3</v>
      </c>
      <c r="AI256" s="99">
        <f>AH256+($AM256-$AG256)/4</f>
        <v>-0.3</v>
      </c>
      <c r="AJ256" s="99">
        <f>AI256+($AM256-$AG256)/4</f>
        <v>-0.3</v>
      </c>
      <c r="AK256" s="99">
        <f>AJ256+($AM256-$AG256)/4</f>
        <v>-0.3</v>
      </c>
      <c r="AL256" s="547">
        <f>IF(wastePAM,'Iron &amp; Steel'!$D$150*(1+'[2]PAMS central control panel'!I283),'Iron &amp; Steel'!$D$150)</f>
        <v>-0.3</v>
      </c>
      <c r="AM256" s="547">
        <f>IF(wastePAM,'Iron &amp; Steel'!$D$150*(1+'[2]PAMS central control panel'!J283),'Iron &amp; Steel'!$D$150)</f>
        <v>-0.3</v>
      </c>
      <c r="AN256" s="547">
        <f>IF(wastePAM,'Iron &amp; Steel'!$D$150*(1+'[2]PAMS central control panel'!K283),'Iron &amp; Steel'!$D$150)</f>
        <v>-0.3</v>
      </c>
    </row>
    <row r="257" spans="1:40" hidden="1" x14ac:dyDescent="0.25">
      <c r="B257" s="99" t="s">
        <v>1377</v>
      </c>
      <c r="C257" s="99" t="s">
        <v>1342</v>
      </c>
      <c r="D257" s="99" t="s">
        <v>1370</v>
      </c>
      <c r="E257" s="99" t="s">
        <v>1379</v>
      </c>
      <c r="F257" s="99" t="s">
        <v>703</v>
      </c>
      <c r="G257" s="99" t="s">
        <v>1043</v>
      </c>
      <c r="H257" s="99" t="s">
        <v>703</v>
      </c>
      <c r="I257" s="99">
        <v>0</v>
      </c>
      <c r="J257" s="99">
        <v>1</v>
      </c>
      <c r="K257" s="99">
        <f t="shared" ref="K257:AN257" si="26">J257</f>
        <v>1</v>
      </c>
      <c r="L257" s="99">
        <f t="shared" si="26"/>
        <v>1</v>
      </c>
      <c r="M257" s="99">
        <f t="shared" si="26"/>
        <v>1</v>
      </c>
      <c r="N257" s="99">
        <f t="shared" si="26"/>
        <v>1</v>
      </c>
      <c r="O257" s="99">
        <f t="shared" si="26"/>
        <v>1</v>
      </c>
      <c r="P257" s="99">
        <f t="shared" si="26"/>
        <v>1</v>
      </c>
      <c r="Q257" s="99">
        <f t="shared" si="26"/>
        <v>1</v>
      </c>
      <c r="R257" s="99">
        <f t="shared" si="26"/>
        <v>1</v>
      </c>
      <c r="S257" s="99">
        <f t="shared" si="26"/>
        <v>1</v>
      </c>
      <c r="T257" s="99">
        <f t="shared" si="26"/>
        <v>1</v>
      </c>
      <c r="U257" s="99">
        <f t="shared" si="26"/>
        <v>1</v>
      </c>
      <c r="V257" s="99">
        <f t="shared" si="26"/>
        <v>1</v>
      </c>
      <c r="W257" s="99">
        <f t="shared" si="26"/>
        <v>1</v>
      </c>
      <c r="X257" s="99">
        <f t="shared" si="26"/>
        <v>1</v>
      </c>
      <c r="Y257" s="99">
        <f t="shared" si="26"/>
        <v>1</v>
      </c>
      <c r="Z257" s="99">
        <f t="shared" si="26"/>
        <v>1</v>
      </c>
      <c r="AA257" s="99">
        <f t="shared" si="26"/>
        <v>1</v>
      </c>
      <c r="AB257" s="99">
        <f t="shared" si="26"/>
        <v>1</v>
      </c>
      <c r="AC257" s="99">
        <f t="shared" si="26"/>
        <v>1</v>
      </c>
      <c r="AD257" s="99">
        <f t="shared" si="26"/>
        <v>1</v>
      </c>
      <c r="AE257" s="99">
        <f t="shared" si="26"/>
        <v>1</v>
      </c>
      <c r="AF257" s="99">
        <f t="shared" si="26"/>
        <v>1</v>
      </c>
      <c r="AG257" s="99">
        <f t="shared" si="26"/>
        <v>1</v>
      </c>
      <c r="AH257" s="99">
        <f t="shared" si="26"/>
        <v>1</v>
      </c>
      <c r="AI257" s="99">
        <f t="shared" si="26"/>
        <v>1</v>
      </c>
      <c r="AJ257" s="99">
        <f t="shared" si="26"/>
        <v>1</v>
      </c>
      <c r="AK257" s="99">
        <f t="shared" si="26"/>
        <v>1</v>
      </c>
      <c r="AL257" s="99">
        <f t="shared" si="26"/>
        <v>1</v>
      </c>
      <c r="AM257" s="99">
        <f t="shared" si="26"/>
        <v>1</v>
      </c>
      <c r="AN257" s="99">
        <f t="shared" si="26"/>
        <v>1</v>
      </c>
    </row>
    <row r="258" spans="1:40" hidden="1" x14ac:dyDescent="0.25">
      <c r="B258" s="99" t="s">
        <v>1377</v>
      </c>
      <c r="C258" s="99" t="s">
        <v>1340</v>
      </c>
      <c r="D258" s="99" t="s">
        <v>1370</v>
      </c>
      <c r="E258" s="99" t="s">
        <v>1380</v>
      </c>
      <c r="F258" s="99" t="s">
        <v>703</v>
      </c>
      <c r="G258" s="99" t="s">
        <v>1043</v>
      </c>
      <c r="H258" s="99" t="s">
        <v>703</v>
      </c>
      <c r="I258" s="99">
        <v>0</v>
      </c>
      <c r="J258" s="546" t="str">
        <f>'Iron &amp; Steel'!AF32</f>
        <v>-0.121</v>
      </c>
      <c r="K258" s="546" t="str">
        <f>'Iron &amp; Steel'!AG32</f>
        <v>-0.121</v>
      </c>
      <c r="L258" s="546" t="str">
        <f>'Iron &amp; Steel'!AH32</f>
        <v>-0.121</v>
      </c>
      <c r="M258" s="546" t="str">
        <f>'Iron &amp; Steel'!AI32</f>
        <v>-0.209</v>
      </c>
      <c r="N258" s="546" t="str">
        <f>'Iron &amp; Steel'!AJ32</f>
        <v>-0.212</v>
      </c>
      <c r="O258" s="546" t="str">
        <f>'Iron &amp; Steel'!AK32</f>
        <v>-0.208</v>
      </c>
      <c r="P258" s="546" t="str">
        <f>'Iron &amp; Steel'!AL32</f>
        <v>-0.188</v>
      </c>
      <c r="Q258" s="546" t="str">
        <f>'Iron &amp; Steel'!AM32</f>
        <v>-0.193</v>
      </c>
      <c r="R258" s="546" t="str">
        <f>'Iron &amp; Steel'!AN32</f>
        <v>-0.237</v>
      </c>
      <c r="S258" s="99">
        <v>-0.22</v>
      </c>
      <c r="T258" s="99">
        <f t="shared" ref="T258:AN258" si="27">S258</f>
        <v>-0.22</v>
      </c>
      <c r="U258" s="99">
        <f t="shared" si="27"/>
        <v>-0.22</v>
      </c>
      <c r="V258" s="99">
        <f t="shared" si="27"/>
        <v>-0.22</v>
      </c>
      <c r="W258" s="99">
        <f t="shared" si="27"/>
        <v>-0.22</v>
      </c>
      <c r="X258" s="99">
        <f t="shared" si="27"/>
        <v>-0.22</v>
      </c>
      <c r="Y258" s="99">
        <f t="shared" si="27"/>
        <v>-0.22</v>
      </c>
      <c r="Z258" s="99">
        <f t="shared" si="27"/>
        <v>-0.22</v>
      </c>
      <c r="AA258" s="99">
        <f t="shared" si="27"/>
        <v>-0.22</v>
      </c>
      <c r="AB258" s="99">
        <f t="shared" si="27"/>
        <v>-0.22</v>
      </c>
      <c r="AC258" s="99">
        <f t="shared" si="27"/>
        <v>-0.22</v>
      </c>
      <c r="AD258" s="99">
        <f t="shared" si="27"/>
        <v>-0.22</v>
      </c>
      <c r="AE258" s="99">
        <f t="shared" si="27"/>
        <v>-0.22</v>
      </c>
      <c r="AF258" s="99">
        <f t="shared" si="27"/>
        <v>-0.22</v>
      </c>
      <c r="AG258" s="99">
        <f t="shared" si="27"/>
        <v>-0.22</v>
      </c>
      <c r="AH258" s="99">
        <f t="shared" si="27"/>
        <v>-0.22</v>
      </c>
      <c r="AI258" s="99">
        <f t="shared" si="27"/>
        <v>-0.22</v>
      </c>
      <c r="AJ258" s="99">
        <f t="shared" si="27"/>
        <v>-0.22</v>
      </c>
      <c r="AK258" s="99">
        <f t="shared" si="27"/>
        <v>-0.22</v>
      </c>
      <c r="AL258" s="99">
        <f t="shared" si="27"/>
        <v>-0.22</v>
      </c>
      <c r="AM258" s="99">
        <f t="shared" si="27"/>
        <v>-0.22</v>
      </c>
      <c r="AN258" s="99">
        <f t="shared" si="27"/>
        <v>-0.22</v>
      </c>
    </row>
    <row r="259" spans="1:40" hidden="1" x14ac:dyDescent="0.25">
      <c r="B259" s="99" t="s">
        <v>1377</v>
      </c>
      <c r="C259" s="99" t="s">
        <v>1340</v>
      </c>
      <c r="D259" s="99" t="s">
        <v>1370</v>
      </c>
      <c r="E259" s="99" t="s">
        <v>1379</v>
      </c>
      <c r="F259" s="99" t="s">
        <v>703</v>
      </c>
      <c r="G259" s="99" t="s">
        <v>1043</v>
      </c>
      <c r="H259" s="99" t="s">
        <v>703</v>
      </c>
      <c r="I259" s="99">
        <v>0</v>
      </c>
      <c r="J259" s="99">
        <v>1</v>
      </c>
      <c r="K259" s="99">
        <f t="shared" ref="K259:R259" si="28">J259</f>
        <v>1</v>
      </c>
      <c r="L259" s="99">
        <f t="shared" si="28"/>
        <v>1</v>
      </c>
      <c r="M259" s="99">
        <f t="shared" si="28"/>
        <v>1</v>
      </c>
      <c r="N259" s="99">
        <f t="shared" si="28"/>
        <v>1</v>
      </c>
      <c r="O259" s="99">
        <f t="shared" si="28"/>
        <v>1</v>
      </c>
      <c r="P259" s="99">
        <f t="shared" si="28"/>
        <v>1</v>
      </c>
      <c r="Q259" s="99">
        <f t="shared" si="28"/>
        <v>1</v>
      </c>
      <c r="R259" s="99">
        <f t="shared" si="28"/>
        <v>1</v>
      </c>
      <c r="S259" s="99">
        <f t="shared" ref="S259:AN259" si="29">R259</f>
        <v>1</v>
      </c>
      <c r="T259" s="99">
        <f t="shared" si="29"/>
        <v>1</v>
      </c>
      <c r="U259" s="99">
        <f t="shared" si="29"/>
        <v>1</v>
      </c>
      <c r="V259" s="99">
        <f t="shared" si="29"/>
        <v>1</v>
      </c>
      <c r="W259" s="99">
        <f t="shared" si="29"/>
        <v>1</v>
      </c>
      <c r="X259" s="99">
        <f t="shared" si="29"/>
        <v>1</v>
      </c>
      <c r="Y259" s="99">
        <f t="shared" si="29"/>
        <v>1</v>
      </c>
      <c r="Z259" s="99">
        <f t="shared" si="29"/>
        <v>1</v>
      </c>
      <c r="AA259" s="99">
        <f t="shared" si="29"/>
        <v>1</v>
      </c>
      <c r="AB259" s="99">
        <f t="shared" si="29"/>
        <v>1</v>
      </c>
      <c r="AC259" s="99">
        <f t="shared" si="29"/>
        <v>1</v>
      </c>
      <c r="AD259" s="99">
        <f t="shared" si="29"/>
        <v>1</v>
      </c>
      <c r="AE259" s="99">
        <f t="shared" si="29"/>
        <v>1</v>
      </c>
      <c r="AF259" s="99">
        <f t="shared" si="29"/>
        <v>1</v>
      </c>
      <c r="AG259" s="99">
        <f t="shared" si="29"/>
        <v>1</v>
      </c>
      <c r="AH259" s="99">
        <f t="shared" si="29"/>
        <v>1</v>
      </c>
      <c r="AI259" s="99">
        <f t="shared" si="29"/>
        <v>1</v>
      </c>
      <c r="AJ259" s="99">
        <f t="shared" si="29"/>
        <v>1</v>
      </c>
      <c r="AK259" s="99">
        <f t="shared" si="29"/>
        <v>1</v>
      </c>
      <c r="AL259" s="99">
        <f t="shared" si="29"/>
        <v>1</v>
      </c>
      <c r="AM259" s="99">
        <f t="shared" si="29"/>
        <v>1</v>
      </c>
      <c r="AN259" s="99">
        <f t="shared" si="29"/>
        <v>1</v>
      </c>
    </row>
    <row r="260" spans="1:40" hidden="1" x14ac:dyDescent="0.25">
      <c r="A260" s="99" t="s">
        <v>1010</v>
      </c>
      <c r="B260" s="99" t="s">
        <v>1377</v>
      </c>
      <c r="C260" s="99" t="s">
        <v>1338</v>
      </c>
      <c r="D260" s="99" t="s">
        <v>1370</v>
      </c>
      <c r="E260" s="99" t="s">
        <v>1369</v>
      </c>
      <c r="F260" s="99" t="s">
        <v>703</v>
      </c>
      <c r="G260" s="99" t="s">
        <v>1043</v>
      </c>
      <c r="H260" s="99" t="s">
        <v>703</v>
      </c>
      <c r="I260" s="545">
        <f>'PAMS and scenarios'!F$65</f>
        <v>0</v>
      </c>
      <c r="J260" s="545">
        <f>INDEX('PAMS and scenarios'!$I$53:$Q$62,MATCH($C260,'PAMS and scenarios'!$B$53:$B$62,0),MATCH(J$2,'PAMS and scenarios'!$I$52:$Q$52,0))</f>
        <v>0</v>
      </c>
      <c r="K260" s="545">
        <f>J260+($M260-$J260)/3</f>
        <v>0</v>
      </c>
      <c r="L260" s="545">
        <f>K260+($M260-$J260)/3</f>
        <v>0</v>
      </c>
      <c r="M260" s="545">
        <f>INDEX('PAMS and scenarios'!$I$53:$Q$62,MATCH($C260,'PAMS and scenarios'!$B$53:$B$62,0),MATCH(M$2,'PAMS and scenarios'!$I$52:$Q$52,0))</f>
        <v>0</v>
      </c>
      <c r="N260" s="545">
        <f>M260+($R260-$M260)/3</f>
        <v>0</v>
      </c>
      <c r="O260" s="545">
        <f>N260+($R260-$M260)/3</f>
        <v>0</v>
      </c>
      <c r="P260" s="545">
        <f>O260+($R260-$M260)/3</f>
        <v>0</v>
      </c>
      <c r="Q260" s="545">
        <f>P260+($R260-$M260)/3</f>
        <v>0</v>
      </c>
      <c r="R260" s="545">
        <f>INDEX('PAMS and scenarios'!$I$53:$Q$62,MATCH($C260,'PAMS and scenarios'!$B$53:$B$62,0),MATCH(R$2,'PAMS and scenarios'!$I$52:$Q$52,0))</f>
        <v>0</v>
      </c>
      <c r="S260" s="545">
        <f>R260+($W260-$R260)/4</f>
        <v>0</v>
      </c>
      <c r="T260" s="545">
        <f>S260+($W260-$R260)/4</f>
        <v>0</v>
      </c>
      <c r="U260" s="545">
        <f>T260+($W260-$R260)/4</f>
        <v>0</v>
      </c>
      <c r="V260" s="545">
        <f>U260+($W260-$R260)/4</f>
        <v>0</v>
      </c>
      <c r="W260" s="545">
        <f>INDEX('PAMS and scenarios'!$I$53:$Q$62,MATCH($C260,'PAMS and scenarios'!$B$53:$B$62,0),MATCH(W$2,'PAMS and scenarios'!$I$52:$Q$52,0))</f>
        <v>0</v>
      </c>
      <c r="X260" s="545">
        <f>W260+($AB260-$W260)/4</f>
        <v>0</v>
      </c>
      <c r="Y260" s="545">
        <f>X260+($AB260-$W260)/4</f>
        <v>0</v>
      </c>
      <c r="Z260" s="545">
        <f>Y260+($AB260-$W260)/4</f>
        <v>0</v>
      </c>
      <c r="AA260" s="545">
        <f>Z260+($AB260-$W260)/4</f>
        <v>0</v>
      </c>
      <c r="AB260" s="545">
        <f>INDEX('PAMS and scenarios'!$I$53:$Q$62,MATCH($C260,'PAMS and scenarios'!$B$53:$B$62,0),MATCH(AB$2,'PAMS and scenarios'!$I$52:$Q$52,0))</f>
        <v>0</v>
      </c>
      <c r="AC260" s="545">
        <f>AB260+($AG260-$AB260)/4</f>
        <v>0</v>
      </c>
      <c r="AD260" s="545">
        <f>AC260+($AG260-$AB260)/4</f>
        <v>0</v>
      </c>
      <c r="AE260" s="545">
        <f>AD260+($AG260-$AB260)/4</f>
        <v>0</v>
      </c>
      <c r="AF260" s="545">
        <f>AE260+($AG260-$AB260)/4</f>
        <v>0</v>
      </c>
      <c r="AG260" s="545">
        <f>INDEX('PAMS and scenarios'!$I$53:$Q$62,MATCH($C260,'PAMS and scenarios'!$B$53:$B$62,0),MATCH(AG$2,'PAMS and scenarios'!$I$52:$Q$52,0))</f>
        <v>0</v>
      </c>
      <c r="AH260" s="545">
        <f>AG260+($AM260-$AG260)/4</f>
        <v>0</v>
      </c>
      <c r="AI260" s="545">
        <f>AH260+($AM260-$AG260)/4</f>
        <v>0</v>
      </c>
      <c r="AJ260" s="545">
        <f>AI260+($AM260-$AG260)/4</f>
        <v>0</v>
      </c>
      <c r="AK260" s="545">
        <f>AJ260+($AM260-$AG260)/4</f>
        <v>0</v>
      </c>
      <c r="AL260" s="545">
        <f>INDEX('PAMS and scenarios'!$I$53:$Q$62,MATCH($C260,'PAMS and scenarios'!$B$53:$B$62,0),MATCH(AL$2,'PAMS and scenarios'!$I$52:$Q$52,0))</f>
        <v>0</v>
      </c>
      <c r="AM260" s="545">
        <f>INDEX('PAMS and scenarios'!$I$53:$Q$62,MATCH($C260,'PAMS and scenarios'!$B$53:$B$62,0),MATCH(AM$2,'PAMS and scenarios'!$I$52:$Q$52,0))</f>
        <v>0</v>
      </c>
      <c r="AN260" s="545">
        <f>INDEX('PAMS and scenarios'!$I$53:$Q$62,MATCH($C260,'PAMS and scenarios'!$B$53:$B$62,0),MATCH(AN$2,'PAMS and scenarios'!$I$52:$Q$52,0))</f>
        <v>0</v>
      </c>
    </row>
    <row r="261" spans="1:40" hidden="1" x14ac:dyDescent="0.25">
      <c r="A261" s="99" t="s">
        <v>1010</v>
      </c>
      <c r="B261" s="99" t="s">
        <v>1377</v>
      </c>
      <c r="C261" s="99" t="s">
        <v>1338</v>
      </c>
      <c r="D261" s="99" t="s">
        <v>1370</v>
      </c>
      <c r="E261" s="99" t="s">
        <v>1378</v>
      </c>
      <c r="F261" s="99" t="s">
        <v>703</v>
      </c>
      <c r="G261" s="99" t="s">
        <v>1043</v>
      </c>
      <c r="H261" s="99" t="s">
        <v>703</v>
      </c>
      <c r="I261" s="99">
        <v>0</v>
      </c>
      <c r="J261" s="99">
        <v>1</v>
      </c>
      <c r="K261" s="99">
        <f t="shared" ref="K261:AN261" si="30">J261</f>
        <v>1</v>
      </c>
      <c r="L261" s="99">
        <f t="shared" si="30"/>
        <v>1</v>
      </c>
      <c r="M261" s="99">
        <f t="shared" si="30"/>
        <v>1</v>
      </c>
      <c r="N261" s="99">
        <f t="shared" si="30"/>
        <v>1</v>
      </c>
      <c r="O261" s="99">
        <f t="shared" si="30"/>
        <v>1</v>
      </c>
      <c r="P261" s="99">
        <f t="shared" si="30"/>
        <v>1</v>
      </c>
      <c r="Q261" s="99">
        <f t="shared" si="30"/>
        <v>1</v>
      </c>
      <c r="R261" s="99">
        <f t="shared" si="30"/>
        <v>1</v>
      </c>
      <c r="S261" s="99">
        <f t="shared" si="30"/>
        <v>1</v>
      </c>
      <c r="T261" s="99">
        <f t="shared" si="30"/>
        <v>1</v>
      </c>
      <c r="U261" s="99">
        <f t="shared" si="30"/>
        <v>1</v>
      </c>
      <c r="V261" s="99">
        <f t="shared" si="30"/>
        <v>1</v>
      </c>
      <c r="W261" s="99">
        <f t="shared" si="30"/>
        <v>1</v>
      </c>
      <c r="X261" s="99">
        <f t="shared" si="30"/>
        <v>1</v>
      </c>
      <c r="Y261" s="99">
        <f t="shared" si="30"/>
        <v>1</v>
      </c>
      <c r="Z261" s="99">
        <f t="shared" si="30"/>
        <v>1</v>
      </c>
      <c r="AA261" s="99">
        <f t="shared" si="30"/>
        <v>1</v>
      </c>
      <c r="AB261" s="99">
        <f t="shared" si="30"/>
        <v>1</v>
      </c>
      <c r="AC261" s="99">
        <f t="shared" si="30"/>
        <v>1</v>
      </c>
      <c r="AD261" s="99">
        <f t="shared" si="30"/>
        <v>1</v>
      </c>
      <c r="AE261" s="99">
        <f t="shared" si="30"/>
        <v>1</v>
      </c>
      <c r="AF261" s="99">
        <f t="shared" si="30"/>
        <v>1</v>
      </c>
      <c r="AG261" s="99">
        <f t="shared" si="30"/>
        <v>1</v>
      </c>
      <c r="AH261" s="99">
        <f t="shared" si="30"/>
        <v>1</v>
      </c>
      <c r="AI261" s="99">
        <f t="shared" si="30"/>
        <v>1</v>
      </c>
      <c r="AJ261" s="99">
        <f t="shared" si="30"/>
        <v>1</v>
      </c>
      <c r="AK261" s="99">
        <f t="shared" si="30"/>
        <v>1</v>
      </c>
      <c r="AL261" s="99">
        <f t="shared" si="30"/>
        <v>1</v>
      </c>
      <c r="AM261" s="99">
        <f t="shared" si="30"/>
        <v>1</v>
      </c>
      <c r="AN261" s="99">
        <f t="shared" si="30"/>
        <v>1</v>
      </c>
    </row>
    <row r="262" spans="1:40" hidden="1" x14ac:dyDescent="0.25">
      <c r="A262" s="99" t="s">
        <v>1010</v>
      </c>
      <c r="B262" s="99" t="s">
        <v>1377</v>
      </c>
      <c r="C262" s="99" t="s">
        <v>1335</v>
      </c>
      <c r="D262" s="99" t="s">
        <v>1370</v>
      </c>
      <c r="E262" s="99" t="s">
        <v>1369</v>
      </c>
      <c r="F262" s="99" t="s">
        <v>703</v>
      </c>
      <c r="G262" s="99" t="s">
        <v>1043</v>
      </c>
      <c r="H262" s="99" t="s">
        <v>703</v>
      </c>
      <c r="I262" s="545">
        <f>'PAMS and scenarios'!F$65</f>
        <v>0</v>
      </c>
      <c r="J262" s="545">
        <f>INDEX('PAMS and scenarios'!$I$53:$Q$62,MATCH($C262,'PAMS and scenarios'!$B$53:$B$62,0),MATCH(J$2,'PAMS and scenarios'!$I$52:$Q$52,0))</f>
        <v>0</v>
      </c>
      <c r="K262" s="545">
        <f>J262+($M262-$J262)/3</f>
        <v>0</v>
      </c>
      <c r="L262" s="545">
        <f>K262+($M262-$J262)/3</f>
        <v>0</v>
      </c>
      <c r="M262" s="545">
        <f>INDEX('PAMS and scenarios'!$I$53:$Q$62,MATCH($C262,'PAMS and scenarios'!$B$53:$B$62,0),MATCH(M$2,'PAMS and scenarios'!$I$52:$Q$52,0))</f>
        <v>0</v>
      </c>
      <c r="N262" s="545">
        <f>M262+($R262-$M262)/3</f>
        <v>0</v>
      </c>
      <c r="O262" s="545">
        <f>N262+($R262-$M262)/3</f>
        <v>0</v>
      </c>
      <c r="P262" s="545">
        <f>O262+($R262-$M262)/3</f>
        <v>0</v>
      </c>
      <c r="Q262" s="545">
        <f>P262+($R262-$M262)/3</f>
        <v>0</v>
      </c>
      <c r="R262" s="545">
        <f>INDEX('PAMS and scenarios'!$I$53:$Q$62,MATCH($C262,'PAMS and scenarios'!$B$53:$B$62,0),MATCH(R$2,'PAMS and scenarios'!$I$52:$Q$52,0))</f>
        <v>0</v>
      </c>
      <c r="S262" s="545">
        <f>R262+($W262-$R262)/4</f>
        <v>0</v>
      </c>
      <c r="T262" s="545">
        <f>S262+($W262-$R262)/4</f>
        <v>0</v>
      </c>
      <c r="U262" s="545">
        <f>T262+($W262-$R262)/4</f>
        <v>0</v>
      </c>
      <c r="V262" s="545">
        <f>U262+($W262-$R262)/4</f>
        <v>0</v>
      </c>
      <c r="W262" s="545">
        <f>INDEX('PAMS and scenarios'!$I$53:$Q$62,MATCH($C262,'PAMS and scenarios'!$B$53:$B$62,0),MATCH(W$2,'PAMS and scenarios'!$I$52:$Q$52,0))</f>
        <v>0</v>
      </c>
      <c r="X262" s="545">
        <f>W262+($AB262-$W262)/4</f>
        <v>0</v>
      </c>
      <c r="Y262" s="545">
        <f>X262+($AB262-$W262)/4</f>
        <v>0</v>
      </c>
      <c r="Z262" s="545">
        <f>Y262+($AB262-$W262)/4</f>
        <v>0</v>
      </c>
      <c r="AA262" s="545">
        <f>Z262+($AB262-$W262)/4</f>
        <v>0</v>
      </c>
      <c r="AB262" s="545">
        <f>INDEX('PAMS and scenarios'!$I$53:$Q$62,MATCH($C262,'PAMS and scenarios'!$B$53:$B$62,0),MATCH(AB$2,'PAMS and scenarios'!$I$52:$Q$52,0))</f>
        <v>0</v>
      </c>
      <c r="AC262" s="545">
        <f>AB262+($AG262-$AB262)/4</f>
        <v>0</v>
      </c>
      <c r="AD262" s="545">
        <f>AC262+($AG262-$AB262)/4</f>
        <v>0</v>
      </c>
      <c r="AE262" s="545">
        <f>AD262+($AG262-$AB262)/4</f>
        <v>0</v>
      </c>
      <c r="AF262" s="545">
        <f>AE262+($AG262-$AB262)/4</f>
        <v>0</v>
      </c>
      <c r="AG262" s="545">
        <f>INDEX('PAMS and scenarios'!$I$53:$Q$62,MATCH($C262,'PAMS and scenarios'!$B$53:$B$62,0),MATCH(AG$2,'PAMS and scenarios'!$I$52:$Q$52,0))</f>
        <v>0</v>
      </c>
      <c r="AH262" s="545">
        <f>AG262+($AM262-$AG262)/4</f>
        <v>0</v>
      </c>
      <c r="AI262" s="545">
        <f>AH262+($AM262-$AG262)/4</f>
        <v>0</v>
      </c>
      <c r="AJ262" s="545">
        <f>AI262+($AM262-$AG262)/4</f>
        <v>0</v>
      </c>
      <c r="AK262" s="545">
        <f>AJ262+($AM262-$AG262)/4</f>
        <v>0</v>
      </c>
      <c r="AL262" s="545">
        <f>INDEX('PAMS and scenarios'!$I$53:$Q$62,MATCH($C262,'PAMS and scenarios'!$B$53:$B$62,0),MATCH(AL$2,'PAMS and scenarios'!$I$52:$Q$52,0))</f>
        <v>0</v>
      </c>
      <c r="AM262" s="545">
        <f>INDEX('PAMS and scenarios'!$I$53:$Q$62,MATCH($C262,'PAMS and scenarios'!$B$53:$B$62,0),MATCH(AM$2,'PAMS and scenarios'!$I$52:$Q$52,0))</f>
        <v>0</v>
      </c>
      <c r="AN262" s="545">
        <f>INDEX('PAMS and scenarios'!$I$53:$Q$62,MATCH($C262,'PAMS and scenarios'!$B$53:$B$62,0),MATCH(AN$2,'PAMS and scenarios'!$I$52:$Q$52,0))</f>
        <v>0</v>
      </c>
    </row>
    <row r="263" spans="1:40" hidden="1" x14ac:dyDescent="0.25">
      <c r="A263" s="99" t="s">
        <v>1010</v>
      </c>
      <c r="B263" s="99" t="s">
        <v>1377</v>
      </c>
      <c r="C263" s="99" t="s">
        <v>1335</v>
      </c>
      <c r="D263" s="99" t="s">
        <v>1370</v>
      </c>
      <c r="E263" s="99" t="s">
        <v>1376</v>
      </c>
      <c r="F263" s="99" t="s">
        <v>703</v>
      </c>
      <c r="G263" s="99" t="s">
        <v>1043</v>
      </c>
      <c r="H263" s="99" t="s">
        <v>703</v>
      </c>
      <c r="I263" s="99">
        <v>0</v>
      </c>
      <c r="J263" s="99">
        <v>1</v>
      </c>
      <c r="K263" s="99">
        <f t="shared" ref="K263:AN263" si="31">J263</f>
        <v>1</v>
      </c>
      <c r="L263" s="99">
        <f t="shared" si="31"/>
        <v>1</v>
      </c>
      <c r="M263" s="99">
        <f t="shared" si="31"/>
        <v>1</v>
      </c>
      <c r="N263" s="99">
        <f t="shared" si="31"/>
        <v>1</v>
      </c>
      <c r="O263" s="99">
        <f t="shared" si="31"/>
        <v>1</v>
      </c>
      <c r="P263" s="99">
        <f t="shared" si="31"/>
        <v>1</v>
      </c>
      <c r="Q263" s="99">
        <f t="shared" si="31"/>
        <v>1</v>
      </c>
      <c r="R263" s="99">
        <f t="shared" si="31"/>
        <v>1</v>
      </c>
      <c r="S263" s="99">
        <f t="shared" si="31"/>
        <v>1</v>
      </c>
      <c r="T263" s="99">
        <f t="shared" si="31"/>
        <v>1</v>
      </c>
      <c r="U263" s="99">
        <f t="shared" si="31"/>
        <v>1</v>
      </c>
      <c r="V263" s="99">
        <f t="shared" si="31"/>
        <v>1</v>
      </c>
      <c r="W263" s="99">
        <f t="shared" si="31"/>
        <v>1</v>
      </c>
      <c r="X263" s="99">
        <f t="shared" si="31"/>
        <v>1</v>
      </c>
      <c r="Y263" s="99">
        <f t="shared" si="31"/>
        <v>1</v>
      </c>
      <c r="Z263" s="99">
        <f t="shared" si="31"/>
        <v>1</v>
      </c>
      <c r="AA263" s="99">
        <f t="shared" si="31"/>
        <v>1</v>
      </c>
      <c r="AB263" s="99">
        <f t="shared" si="31"/>
        <v>1</v>
      </c>
      <c r="AC263" s="99">
        <f t="shared" si="31"/>
        <v>1</v>
      </c>
      <c r="AD263" s="99">
        <f t="shared" si="31"/>
        <v>1</v>
      </c>
      <c r="AE263" s="99">
        <f t="shared" si="31"/>
        <v>1</v>
      </c>
      <c r="AF263" s="99">
        <f t="shared" si="31"/>
        <v>1</v>
      </c>
      <c r="AG263" s="99">
        <f t="shared" si="31"/>
        <v>1</v>
      </c>
      <c r="AH263" s="99">
        <f t="shared" si="31"/>
        <v>1</v>
      </c>
      <c r="AI263" s="99">
        <f t="shared" si="31"/>
        <v>1</v>
      </c>
      <c r="AJ263" s="99">
        <f t="shared" si="31"/>
        <v>1</v>
      </c>
      <c r="AK263" s="99">
        <f t="shared" si="31"/>
        <v>1</v>
      </c>
      <c r="AL263" s="99">
        <f t="shared" si="31"/>
        <v>1</v>
      </c>
      <c r="AM263" s="99">
        <f t="shared" si="31"/>
        <v>1</v>
      </c>
      <c r="AN263" s="99">
        <f t="shared" si="31"/>
        <v>1</v>
      </c>
    </row>
    <row r="264" spans="1:40" hidden="1" x14ac:dyDescent="0.25">
      <c r="A264" s="99" t="s">
        <v>1010</v>
      </c>
      <c r="B264" s="99" t="s">
        <v>1371</v>
      </c>
      <c r="C264" s="99" t="s">
        <v>1368</v>
      </c>
      <c r="D264" s="99" t="s">
        <v>1370</v>
      </c>
      <c r="E264" s="99" t="s">
        <v>1375</v>
      </c>
      <c r="F264" s="99" t="s">
        <v>703</v>
      </c>
      <c r="G264" s="99" t="s">
        <v>703</v>
      </c>
      <c r="H264" s="99" t="s">
        <v>703</v>
      </c>
      <c r="I264" s="99">
        <v>0</v>
      </c>
      <c r="J264" s="99">
        <v>1</v>
      </c>
      <c r="K264" s="99">
        <f t="shared" ref="K264:AN264" si="32">J264</f>
        <v>1</v>
      </c>
      <c r="L264" s="99">
        <f t="shared" si="32"/>
        <v>1</v>
      </c>
      <c r="M264" s="99">
        <f t="shared" si="32"/>
        <v>1</v>
      </c>
      <c r="N264" s="99">
        <f t="shared" si="32"/>
        <v>1</v>
      </c>
      <c r="O264" s="99">
        <f t="shared" si="32"/>
        <v>1</v>
      </c>
      <c r="P264" s="99">
        <f t="shared" si="32"/>
        <v>1</v>
      </c>
      <c r="Q264" s="99">
        <f t="shared" si="32"/>
        <v>1</v>
      </c>
      <c r="R264" s="99">
        <f t="shared" si="32"/>
        <v>1</v>
      </c>
      <c r="S264" s="99">
        <f t="shared" si="32"/>
        <v>1</v>
      </c>
      <c r="T264" s="99">
        <f t="shared" si="32"/>
        <v>1</v>
      </c>
      <c r="U264" s="99">
        <f t="shared" si="32"/>
        <v>1</v>
      </c>
      <c r="V264" s="99">
        <f t="shared" si="32"/>
        <v>1</v>
      </c>
      <c r="W264" s="99">
        <f t="shared" si="32"/>
        <v>1</v>
      </c>
      <c r="X264" s="99">
        <f t="shared" si="32"/>
        <v>1</v>
      </c>
      <c r="Y264" s="99">
        <f t="shared" si="32"/>
        <v>1</v>
      </c>
      <c r="Z264" s="99">
        <f t="shared" si="32"/>
        <v>1</v>
      </c>
      <c r="AA264" s="99">
        <f t="shared" si="32"/>
        <v>1</v>
      </c>
      <c r="AB264" s="99">
        <f t="shared" si="32"/>
        <v>1</v>
      </c>
      <c r="AC264" s="99">
        <f t="shared" si="32"/>
        <v>1</v>
      </c>
      <c r="AD264" s="99">
        <f t="shared" si="32"/>
        <v>1</v>
      </c>
      <c r="AE264" s="99">
        <f t="shared" si="32"/>
        <v>1</v>
      </c>
      <c r="AF264" s="99">
        <f t="shared" si="32"/>
        <v>1</v>
      </c>
      <c r="AG264" s="99">
        <f t="shared" si="32"/>
        <v>1</v>
      </c>
      <c r="AH264" s="99">
        <f t="shared" si="32"/>
        <v>1</v>
      </c>
      <c r="AI264" s="99">
        <f t="shared" si="32"/>
        <v>1</v>
      </c>
      <c r="AJ264" s="99">
        <f t="shared" si="32"/>
        <v>1</v>
      </c>
      <c r="AK264" s="99">
        <f t="shared" si="32"/>
        <v>1</v>
      </c>
      <c r="AL264" s="99">
        <f t="shared" si="32"/>
        <v>1</v>
      </c>
      <c r="AM264" s="99">
        <f t="shared" si="32"/>
        <v>1</v>
      </c>
      <c r="AN264" s="99">
        <f t="shared" si="32"/>
        <v>1</v>
      </c>
    </row>
    <row r="265" spans="1:40" hidden="1" x14ac:dyDescent="0.25">
      <c r="A265" s="99" t="s">
        <v>1010</v>
      </c>
      <c r="B265" s="99" t="s">
        <v>1371</v>
      </c>
      <c r="C265" s="99" t="s">
        <v>1362</v>
      </c>
      <c r="D265" s="99" t="s">
        <v>1370</v>
      </c>
      <c r="E265" s="99" t="s">
        <v>1374</v>
      </c>
      <c r="F265" s="99" t="s">
        <v>703</v>
      </c>
      <c r="G265" s="99" t="s">
        <v>703</v>
      </c>
      <c r="H265" s="99" t="s">
        <v>703</v>
      </c>
      <c r="I265" s="99">
        <v>0</v>
      </c>
      <c r="J265" s="99">
        <v>1</v>
      </c>
      <c r="K265" s="99">
        <f t="shared" ref="K265:AN265" si="33">J265</f>
        <v>1</v>
      </c>
      <c r="L265" s="99">
        <f t="shared" si="33"/>
        <v>1</v>
      </c>
      <c r="M265" s="99">
        <f t="shared" si="33"/>
        <v>1</v>
      </c>
      <c r="N265" s="99">
        <f t="shared" si="33"/>
        <v>1</v>
      </c>
      <c r="O265" s="99">
        <f t="shared" si="33"/>
        <v>1</v>
      </c>
      <c r="P265" s="99">
        <f t="shared" si="33"/>
        <v>1</v>
      </c>
      <c r="Q265" s="99">
        <f t="shared" si="33"/>
        <v>1</v>
      </c>
      <c r="R265" s="99">
        <f t="shared" si="33"/>
        <v>1</v>
      </c>
      <c r="S265" s="99">
        <f t="shared" si="33"/>
        <v>1</v>
      </c>
      <c r="T265" s="99">
        <f t="shared" si="33"/>
        <v>1</v>
      </c>
      <c r="U265" s="99">
        <f t="shared" si="33"/>
        <v>1</v>
      </c>
      <c r="V265" s="99">
        <f t="shared" si="33"/>
        <v>1</v>
      </c>
      <c r="W265" s="99">
        <f t="shared" si="33"/>
        <v>1</v>
      </c>
      <c r="X265" s="99">
        <f t="shared" si="33"/>
        <v>1</v>
      </c>
      <c r="Y265" s="99">
        <f t="shared" si="33"/>
        <v>1</v>
      </c>
      <c r="Z265" s="99">
        <f t="shared" si="33"/>
        <v>1</v>
      </c>
      <c r="AA265" s="99">
        <f t="shared" si="33"/>
        <v>1</v>
      </c>
      <c r="AB265" s="99">
        <f t="shared" si="33"/>
        <v>1</v>
      </c>
      <c r="AC265" s="99">
        <f t="shared" si="33"/>
        <v>1</v>
      </c>
      <c r="AD265" s="99">
        <f t="shared" si="33"/>
        <v>1</v>
      </c>
      <c r="AE265" s="99">
        <f t="shared" si="33"/>
        <v>1</v>
      </c>
      <c r="AF265" s="99">
        <f t="shared" si="33"/>
        <v>1</v>
      </c>
      <c r="AG265" s="99">
        <f t="shared" si="33"/>
        <v>1</v>
      </c>
      <c r="AH265" s="99">
        <f t="shared" si="33"/>
        <v>1</v>
      </c>
      <c r="AI265" s="99">
        <f t="shared" si="33"/>
        <v>1</v>
      </c>
      <c r="AJ265" s="99">
        <f t="shared" si="33"/>
        <v>1</v>
      </c>
      <c r="AK265" s="99">
        <f t="shared" si="33"/>
        <v>1</v>
      </c>
      <c r="AL265" s="99">
        <f t="shared" si="33"/>
        <v>1</v>
      </c>
      <c r="AM265" s="99">
        <f t="shared" si="33"/>
        <v>1</v>
      </c>
      <c r="AN265" s="99">
        <f t="shared" si="33"/>
        <v>1</v>
      </c>
    </row>
    <row r="266" spans="1:40" hidden="1" x14ac:dyDescent="0.25">
      <c r="A266" s="99" t="s">
        <v>1010</v>
      </c>
      <c r="B266" s="99" t="s">
        <v>1371</v>
      </c>
      <c r="C266" s="99" t="s">
        <v>1356</v>
      </c>
      <c r="D266" s="99" t="s">
        <v>1370</v>
      </c>
      <c r="E266" s="99" t="s">
        <v>1373</v>
      </c>
      <c r="F266" s="99" t="s">
        <v>703</v>
      </c>
      <c r="G266" s="99" t="s">
        <v>703</v>
      </c>
      <c r="H266" s="99" t="s">
        <v>703</v>
      </c>
      <c r="I266" s="99">
        <v>0</v>
      </c>
      <c r="J266" s="99">
        <v>1</v>
      </c>
      <c r="K266" s="99">
        <f t="shared" ref="K266:AN266" si="34">J266</f>
        <v>1</v>
      </c>
      <c r="L266" s="99">
        <f t="shared" si="34"/>
        <v>1</v>
      </c>
      <c r="M266" s="99">
        <f t="shared" si="34"/>
        <v>1</v>
      </c>
      <c r="N266" s="99">
        <f t="shared" si="34"/>
        <v>1</v>
      </c>
      <c r="O266" s="99">
        <f t="shared" si="34"/>
        <v>1</v>
      </c>
      <c r="P266" s="99">
        <f t="shared" si="34"/>
        <v>1</v>
      </c>
      <c r="Q266" s="99">
        <f t="shared" si="34"/>
        <v>1</v>
      </c>
      <c r="R266" s="99">
        <f t="shared" si="34"/>
        <v>1</v>
      </c>
      <c r="S266" s="99">
        <f t="shared" si="34"/>
        <v>1</v>
      </c>
      <c r="T266" s="99">
        <f t="shared" si="34"/>
        <v>1</v>
      </c>
      <c r="U266" s="99">
        <f t="shared" si="34"/>
        <v>1</v>
      </c>
      <c r="V266" s="99">
        <f t="shared" si="34"/>
        <v>1</v>
      </c>
      <c r="W266" s="99">
        <f t="shared" si="34"/>
        <v>1</v>
      </c>
      <c r="X266" s="99">
        <f t="shared" si="34"/>
        <v>1</v>
      </c>
      <c r="Y266" s="99">
        <f t="shared" si="34"/>
        <v>1</v>
      </c>
      <c r="Z266" s="99">
        <f t="shared" si="34"/>
        <v>1</v>
      </c>
      <c r="AA266" s="99">
        <f t="shared" si="34"/>
        <v>1</v>
      </c>
      <c r="AB266" s="99">
        <f t="shared" si="34"/>
        <v>1</v>
      </c>
      <c r="AC266" s="99">
        <f t="shared" si="34"/>
        <v>1</v>
      </c>
      <c r="AD266" s="99">
        <f t="shared" si="34"/>
        <v>1</v>
      </c>
      <c r="AE266" s="99">
        <f t="shared" si="34"/>
        <v>1</v>
      </c>
      <c r="AF266" s="99">
        <f t="shared" si="34"/>
        <v>1</v>
      </c>
      <c r="AG266" s="99">
        <f t="shared" si="34"/>
        <v>1</v>
      </c>
      <c r="AH266" s="99">
        <f t="shared" si="34"/>
        <v>1</v>
      </c>
      <c r="AI266" s="99">
        <f t="shared" si="34"/>
        <v>1</v>
      </c>
      <c r="AJ266" s="99">
        <f t="shared" si="34"/>
        <v>1</v>
      </c>
      <c r="AK266" s="99">
        <f t="shared" si="34"/>
        <v>1</v>
      </c>
      <c r="AL266" s="99">
        <f t="shared" si="34"/>
        <v>1</v>
      </c>
      <c r="AM266" s="99">
        <f t="shared" si="34"/>
        <v>1</v>
      </c>
      <c r="AN266" s="99">
        <f t="shared" si="34"/>
        <v>1</v>
      </c>
    </row>
    <row r="267" spans="1:40" hidden="1" x14ac:dyDescent="0.25">
      <c r="A267" s="99" t="s">
        <v>1010</v>
      </c>
      <c r="B267" s="99" t="s">
        <v>1371</v>
      </c>
      <c r="C267" s="99" t="s">
        <v>1350</v>
      </c>
      <c r="D267" s="99" t="s">
        <v>1370</v>
      </c>
      <c r="E267" s="99" t="s">
        <v>1372</v>
      </c>
      <c r="F267" s="99" t="s">
        <v>703</v>
      </c>
      <c r="G267" s="99" t="s">
        <v>703</v>
      </c>
      <c r="H267" s="99" t="s">
        <v>703</v>
      </c>
      <c r="I267" s="99">
        <v>0</v>
      </c>
      <c r="J267" s="99">
        <v>1</v>
      </c>
      <c r="K267" s="99">
        <f t="shared" ref="K267:AN267" si="35">J267</f>
        <v>1</v>
      </c>
      <c r="L267" s="99">
        <f t="shared" si="35"/>
        <v>1</v>
      </c>
      <c r="M267" s="99">
        <f t="shared" si="35"/>
        <v>1</v>
      </c>
      <c r="N267" s="99">
        <f t="shared" si="35"/>
        <v>1</v>
      </c>
      <c r="O267" s="99">
        <f t="shared" si="35"/>
        <v>1</v>
      </c>
      <c r="P267" s="99">
        <f t="shared" si="35"/>
        <v>1</v>
      </c>
      <c r="Q267" s="99">
        <f t="shared" si="35"/>
        <v>1</v>
      </c>
      <c r="R267" s="99">
        <f t="shared" si="35"/>
        <v>1</v>
      </c>
      <c r="S267" s="99">
        <f t="shared" si="35"/>
        <v>1</v>
      </c>
      <c r="T267" s="99">
        <f t="shared" si="35"/>
        <v>1</v>
      </c>
      <c r="U267" s="99">
        <f t="shared" si="35"/>
        <v>1</v>
      </c>
      <c r="V267" s="99">
        <f t="shared" si="35"/>
        <v>1</v>
      </c>
      <c r="W267" s="99">
        <f t="shared" si="35"/>
        <v>1</v>
      </c>
      <c r="X267" s="99">
        <f t="shared" si="35"/>
        <v>1</v>
      </c>
      <c r="Y267" s="99">
        <f t="shared" si="35"/>
        <v>1</v>
      </c>
      <c r="Z267" s="99">
        <f t="shared" si="35"/>
        <v>1</v>
      </c>
      <c r="AA267" s="99">
        <f t="shared" si="35"/>
        <v>1</v>
      </c>
      <c r="AB267" s="99">
        <f t="shared" si="35"/>
        <v>1</v>
      </c>
      <c r="AC267" s="99">
        <f t="shared" si="35"/>
        <v>1</v>
      </c>
      <c r="AD267" s="99">
        <f t="shared" si="35"/>
        <v>1</v>
      </c>
      <c r="AE267" s="99">
        <f t="shared" si="35"/>
        <v>1</v>
      </c>
      <c r="AF267" s="99">
        <f t="shared" si="35"/>
        <v>1</v>
      </c>
      <c r="AG267" s="99">
        <f t="shared" si="35"/>
        <v>1</v>
      </c>
      <c r="AH267" s="99">
        <f t="shared" si="35"/>
        <v>1</v>
      </c>
      <c r="AI267" s="99">
        <f t="shared" si="35"/>
        <v>1</v>
      </c>
      <c r="AJ267" s="99">
        <f t="shared" si="35"/>
        <v>1</v>
      </c>
      <c r="AK267" s="99">
        <f t="shared" si="35"/>
        <v>1</v>
      </c>
      <c r="AL267" s="99">
        <f t="shared" si="35"/>
        <v>1</v>
      </c>
      <c r="AM267" s="99">
        <f t="shared" si="35"/>
        <v>1</v>
      </c>
      <c r="AN267" s="99">
        <f t="shared" si="35"/>
        <v>1</v>
      </c>
    </row>
    <row r="268" spans="1:40" hidden="1" x14ac:dyDescent="0.25">
      <c r="A268" s="99" t="s">
        <v>1010</v>
      </c>
      <c r="B268" s="99" t="s">
        <v>1371</v>
      </c>
      <c r="C268" s="99" t="s">
        <v>1344</v>
      </c>
      <c r="D268" s="99" t="s">
        <v>1370</v>
      </c>
      <c r="E268" s="99" t="s">
        <v>1369</v>
      </c>
      <c r="F268" s="99" t="s">
        <v>703</v>
      </c>
      <c r="G268" s="99" t="s">
        <v>703</v>
      </c>
      <c r="H268" s="99" t="s">
        <v>703</v>
      </c>
      <c r="I268" s="99">
        <v>0</v>
      </c>
      <c r="J268" s="99">
        <v>1</v>
      </c>
      <c r="K268" s="99">
        <f t="shared" ref="K268:AN268" si="36">J268</f>
        <v>1</v>
      </c>
      <c r="L268" s="99">
        <f t="shared" si="36"/>
        <v>1</v>
      </c>
      <c r="M268" s="99">
        <f t="shared" si="36"/>
        <v>1</v>
      </c>
      <c r="N268" s="99">
        <f t="shared" si="36"/>
        <v>1</v>
      </c>
      <c r="O268" s="99">
        <f t="shared" si="36"/>
        <v>1</v>
      </c>
      <c r="P268" s="99">
        <f t="shared" si="36"/>
        <v>1</v>
      </c>
      <c r="Q268" s="99">
        <f t="shared" si="36"/>
        <v>1</v>
      </c>
      <c r="R268" s="99">
        <f t="shared" si="36"/>
        <v>1</v>
      </c>
      <c r="S268" s="99">
        <f t="shared" si="36"/>
        <v>1</v>
      </c>
      <c r="T268" s="99">
        <f t="shared" si="36"/>
        <v>1</v>
      </c>
      <c r="U268" s="99">
        <f t="shared" si="36"/>
        <v>1</v>
      </c>
      <c r="V268" s="99">
        <f t="shared" si="36"/>
        <v>1</v>
      </c>
      <c r="W268" s="99">
        <f t="shared" si="36"/>
        <v>1</v>
      </c>
      <c r="X268" s="99">
        <f t="shared" si="36"/>
        <v>1</v>
      </c>
      <c r="Y268" s="99">
        <f t="shared" si="36"/>
        <v>1</v>
      </c>
      <c r="Z268" s="99">
        <f t="shared" si="36"/>
        <v>1</v>
      </c>
      <c r="AA268" s="99">
        <f t="shared" si="36"/>
        <v>1</v>
      </c>
      <c r="AB268" s="99">
        <f t="shared" si="36"/>
        <v>1</v>
      </c>
      <c r="AC268" s="99">
        <f t="shared" si="36"/>
        <v>1</v>
      </c>
      <c r="AD268" s="99">
        <f t="shared" si="36"/>
        <v>1</v>
      </c>
      <c r="AE268" s="99">
        <f t="shared" si="36"/>
        <v>1</v>
      </c>
      <c r="AF268" s="99">
        <f t="shared" si="36"/>
        <v>1</v>
      </c>
      <c r="AG268" s="99">
        <f t="shared" si="36"/>
        <v>1</v>
      </c>
      <c r="AH268" s="99">
        <f t="shared" si="36"/>
        <v>1</v>
      </c>
      <c r="AI268" s="99">
        <f t="shared" si="36"/>
        <v>1</v>
      </c>
      <c r="AJ268" s="99">
        <f t="shared" si="36"/>
        <v>1</v>
      </c>
      <c r="AK268" s="99">
        <f t="shared" si="36"/>
        <v>1</v>
      </c>
      <c r="AL268" s="99">
        <f t="shared" si="36"/>
        <v>1</v>
      </c>
      <c r="AM268" s="99">
        <f t="shared" si="36"/>
        <v>1</v>
      </c>
      <c r="AN268" s="99">
        <f t="shared" si="36"/>
        <v>1</v>
      </c>
    </row>
    <row r="269" spans="1:40" hidden="1" x14ac:dyDescent="0.25">
      <c r="A269" s="99" t="s">
        <v>1010</v>
      </c>
      <c r="B269" s="99" t="s">
        <v>953</v>
      </c>
      <c r="C269" s="99" t="s">
        <v>169</v>
      </c>
      <c r="D269" s="99" t="s">
        <v>703</v>
      </c>
      <c r="E269" s="99" t="s">
        <v>703</v>
      </c>
      <c r="F269" s="99" t="s">
        <v>703</v>
      </c>
      <c r="G269" s="99" t="s">
        <v>1043</v>
      </c>
      <c r="H269" s="99" t="s">
        <v>589</v>
      </c>
      <c r="I269" s="99">
        <v>5</v>
      </c>
      <c r="J269" s="99">
        <v>0</v>
      </c>
      <c r="M269" s="99">
        <v>0</v>
      </c>
      <c r="AB269" s="99">
        <v>0.8</v>
      </c>
    </row>
    <row r="270" spans="1:40" hidden="1" x14ac:dyDescent="0.25">
      <c r="A270" s="541" t="s">
        <v>1010</v>
      </c>
      <c r="B270" s="99" t="s">
        <v>953</v>
      </c>
      <c r="C270" s="99" t="s">
        <v>1245</v>
      </c>
      <c r="D270" s="99" t="s">
        <v>703</v>
      </c>
      <c r="E270" s="99" t="s">
        <v>703</v>
      </c>
      <c r="F270" s="99" t="s">
        <v>703</v>
      </c>
      <c r="G270" s="99" t="s">
        <v>1043</v>
      </c>
      <c r="H270" s="99" t="s">
        <v>589</v>
      </c>
      <c r="I270" s="99">
        <v>5</v>
      </c>
      <c r="J270" s="99">
        <v>0.4</v>
      </c>
    </row>
    <row r="271" spans="1:40" hidden="1" x14ac:dyDescent="0.25">
      <c r="A271" s="541" t="s">
        <v>1010</v>
      </c>
      <c r="B271" s="99" t="s">
        <v>953</v>
      </c>
      <c r="C271" s="99" t="s">
        <v>1243</v>
      </c>
      <c r="D271" s="99" t="s">
        <v>703</v>
      </c>
      <c r="E271" s="99" t="s">
        <v>703</v>
      </c>
      <c r="F271" s="99" t="s">
        <v>703</v>
      </c>
      <c r="G271" s="99" t="s">
        <v>1043</v>
      </c>
      <c r="H271" s="99" t="s">
        <v>589</v>
      </c>
      <c r="I271" s="99">
        <v>5</v>
      </c>
      <c r="J271" s="99">
        <v>0.4</v>
      </c>
    </row>
    <row r="272" spans="1:40" hidden="1" x14ac:dyDescent="0.25">
      <c r="A272" s="99" t="s">
        <v>1010</v>
      </c>
      <c r="B272" s="99" t="s">
        <v>953</v>
      </c>
      <c r="C272" s="99" t="s">
        <v>538</v>
      </c>
      <c r="D272" s="99" t="s">
        <v>703</v>
      </c>
      <c r="E272" s="99" t="s">
        <v>703</v>
      </c>
      <c r="F272" s="99" t="s">
        <v>703</v>
      </c>
      <c r="G272" s="99" t="s">
        <v>1043</v>
      </c>
      <c r="H272" s="99" t="s">
        <v>589</v>
      </c>
      <c r="I272" s="99">
        <v>5</v>
      </c>
      <c r="J272" s="99">
        <v>0</v>
      </c>
      <c r="M272" s="99">
        <v>0</v>
      </c>
      <c r="AB272" s="99">
        <v>0.8</v>
      </c>
    </row>
    <row r="273" spans="1:28" hidden="1" x14ac:dyDescent="0.25">
      <c r="A273" s="99" t="s">
        <v>1010</v>
      </c>
      <c r="B273" s="99" t="s">
        <v>953</v>
      </c>
      <c r="C273" s="99" t="s">
        <v>171</v>
      </c>
      <c r="D273" s="99" t="s">
        <v>703</v>
      </c>
      <c r="E273" s="99" t="s">
        <v>703</v>
      </c>
      <c r="F273" s="99" t="s">
        <v>703</v>
      </c>
      <c r="G273" s="99" t="s">
        <v>1043</v>
      </c>
      <c r="H273" s="99" t="s">
        <v>589</v>
      </c>
      <c r="I273" s="99">
        <v>5</v>
      </c>
      <c r="J273" s="99">
        <v>0</v>
      </c>
      <c r="M273" s="99">
        <v>0</v>
      </c>
      <c r="AB273" s="99">
        <v>0.8</v>
      </c>
    </row>
    <row r="274" spans="1:28" hidden="1" x14ac:dyDescent="0.25">
      <c r="A274" s="541" t="s">
        <v>1010</v>
      </c>
      <c r="B274" s="99" t="s">
        <v>953</v>
      </c>
      <c r="C274" s="99" t="s">
        <v>1239</v>
      </c>
      <c r="D274" s="99" t="s">
        <v>703</v>
      </c>
      <c r="E274" s="99" t="s">
        <v>703</v>
      </c>
      <c r="F274" s="99" t="s">
        <v>703</v>
      </c>
      <c r="G274" s="99" t="s">
        <v>1043</v>
      </c>
      <c r="H274" s="99" t="s">
        <v>589</v>
      </c>
      <c r="I274" s="99">
        <v>5</v>
      </c>
      <c r="J274" s="99">
        <v>0.4</v>
      </c>
    </row>
    <row r="275" spans="1:28" hidden="1" x14ac:dyDescent="0.25">
      <c r="A275" s="541" t="s">
        <v>1010</v>
      </c>
      <c r="B275" s="99" t="s">
        <v>953</v>
      </c>
      <c r="C275" s="99" t="s">
        <v>1237</v>
      </c>
      <c r="D275" s="99" t="s">
        <v>703</v>
      </c>
      <c r="E275" s="99" t="s">
        <v>703</v>
      </c>
      <c r="F275" s="99" t="s">
        <v>703</v>
      </c>
      <c r="G275" s="99" t="s">
        <v>1043</v>
      </c>
      <c r="H275" s="99" t="s">
        <v>589</v>
      </c>
      <c r="I275" s="99">
        <v>5</v>
      </c>
      <c r="J275" s="99">
        <v>0.4</v>
      </c>
    </row>
    <row r="276" spans="1:28" hidden="1" x14ac:dyDescent="0.25">
      <c r="A276" s="99" t="s">
        <v>1010</v>
      </c>
      <c r="B276" s="99" t="s">
        <v>953</v>
      </c>
      <c r="C276" s="99" t="s">
        <v>174</v>
      </c>
      <c r="D276" s="99" t="s">
        <v>703</v>
      </c>
      <c r="E276" s="99" t="s">
        <v>703</v>
      </c>
      <c r="F276" s="99" t="s">
        <v>703</v>
      </c>
      <c r="G276" s="99" t="s">
        <v>1043</v>
      </c>
      <c r="H276" s="99" t="s">
        <v>589</v>
      </c>
      <c r="I276" s="99">
        <v>5</v>
      </c>
      <c r="J276" s="99">
        <v>0</v>
      </c>
      <c r="M276" s="99">
        <v>0</v>
      </c>
      <c r="AB276" s="99">
        <v>0.8</v>
      </c>
    </row>
    <row r="277" spans="1:28" hidden="1" x14ac:dyDescent="0.25">
      <c r="A277" s="541" t="s">
        <v>1010</v>
      </c>
      <c r="B277" s="99" t="s">
        <v>953</v>
      </c>
      <c r="C277" s="99" t="s">
        <v>1232</v>
      </c>
      <c r="D277" s="99" t="s">
        <v>703</v>
      </c>
      <c r="E277" s="99" t="s">
        <v>703</v>
      </c>
      <c r="F277" s="99" t="s">
        <v>703</v>
      </c>
      <c r="G277" s="99" t="s">
        <v>1043</v>
      </c>
      <c r="H277" s="99" t="s">
        <v>589</v>
      </c>
      <c r="I277" s="99">
        <v>5</v>
      </c>
      <c r="J277" s="99">
        <v>0.4</v>
      </c>
      <c r="K277" s="544"/>
    </row>
    <row r="278" spans="1:28" hidden="1" x14ac:dyDescent="0.25">
      <c r="A278" s="541" t="s">
        <v>1010</v>
      </c>
      <c r="B278" s="99" t="s">
        <v>953</v>
      </c>
      <c r="C278" s="99" t="s">
        <v>1230</v>
      </c>
      <c r="D278" s="99" t="s">
        <v>703</v>
      </c>
      <c r="E278" s="99" t="s">
        <v>703</v>
      </c>
      <c r="F278" s="99" t="s">
        <v>703</v>
      </c>
      <c r="G278" s="99" t="s">
        <v>1043</v>
      </c>
      <c r="H278" s="99" t="s">
        <v>589</v>
      </c>
      <c r="I278" s="99">
        <v>5</v>
      </c>
      <c r="J278" s="99">
        <v>0.4</v>
      </c>
      <c r="N278" s="543"/>
    </row>
    <row r="279" spans="1:28" hidden="1" x14ac:dyDescent="0.25">
      <c r="A279" s="99" t="s">
        <v>1010</v>
      </c>
      <c r="B279" s="99" t="s">
        <v>953</v>
      </c>
      <c r="C279" s="99" t="s">
        <v>539</v>
      </c>
      <c r="D279" s="99" t="s">
        <v>703</v>
      </c>
      <c r="E279" s="99" t="s">
        <v>703</v>
      </c>
      <c r="F279" s="99" t="s">
        <v>703</v>
      </c>
      <c r="G279" s="99" t="s">
        <v>1043</v>
      </c>
      <c r="H279" s="99" t="s">
        <v>589</v>
      </c>
      <c r="I279" s="99">
        <v>5</v>
      </c>
      <c r="J279" s="99">
        <v>0</v>
      </c>
      <c r="M279" s="99">
        <v>0</v>
      </c>
      <c r="AB279" s="99">
        <v>0.8</v>
      </c>
    </row>
    <row r="280" spans="1:28" hidden="1" x14ac:dyDescent="0.25">
      <c r="A280" s="99" t="s">
        <v>1010</v>
      </c>
      <c r="B280" s="99" t="s">
        <v>953</v>
      </c>
      <c r="C280" s="99" t="s">
        <v>540</v>
      </c>
      <c r="D280" s="99" t="s">
        <v>703</v>
      </c>
      <c r="E280" s="99" t="s">
        <v>703</v>
      </c>
      <c r="F280" s="99" t="s">
        <v>703</v>
      </c>
      <c r="G280" s="99" t="s">
        <v>1043</v>
      </c>
      <c r="H280" s="99" t="s">
        <v>589</v>
      </c>
      <c r="I280" s="99">
        <v>5</v>
      </c>
      <c r="J280" s="99">
        <v>0</v>
      </c>
      <c r="M280" s="99">
        <v>0</v>
      </c>
      <c r="AB280" s="99">
        <v>0.8</v>
      </c>
    </row>
    <row r="281" spans="1:28" hidden="1" x14ac:dyDescent="0.25">
      <c r="A281" s="99" t="s">
        <v>1010</v>
      </c>
      <c r="B281" s="99" t="s">
        <v>953</v>
      </c>
      <c r="C281" s="99" t="s">
        <v>178</v>
      </c>
      <c r="D281" s="99" t="s">
        <v>703</v>
      </c>
      <c r="E281" s="99" t="s">
        <v>703</v>
      </c>
      <c r="F281" s="99" t="s">
        <v>703</v>
      </c>
      <c r="G281" s="99" t="s">
        <v>1043</v>
      </c>
      <c r="H281" s="99" t="s">
        <v>589</v>
      </c>
      <c r="I281" s="99">
        <v>5</v>
      </c>
      <c r="J281" s="99">
        <v>0</v>
      </c>
      <c r="M281" s="99">
        <v>0</v>
      </c>
      <c r="AB281" s="99">
        <v>0.8</v>
      </c>
    </row>
    <row r="282" spans="1:28" hidden="1" x14ac:dyDescent="0.25">
      <c r="A282" s="541" t="s">
        <v>1010</v>
      </c>
      <c r="B282" s="99" t="s">
        <v>953</v>
      </c>
      <c r="C282" s="99" t="s">
        <v>1225</v>
      </c>
      <c r="D282" s="99" t="s">
        <v>703</v>
      </c>
      <c r="E282" s="99" t="s">
        <v>703</v>
      </c>
      <c r="F282" s="99" t="s">
        <v>703</v>
      </c>
      <c r="G282" s="99" t="s">
        <v>1043</v>
      </c>
      <c r="H282" s="99" t="s">
        <v>589</v>
      </c>
      <c r="I282" s="99">
        <v>5</v>
      </c>
      <c r="J282" s="99">
        <v>0.4</v>
      </c>
      <c r="N282" s="542"/>
    </row>
    <row r="283" spans="1:28" hidden="1" x14ac:dyDescent="0.25">
      <c r="A283" s="541" t="s">
        <v>1010</v>
      </c>
      <c r="B283" s="99" t="s">
        <v>953</v>
      </c>
      <c r="C283" s="99" t="s">
        <v>1223</v>
      </c>
      <c r="D283" s="99" t="s">
        <v>703</v>
      </c>
      <c r="E283" s="99" t="s">
        <v>703</v>
      </c>
      <c r="F283" s="99" t="s">
        <v>703</v>
      </c>
      <c r="G283" s="99" t="s">
        <v>1043</v>
      </c>
      <c r="H283" s="99" t="s">
        <v>589</v>
      </c>
      <c r="I283" s="99">
        <v>5</v>
      </c>
      <c r="J283" s="99">
        <v>0.4</v>
      </c>
    </row>
    <row r="284" spans="1:28" hidden="1" x14ac:dyDescent="0.25">
      <c r="A284" s="99" t="s">
        <v>1010</v>
      </c>
      <c r="B284" s="99" t="s">
        <v>953</v>
      </c>
      <c r="C284" s="99" t="s">
        <v>180</v>
      </c>
      <c r="D284" s="99" t="s">
        <v>703</v>
      </c>
      <c r="E284" s="99" t="s">
        <v>703</v>
      </c>
      <c r="F284" s="99" t="s">
        <v>703</v>
      </c>
      <c r="G284" s="99" t="s">
        <v>1043</v>
      </c>
      <c r="H284" s="99" t="s">
        <v>589</v>
      </c>
      <c r="I284" s="99">
        <v>5</v>
      </c>
      <c r="J284" s="99">
        <v>0.4</v>
      </c>
    </row>
    <row r="285" spans="1:28" hidden="1" x14ac:dyDescent="0.25">
      <c r="A285" s="541" t="s">
        <v>1010</v>
      </c>
      <c r="B285" s="99" t="s">
        <v>953</v>
      </c>
      <c r="C285" s="99" t="s">
        <v>1220</v>
      </c>
      <c r="D285" s="99" t="s">
        <v>703</v>
      </c>
      <c r="E285" s="99" t="s">
        <v>703</v>
      </c>
      <c r="F285" s="99" t="s">
        <v>703</v>
      </c>
      <c r="G285" s="99" t="s">
        <v>1043</v>
      </c>
      <c r="H285" s="99" t="s">
        <v>589</v>
      </c>
      <c r="I285" s="99">
        <v>5</v>
      </c>
      <c r="J285" s="99">
        <v>0.4</v>
      </c>
    </row>
    <row r="286" spans="1:28" hidden="1" x14ac:dyDescent="0.25">
      <c r="A286" s="541" t="s">
        <v>1010</v>
      </c>
      <c r="B286" s="99" t="s">
        <v>953</v>
      </c>
      <c r="C286" s="99" t="s">
        <v>1218</v>
      </c>
      <c r="D286" s="99" t="s">
        <v>703</v>
      </c>
      <c r="E286" s="99" t="s">
        <v>703</v>
      </c>
      <c r="F286" s="99" t="s">
        <v>703</v>
      </c>
      <c r="G286" s="99" t="s">
        <v>1043</v>
      </c>
      <c r="H286" s="99" t="s">
        <v>589</v>
      </c>
      <c r="I286" s="99">
        <v>5</v>
      </c>
      <c r="J286" s="99">
        <v>0.4</v>
      </c>
    </row>
    <row r="287" spans="1:28" hidden="1" x14ac:dyDescent="0.25">
      <c r="A287" s="99" t="s">
        <v>1010</v>
      </c>
      <c r="B287" s="99" t="s">
        <v>953</v>
      </c>
      <c r="C287" s="99" t="s">
        <v>541</v>
      </c>
      <c r="D287" s="99" t="s">
        <v>703</v>
      </c>
      <c r="E287" s="99" t="s">
        <v>703</v>
      </c>
      <c r="F287" s="99" t="s">
        <v>703</v>
      </c>
      <c r="G287" s="99" t="s">
        <v>1043</v>
      </c>
      <c r="H287" s="99" t="s">
        <v>589</v>
      </c>
      <c r="I287" s="99">
        <v>5</v>
      </c>
      <c r="J287" s="99">
        <v>0.4</v>
      </c>
    </row>
    <row r="288" spans="1:28" hidden="1" x14ac:dyDescent="0.25">
      <c r="B288" s="99" t="s">
        <v>902</v>
      </c>
      <c r="C288" s="99" t="s">
        <v>169</v>
      </c>
      <c r="D288" s="99" t="s">
        <v>703</v>
      </c>
      <c r="E288" s="99" t="s">
        <v>1485</v>
      </c>
      <c r="F288" s="99" t="s">
        <v>703</v>
      </c>
      <c r="G288" s="99" t="s">
        <v>703</v>
      </c>
      <c r="H288" s="99" t="s">
        <v>703</v>
      </c>
      <c r="I288" s="99">
        <v>0</v>
      </c>
      <c r="J288" s="99">
        <v>0.3</v>
      </c>
    </row>
    <row r="289" spans="2:10" hidden="1" x14ac:dyDescent="0.25">
      <c r="B289" s="99" t="s">
        <v>902</v>
      </c>
      <c r="C289" s="99" t="s">
        <v>1245</v>
      </c>
      <c r="D289" s="99" t="s">
        <v>703</v>
      </c>
      <c r="E289" s="99" t="s">
        <v>1485</v>
      </c>
      <c r="F289" s="99" t="s">
        <v>703</v>
      </c>
      <c r="G289" s="99" t="s">
        <v>703</v>
      </c>
      <c r="H289" s="99" t="s">
        <v>703</v>
      </c>
      <c r="I289" s="99">
        <v>0</v>
      </c>
      <c r="J289" s="99">
        <v>0.3</v>
      </c>
    </row>
    <row r="290" spans="2:10" hidden="1" x14ac:dyDescent="0.25">
      <c r="B290" s="99" t="s">
        <v>902</v>
      </c>
      <c r="C290" s="99" t="s">
        <v>1243</v>
      </c>
      <c r="D290" s="99" t="s">
        <v>703</v>
      </c>
      <c r="E290" s="99" t="s">
        <v>1485</v>
      </c>
      <c r="F290" s="99" t="s">
        <v>703</v>
      </c>
      <c r="G290" s="99" t="s">
        <v>703</v>
      </c>
      <c r="H290" s="99" t="s">
        <v>703</v>
      </c>
      <c r="I290" s="99">
        <v>0</v>
      </c>
      <c r="J290" s="99">
        <v>0.3</v>
      </c>
    </row>
    <row r="291" spans="2:10" hidden="1" x14ac:dyDescent="0.25">
      <c r="B291" s="99" t="s">
        <v>902</v>
      </c>
      <c r="C291" s="99" t="s">
        <v>538</v>
      </c>
      <c r="D291" s="99" t="s">
        <v>703</v>
      </c>
      <c r="E291" s="99" t="s">
        <v>1485</v>
      </c>
      <c r="F291" s="99" t="s">
        <v>703</v>
      </c>
      <c r="G291" s="99" t="s">
        <v>703</v>
      </c>
      <c r="H291" s="99" t="s">
        <v>703</v>
      </c>
      <c r="I291" s="99">
        <v>0</v>
      </c>
      <c r="J291" s="99">
        <v>0.3</v>
      </c>
    </row>
    <row r="292" spans="2:10" hidden="1" x14ac:dyDescent="0.25">
      <c r="B292" s="99" t="s">
        <v>1391</v>
      </c>
      <c r="C292" s="99" t="s">
        <v>1245</v>
      </c>
      <c r="D292" s="99" t="s">
        <v>703</v>
      </c>
      <c r="E292" s="99" t="s">
        <v>703</v>
      </c>
      <c r="F292" s="99" t="s">
        <v>703</v>
      </c>
      <c r="G292" s="99" t="s">
        <v>703</v>
      </c>
      <c r="H292" s="99" t="s">
        <v>1044</v>
      </c>
      <c r="I292" s="99">
        <v>3</v>
      </c>
      <c r="J292" s="99">
        <v>0</v>
      </c>
    </row>
    <row r="293" spans="2:10" hidden="1" x14ac:dyDescent="0.25">
      <c r="B293" s="99" t="s">
        <v>1391</v>
      </c>
      <c r="C293" s="99" t="s">
        <v>1243</v>
      </c>
      <c r="D293" s="99" t="s">
        <v>703</v>
      </c>
      <c r="E293" s="99" t="s">
        <v>703</v>
      </c>
      <c r="F293" s="99" t="s">
        <v>703</v>
      </c>
      <c r="G293" s="99" t="s">
        <v>703</v>
      </c>
      <c r="H293" s="99" t="s">
        <v>1044</v>
      </c>
      <c r="I293" s="99">
        <v>3</v>
      </c>
      <c r="J293" s="99">
        <v>0</v>
      </c>
    </row>
    <row r="294" spans="2:10" hidden="1" x14ac:dyDescent="0.25">
      <c r="B294" s="99" t="s">
        <v>1391</v>
      </c>
      <c r="C294" s="99" t="s">
        <v>1239</v>
      </c>
      <c r="D294" s="99" t="s">
        <v>703</v>
      </c>
      <c r="E294" s="99" t="s">
        <v>703</v>
      </c>
      <c r="F294" s="99" t="s">
        <v>703</v>
      </c>
      <c r="G294" s="99" t="s">
        <v>703</v>
      </c>
      <c r="H294" s="99" t="s">
        <v>1044</v>
      </c>
      <c r="I294" s="99">
        <v>3</v>
      </c>
      <c r="J294" s="99">
        <v>0</v>
      </c>
    </row>
    <row r="295" spans="2:10" hidden="1" x14ac:dyDescent="0.25">
      <c r="B295" s="99" t="s">
        <v>1391</v>
      </c>
      <c r="C295" s="99" t="s">
        <v>1237</v>
      </c>
      <c r="D295" s="99" t="s">
        <v>703</v>
      </c>
      <c r="E295" s="99" t="s">
        <v>703</v>
      </c>
      <c r="F295" s="99" t="s">
        <v>703</v>
      </c>
      <c r="G295" s="99" t="s">
        <v>703</v>
      </c>
      <c r="H295" s="99" t="s">
        <v>1044</v>
      </c>
      <c r="I295" s="99">
        <v>3</v>
      </c>
      <c r="J295" s="99">
        <v>0</v>
      </c>
    </row>
    <row r="296" spans="2:10" hidden="1" x14ac:dyDescent="0.25">
      <c r="B296" s="99" t="s">
        <v>1391</v>
      </c>
      <c r="C296" s="99" t="s">
        <v>1232</v>
      </c>
      <c r="D296" s="99" t="s">
        <v>703</v>
      </c>
      <c r="E296" s="99" t="s">
        <v>703</v>
      </c>
      <c r="F296" s="99" t="s">
        <v>703</v>
      </c>
      <c r="G296" s="99" t="s">
        <v>703</v>
      </c>
      <c r="H296" s="99" t="s">
        <v>1044</v>
      </c>
      <c r="I296" s="99">
        <v>3</v>
      </c>
      <c r="J296" s="99">
        <v>0</v>
      </c>
    </row>
    <row r="297" spans="2:10" hidden="1" x14ac:dyDescent="0.25">
      <c r="B297" s="99" t="s">
        <v>1391</v>
      </c>
      <c r="C297" s="99" t="s">
        <v>1230</v>
      </c>
      <c r="D297" s="99" t="s">
        <v>703</v>
      </c>
      <c r="E297" s="99" t="s">
        <v>703</v>
      </c>
      <c r="F297" s="99" t="s">
        <v>703</v>
      </c>
      <c r="G297" s="99" t="s">
        <v>703</v>
      </c>
      <c r="H297" s="99" t="s">
        <v>1044</v>
      </c>
      <c r="I297" s="99">
        <v>3</v>
      </c>
      <c r="J297" s="99">
        <v>0</v>
      </c>
    </row>
    <row r="298" spans="2:10" hidden="1" x14ac:dyDescent="0.25">
      <c r="B298" s="99" t="s">
        <v>1391</v>
      </c>
      <c r="C298" s="99" t="s">
        <v>1225</v>
      </c>
      <c r="D298" s="99" t="s">
        <v>703</v>
      </c>
      <c r="E298" s="99" t="s">
        <v>703</v>
      </c>
      <c r="F298" s="99" t="s">
        <v>703</v>
      </c>
      <c r="G298" s="99" t="s">
        <v>703</v>
      </c>
      <c r="H298" s="99" t="s">
        <v>1044</v>
      </c>
      <c r="I298" s="99">
        <v>3</v>
      </c>
      <c r="J298" s="99">
        <v>0</v>
      </c>
    </row>
    <row r="299" spans="2:10" hidden="1" x14ac:dyDescent="0.25">
      <c r="B299" s="99" t="s">
        <v>1391</v>
      </c>
      <c r="C299" s="99" t="s">
        <v>1223</v>
      </c>
      <c r="D299" s="99" t="s">
        <v>703</v>
      </c>
      <c r="E299" s="99" t="s">
        <v>703</v>
      </c>
      <c r="F299" s="99" t="s">
        <v>703</v>
      </c>
      <c r="G299" s="99" t="s">
        <v>703</v>
      </c>
      <c r="H299" s="99" t="s">
        <v>1044</v>
      </c>
      <c r="I299" s="99">
        <v>3</v>
      </c>
      <c r="J299" s="99">
        <v>0</v>
      </c>
    </row>
    <row r="300" spans="2:10" hidden="1" x14ac:dyDescent="0.25">
      <c r="B300" s="99" t="s">
        <v>1391</v>
      </c>
      <c r="C300" s="99" t="s">
        <v>1220</v>
      </c>
      <c r="D300" s="99" t="s">
        <v>703</v>
      </c>
      <c r="E300" s="99" t="s">
        <v>703</v>
      </c>
      <c r="F300" s="99" t="s">
        <v>703</v>
      </c>
      <c r="G300" s="99" t="s">
        <v>703</v>
      </c>
      <c r="H300" s="99" t="s">
        <v>1044</v>
      </c>
      <c r="I300" s="99">
        <v>3</v>
      </c>
      <c r="J300" s="99">
        <v>0</v>
      </c>
    </row>
    <row r="301" spans="2:10" hidden="1" x14ac:dyDescent="0.25">
      <c r="B301" s="99" t="s">
        <v>1391</v>
      </c>
      <c r="C301" s="99" t="s">
        <v>1218</v>
      </c>
      <c r="D301" s="99" t="s">
        <v>703</v>
      </c>
      <c r="E301" s="99" t="s">
        <v>703</v>
      </c>
      <c r="F301" s="99" t="s">
        <v>703</v>
      </c>
      <c r="G301" s="99" t="s">
        <v>703</v>
      </c>
      <c r="H301" s="99" t="s">
        <v>1044</v>
      </c>
      <c r="I301" s="99">
        <v>3</v>
      </c>
      <c r="J301" s="99">
        <v>0</v>
      </c>
    </row>
    <row r="305" spans="9:10" x14ac:dyDescent="0.25">
      <c r="I305" s="99" t="s">
        <v>38</v>
      </c>
      <c r="J305" s="99">
        <f>$J$49*J90</f>
        <v>5.548</v>
      </c>
    </row>
    <row r="306" spans="9:10" x14ac:dyDescent="0.25">
      <c r="I306" s="99" t="s">
        <v>588</v>
      </c>
      <c r="J306" s="99">
        <f>$J$49*J91</f>
        <v>8.9059999999999988</v>
      </c>
    </row>
    <row r="307" spans="9:10" x14ac:dyDescent="0.25">
      <c r="I307" s="99" t="s">
        <v>1276</v>
      </c>
      <c r="J307" s="99">
        <f>$J$49*J92</f>
        <v>0.14599999999999999</v>
      </c>
    </row>
  </sheetData>
  <autoFilter ref="B2:J301" xr:uid="{00000000-0009-0000-0000-000028000000}">
    <filterColumn colId="1">
      <filters>
        <filter val="IISCOV"/>
      </filters>
    </filterColumn>
  </autoFilter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workbookViewId="0"/>
  </sheetViews>
  <sheetFormatPr defaultColWidth="10.28515625" defaultRowHeight="15" x14ac:dyDescent="0.25"/>
  <cols>
    <col min="1" max="1" width="10.28515625" style="99"/>
    <col min="2" max="2" width="12.5703125" style="99" bestFit="1" customWidth="1"/>
    <col min="3" max="3" width="18.28515625" style="99" bestFit="1" customWidth="1"/>
    <col min="4" max="4" width="8.42578125" style="99" bestFit="1" customWidth="1"/>
    <col min="5" max="5" width="15.42578125" style="99" bestFit="1" customWidth="1"/>
    <col min="6" max="8" width="1.7109375" style="99" bestFit="1" customWidth="1"/>
    <col min="9" max="9" width="5" style="99" bestFit="1" customWidth="1"/>
    <col min="10" max="16384" width="10.28515625" style="99"/>
  </cols>
  <sheetData>
    <row r="1" spans="1:9" x14ac:dyDescent="0.25">
      <c r="A1" s="99" t="s">
        <v>1455</v>
      </c>
      <c r="B1" s="99" t="s">
        <v>1026</v>
      </c>
    </row>
    <row r="2" spans="1:9" x14ac:dyDescent="0.25">
      <c r="B2" s="99" t="s">
        <v>1053</v>
      </c>
      <c r="C2" s="99" t="s">
        <v>703</v>
      </c>
      <c r="D2" s="99" t="s">
        <v>42</v>
      </c>
      <c r="E2" s="99" t="s">
        <v>1307</v>
      </c>
      <c r="F2" s="99" t="s">
        <v>703</v>
      </c>
      <c r="G2" s="99" t="s">
        <v>703</v>
      </c>
      <c r="H2" s="99" t="s">
        <v>703</v>
      </c>
      <c r="I2" s="99">
        <v>1</v>
      </c>
    </row>
    <row r="3" spans="1:9" x14ac:dyDescent="0.25">
      <c r="B3" s="99" t="s">
        <v>1053</v>
      </c>
      <c r="C3" s="99" t="s">
        <v>703</v>
      </c>
      <c r="D3" s="99" t="s">
        <v>42</v>
      </c>
      <c r="E3" s="99" t="s">
        <v>1303</v>
      </c>
      <c r="F3" s="99" t="s">
        <v>703</v>
      </c>
      <c r="G3" s="99" t="s">
        <v>703</v>
      </c>
      <c r="H3" s="99" t="s">
        <v>703</v>
      </c>
      <c r="I3" s="99">
        <v>1</v>
      </c>
    </row>
    <row r="4" spans="1:9" x14ac:dyDescent="0.25">
      <c r="B4" s="99" t="s">
        <v>1053</v>
      </c>
      <c r="C4" s="99" t="s">
        <v>703</v>
      </c>
      <c r="D4" s="99" t="s">
        <v>42</v>
      </c>
      <c r="E4" s="99" t="s">
        <v>1331</v>
      </c>
      <c r="F4" s="99" t="s">
        <v>703</v>
      </c>
      <c r="G4" s="99" t="s">
        <v>703</v>
      </c>
      <c r="H4" s="99" t="s">
        <v>703</v>
      </c>
      <c r="I4" s="99">
        <v>1</v>
      </c>
    </row>
    <row r="5" spans="1:9" x14ac:dyDescent="0.25">
      <c r="B5" s="99" t="s">
        <v>1053</v>
      </c>
      <c r="C5" s="99" t="s">
        <v>703</v>
      </c>
      <c r="D5" s="99" t="s">
        <v>42</v>
      </c>
      <c r="E5" s="99" t="s">
        <v>1327</v>
      </c>
      <c r="F5" s="99" t="s">
        <v>703</v>
      </c>
      <c r="G5" s="99" t="s">
        <v>703</v>
      </c>
      <c r="H5" s="99" t="s">
        <v>703</v>
      </c>
      <c r="I5" s="99">
        <v>1</v>
      </c>
    </row>
    <row r="6" spans="1:9" x14ac:dyDescent="0.25">
      <c r="B6" s="99" t="s">
        <v>1053</v>
      </c>
      <c r="C6" s="99" t="s">
        <v>703</v>
      </c>
      <c r="D6" s="99" t="s">
        <v>42</v>
      </c>
      <c r="E6" s="99" t="s">
        <v>1323</v>
      </c>
      <c r="F6" s="99" t="s">
        <v>703</v>
      </c>
      <c r="G6" s="99" t="s">
        <v>703</v>
      </c>
      <c r="H6" s="99" t="s">
        <v>703</v>
      </c>
      <c r="I6" s="99">
        <v>1</v>
      </c>
    </row>
    <row r="7" spans="1:9" x14ac:dyDescent="0.25">
      <c r="B7" s="99" t="s">
        <v>1053</v>
      </c>
      <c r="C7" s="99" t="s">
        <v>703</v>
      </c>
      <c r="D7" s="99" t="s">
        <v>39</v>
      </c>
      <c r="E7" s="99" t="s">
        <v>1331</v>
      </c>
      <c r="F7" s="99" t="s">
        <v>703</v>
      </c>
      <c r="G7" s="99" t="s">
        <v>703</v>
      </c>
      <c r="H7" s="99" t="s">
        <v>703</v>
      </c>
      <c r="I7" s="99">
        <v>1</v>
      </c>
    </row>
    <row r="8" spans="1:9" x14ac:dyDescent="0.25">
      <c r="B8" s="99" t="s">
        <v>1053</v>
      </c>
      <c r="C8" s="99" t="s">
        <v>703</v>
      </c>
      <c r="D8" s="99" t="s">
        <v>39</v>
      </c>
      <c r="E8" s="99" t="s">
        <v>1327</v>
      </c>
      <c r="F8" s="99" t="s">
        <v>703</v>
      </c>
      <c r="G8" s="99" t="s">
        <v>703</v>
      </c>
      <c r="H8" s="99" t="s">
        <v>703</v>
      </c>
      <c r="I8" s="99">
        <v>1</v>
      </c>
    </row>
    <row r="9" spans="1:9" x14ac:dyDescent="0.25">
      <c r="B9" s="99" t="s">
        <v>1053</v>
      </c>
      <c r="C9" s="99" t="s">
        <v>703</v>
      </c>
      <c r="D9" s="99" t="s">
        <v>39</v>
      </c>
      <c r="E9" s="99" t="s">
        <v>1323</v>
      </c>
      <c r="F9" s="99" t="s">
        <v>703</v>
      </c>
      <c r="G9" s="99" t="s">
        <v>703</v>
      </c>
      <c r="H9" s="99" t="s">
        <v>703</v>
      </c>
      <c r="I9" s="99">
        <v>1</v>
      </c>
    </row>
    <row r="10" spans="1:9" x14ac:dyDescent="0.25">
      <c r="B10" s="99" t="s">
        <v>1053</v>
      </c>
      <c r="C10" s="99" t="s">
        <v>703</v>
      </c>
      <c r="D10" s="99" t="s">
        <v>39</v>
      </c>
      <c r="E10" s="99" t="s">
        <v>1319</v>
      </c>
      <c r="F10" s="99" t="s">
        <v>703</v>
      </c>
      <c r="G10" s="99" t="s">
        <v>703</v>
      </c>
      <c r="H10" s="99" t="s">
        <v>703</v>
      </c>
      <c r="I10" s="99">
        <v>1</v>
      </c>
    </row>
    <row r="11" spans="1:9" x14ac:dyDescent="0.25">
      <c r="B11" s="99" t="s">
        <v>1053</v>
      </c>
      <c r="C11" s="99" t="s">
        <v>703</v>
      </c>
      <c r="D11" s="99" t="s">
        <v>39</v>
      </c>
      <c r="E11" s="99" t="s">
        <v>1311</v>
      </c>
      <c r="F11" s="99" t="s">
        <v>703</v>
      </c>
      <c r="G11" s="99" t="s">
        <v>703</v>
      </c>
      <c r="H11" s="99" t="s">
        <v>703</v>
      </c>
      <c r="I11" s="99">
        <v>1</v>
      </c>
    </row>
    <row r="12" spans="1:9" x14ac:dyDescent="0.25">
      <c r="B12" s="99" t="s">
        <v>1053</v>
      </c>
      <c r="C12" s="99" t="s">
        <v>703</v>
      </c>
      <c r="D12" s="99" t="s">
        <v>39</v>
      </c>
      <c r="E12" s="99" t="s">
        <v>1307</v>
      </c>
      <c r="F12" s="99" t="s">
        <v>703</v>
      </c>
      <c r="G12" s="99" t="s">
        <v>703</v>
      </c>
      <c r="H12" s="99" t="s">
        <v>703</v>
      </c>
      <c r="I12" s="99">
        <v>1</v>
      </c>
    </row>
    <row r="13" spans="1:9" x14ac:dyDescent="0.25">
      <c r="B13" s="99" t="s">
        <v>1053</v>
      </c>
      <c r="C13" s="99" t="s">
        <v>703</v>
      </c>
      <c r="D13" s="99" t="s">
        <v>39</v>
      </c>
      <c r="E13" s="99" t="s">
        <v>1303</v>
      </c>
      <c r="F13" s="99" t="s">
        <v>703</v>
      </c>
      <c r="G13" s="99" t="s">
        <v>703</v>
      </c>
      <c r="H13" s="99" t="s">
        <v>703</v>
      </c>
      <c r="I13" s="99">
        <v>1</v>
      </c>
    </row>
    <row r="14" spans="1:9" x14ac:dyDescent="0.25">
      <c r="B14" s="99" t="s">
        <v>1053</v>
      </c>
      <c r="C14" s="99" t="s">
        <v>703</v>
      </c>
      <c r="D14" s="99" t="s">
        <v>39</v>
      </c>
      <c r="E14" s="99" t="s">
        <v>1299</v>
      </c>
      <c r="F14" s="99" t="s">
        <v>703</v>
      </c>
      <c r="G14" s="99" t="s">
        <v>703</v>
      </c>
      <c r="H14" s="99" t="s">
        <v>703</v>
      </c>
      <c r="I14" s="99">
        <v>1</v>
      </c>
    </row>
    <row r="15" spans="1:9" x14ac:dyDescent="0.25">
      <c r="B15" s="99" t="s">
        <v>1053</v>
      </c>
      <c r="C15" s="99" t="s">
        <v>703</v>
      </c>
      <c r="D15" s="99" t="s">
        <v>39</v>
      </c>
      <c r="E15" s="99" t="s">
        <v>1295</v>
      </c>
      <c r="F15" s="99" t="s">
        <v>703</v>
      </c>
      <c r="G15" s="99" t="s">
        <v>703</v>
      </c>
      <c r="H15" s="99" t="s">
        <v>703</v>
      </c>
      <c r="I15" s="99">
        <v>1</v>
      </c>
    </row>
    <row r="16" spans="1:9" x14ac:dyDescent="0.25">
      <c r="B16" s="99" t="s">
        <v>1053</v>
      </c>
      <c r="C16" s="99" t="s">
        <v>703</v>
      </c>
      <c r="D16" s="99" t="s">
        <v>41</v>
      </c>
      <c r="E16" s="99" t="s">
        <v>1329</v>
      </c>
      <c r="F16" s="99" t="s">
        <v>703</v>
      </c>
      <c r="G16" s="99" t="s">
        <v>703</v>
      </c>
      <c r="H16" s="99" t="s">
        <v>703</v>
      </c>
      <c r="I16" s="99">
        <v>1</v>
      </c>
    </row>
    <row r="17" spans="2:9" x14ac:dyDescent="0.25">
      <c r="B17" s="99" t="s">
        <v>1053</v>
      </c>
      <c r="C17" s="99" t="s">
        <v>703</v>
      </c>
      <c r="D17" s="99" t="s">
        <v>41</v>
      </c>
      <c r="E17" s="99" t="s">
        <v>1327</v>
      </c>
      <c r="F17" s="99" t="s">
        <v>703</v>
      </c>
      <c r="G17" s="99" t="s">
        <v>703</v>
      </c>
      <c r="H17" s="99" t="s">
        <v>703</v>
      </c>
      <c r="I17" s="99">
        <v>1</v>
      </c>
    </row>
    <row r="18" spans="2:9" x14ac:dyDescent="0.25">
      <c r="B18" s="99" t="s">
        <v>1053</v>
      </c>
      <c r="C18" s="99" t="s">
        <v>703</v>
      </c>
      <c r="D18" s="99" t="s">
        <v>41</v>
      </c>
      <c r="E18" s="99" t="s">
        <v>1325</v>
      </c>
      <c r="F18" s="99" t="s">
        <v>703</v>
      </c>
      <c r="G18" s="99" t="s">
        <v>703</v>
      </c>
      <c r="H18" s="99" t="s">
        <v>703</v>
      </c>
      <c r="I18" s="99">
        <v>1</v>
      </c>
    </row>
    <row r="19" spans="2:9" x14ac:dyDescent="0.25">
      <c r="B19" s="99" t="s">
        <v>1053</v>
      </c>
      <c r="C19" s="99" t="s">
        <v>703</v>
      </c>
      <c r="D19" s="99" t="s">
        <v>41</v>
      </c>
      <c r="E19" s="99" t="s">
        <v>1321</v>
      </c>
      <c r="F19" s="99" t="s">
        <v>703</v>
      </c>
      <c r="G19" s="99" t="s">
        <v>703</v>
      </c>
      <c r="H19" s="99" t="s">
        <v>703</v>
      </c>
      <c r="I19" s="99">
        <v>1</v>
      </c>
    </row>
    <row r="20" spans="2:9" x14ac:dyDescent="0.25">
      <c r="B20" s="99" t="s">
        <v>1053</v>
      </c>
      <c r="C20" s="99" t="s">
        <v>703</v>
      </c>
      <c r="D20" s="99" t="s">
        <v>41</v>
      </c>
      <c r="E20" s="99" t="s">
        <v>1317</v>
      </c>
      <c r="F20" s="99" t="s">
        <v>703</v>
      </c>
      <c r="G20" s="99" t="s">
        <v>703</v>
      </c>
      <c r="H20" s="99" t="s">
        <v>703</v>
      </c>
      <c r="I20" s="99">
        <v>1</v>
      </c>
    </row>
    <row r="21" spans="2:9" x14ac:dyDescent="0.25">
      <c r="B21" s="99" t="s">
        <v>1053</v>
      </c>
      <c r="C21" s="99" t="s">
        <v>703</v>
      </c>
      <c r="D21" s="99" t="s">
        <v>41</v>
      </c>
      <c r="E21" s="99" t="s">
        <v>1313</v>
      </c>
      <c r="F21" s="99" t="s">
        <v>703</v>
      </c>
      <c r="G21" s="99" t="s">
        <v>703</v>
      </c>
      <c r="H21" s="99" t="s">
        <v>703</v>
      </c>
      <c r="I21" s="99">
        <v>1</v>
      </c>
    </row>
    <row r="22" spans="2:9" x14ac:dyDescent="0.25">
      <c r="B22" s="99" t="s">
        <v>1053</v>
      </c>
      <c r="C22" s="99" t="s">
        <v>703</v>
      </c>
      <c r="D22" s="99" t="s">
        <v>41</v>
      </c>
      <c r="E22" s="99" t="s">
        <v>1309</v>
      </c>
      <c r="F22" s="99" t="s">
        <v>703</v>
      </c>
      <c r="G22" s="99" t="s">
        <v>703</v>
      </c>
      <c r="H22" s="99" t="s">
        <v>703</v>
      </c>
      <c r="I22" s="99">
        <v>1</v>
      </c>
    </row>
    <row r="23" spans="2:9" x14ac:dyDescent="0.25">
      <c r="B23" s="99" t="s">
        <v>1053</v>
      </c>
      <c r="C23" s="99" t="s">
        <v>703</v>
      </c>
      <c r="D23" s="99" t="s">
        <v>41</v>
      </c>
      <c r="E23" s="99" t="s">
        <v>1305</v>
      </c>
      <c r="F23" s="99" t="s">
        <v>703</v>
      </c>
      <c r="G23" s="99" t="s">
        <v>703</v>
      </c>
      <c r="H23" s="99" t="s">
        <v>703</v>
      </c>
      <c r="I23" s="99">
        <v>1</v>
      </c>
    </row>
    <row r="24" spans="2:9" x14ac:dyDescent="0.25">
      <c r="B24" s="99" t="s">
        <v>1053</v>
      </c>
      <c r="C24" s="99" t="s">
        <v>703</v>
      </c>
      <c r="D24" s="99" t="s">
        <v>41</v>
      </c>
      <c r="E24" s="99" t="s">
        <v>1301</v>
      </c>
      <c r="F24" s="99" t="s">
        <v>703</v>
      </c>
      <c r="G24" s="99" t="s">
        <v>703</v>
      </c>
      <c r="H24" s="99" t="s">
        <v>703</v>
      </c>
      <c r="I24" s="99">
        <v>1</v>
      </c>
    </row>
    <row r="25" spans="2:9" x14ac:dyDescent="0.25">
      <c r="B25" s="99" t="s">
        <v>1053</v>
      </c>
      <c r="C25" s="99" t="s">
        <v>703</v>
      </c>
      <c r="D25" s="99" t="s">
        <v>41</v>
      </c>
      <c r="E25" s="99" t="s">
        <v>1297</v>
      </c>
      <c r="F25" s="99" t="s">
        <v>703</v>
      </c>
      <c r="G25" s="99" t="s">
        <v>703</v>
      </c>
      <c r="H25" s="99" t="s">
        <v>703</v>
      </c>
      <c r="I25" s="99">
        <v>1</v>
      </c>
    </row>
    <row r="26" spans="2:9" x14ac:dyDescent="0.25">
      <c r="B26" s="99" t="s">
        <v>1053</v>
      </c>
      <c r="C26" s="99" t="s">
        <v>703</v>
      </c>
      <c r="D26" s="99" t="s">
        <v>41</v>
      </c>
      <c r="E26" s="99" t="s">
        <v>1293</v>
      </c>
      <c r="F26" s="99" t="s">
        <v>703</v>
      </c>
      <c r="G26" s="99" t="s">
        <v>703</v>
      </c>
      <c r="H26" s="99" t="s">
        <v>703</v>
      </c>
      <c r="I26" s="99">
        <v>1</v>
      </c>
    </row>
    <row r="27" spans="2:9" x14ac:dyDescent="0.25">
      <c r="B27" s="99" t="s">
        <v>1053</v>
      </c>
      <c r="C27" s="99" t="s">
        <v>703</v>
      </c>
      <c r="D27" s="99" t="s">
        <v>38</v>
      </c>
      <c r="E27" s="99" t="s">
        <v>1331</v>
      </c>
      <c r="F27" s="99" t="s">
        <v>703</v>
      </c>
      <c r="G27" s="99" t="s">
        <v>703</v>
      </c>
      <c r="H27" s="99" t="s">
        <v>703</v>
      </c>
      <c r="I27" s="99">
        <v>1</v>
      </c>
    </row>
    <row r="28" spans="2:9" x14ac:dyDescent="0.25">
      <c r="B28" s="99" t="s">
        <v>1053</v>
      </c>
      <c r="C28" s="99" t="s">
        <v>703</v>
      </c>
      <c r="D28" s="99" t="s">
        <v>38</v>
      </c>
      <c r="E28" s="99" t="s">
        <v>1327</v>
      </c>
      <c r="F28" s="99" t="s">
        <v>703</v>
      </c>
      <c r="G28" s="99" t="s">
        <v>703</v>
      </c>
      <c r="H28" s="99" t="s">
        <v>703</v>
      </c>
      <c r="I28" s="99">
        <v>1</v>
      </c>
    </row>
    <row r="29" spans="2:9" x14ac:dyDescent="0.25">
      <c r="B29" s="99" t="s">
        <v>1053</v>
      </c>
      <c r="C29" s="99" t="s">
        <v>703</v>
      </c>
      <c r="D29" s="99" t="s">
        <v>38</v>
      </c>
      <c r="E29" s="99" t="s">
        <v>1323</v>
      </c>
      <c r="F29" s="99" t="s">
        <v>703</v>
      </c>
      <c r="G29" s="99" t="s">
        <v>703</v>
      </c>
      <c r="H29" s="99" t="s">
        <v>703</v>
      </c>
      <c r="I29" s="99">
        <v>1</v>
      </c>
    </row>
    <row r="30" spans="2:9" x14ac:dyDescent="0.25">
      <c r="B30" s="99" t="s">
        <v>1053</v>
      </c>
      <c r="C30" s="99" t="s">
        <v>703</v>
      </c>
      <c r="D30" s="99" t="s">
        <v>38</v>
      </c>
      <c r="E30" s="99" t="s">
        <v>1319</v>
      </c>
      <c r="F30" s="99" t="s">
        <v>703</v>
      </c>
      <c r="G30" s="99" t="s">
        <v>703</v>
      </c>
      <c r="H30" s="99" t="s">
        <v>703</v>
      </c>
      <c r="I30" s="99">
        <v>1</v>
      </c>
    </row>
    <row r="31" spans="2:9" x14ac:dyDescent="0.25">
      <c r="B31" s="99" t="s">
        <v>1053</v>
      </c>
      <c r="C31" s="99" t="s">
        <v>703</v>
      </c>
      <c r="D31" s="99" t="s">
        <v>38</v>
      </c>
      <c r="E31" s="99" t="s">
        <v>1315</v>
      </c>
      <c r="F31" s="99" t="s">
        <v>703</v>
      </c>
      <c r="G31" s="99" t="s">
        <v>703</v>
      </c>
      <c r="H31" s="99" t="s">
        <v>703</v>
      </c>
      <c r="I31" s="99">
        <v>1</v>
      </c>
    </row>
    <row r="32" spans="2:9" x14ac:dyDescent="0.25">
      <c r="B32" s="99" t="s">
        <v>1053</v>
      </c>
      <c r="C32" s="99" t="s">
        <v>703</v>
      </c>
      <c r="D32" s="99" t="s">
        <v>38</v>
      </c>
      <c r="E32" s="99" t="s">
        <v>1311</v>
      </c>
      <c r="F32" s="99" t="s">
        <v>703</v>
      </c>
      <c r="G32" s="99" t="s">
        <v>703</v>
      </c>
      <c r="H32" s="99" t="s">
        <v>703</v>
      </c>
      <c r="I32" s="99">
        <v>1</v>
      </c>
    </row>
    <row r="33" spans="2:9" x14ac:dyDescent="0.25">
      <c r="B33" s="99" t="s">
        <v>1053</v>
      </c>
      <c r="C33" s="99" t="s">
        <v>703</v>
      </c>
      <c r="D33" s="99" t="s">
        <v>38</v>
      </c>
      <c r="E33" s="99" t="s">
        <v>1307</v>
      </c>
      <c r="F33" s="99" t="s">
        <v>703</v>
      </c>
      <c r="G33" s="99" t="s">
        <v>703</v>
      </c>
      <c r="H33" s="99" t="s">
        <v>703</v>
      </c>
      <c r="I33" s="99">
        <v>1</v>
      </c>
    </row>
    <row r="34" spans="2:9" x14ac:dyDescent="0.25">
      <c r="B34" s="99" t="s">
        <v>1053</v>
      </c>
      <c r="C34" s="99" t="s">
        <v>703</v>
      </c>
      <c r="D34" s="99" t="s">
        <v>38</v>
      </c>
      <c r="E34" s="99" t="s">
        <v>1303</v>
      </c>
      <c r="F34" s="99" t="s">
        <v>703</v>
      </c>
      <c r="G34" s="99" t="s">
        <v>703</v>
      </c>
      <c r="H34" s="99" t="s">
        <v>703</v>
      </c>
      <c r="I34" s="99">
        <v>1</v>
      </c>
    </row>
    <row r="35" spans="2:9" x14ac:dyDescent="0.25">
      <c r="B35" s="99" t="s">
        <v>1053</v>
      </c>
      <c r="C35" s="99" t="s">
        <v>703</v>
      </c>
      <c r="D35" s="99" t="s">
        <v>38</v>
      </c>
      <c r="E35" s="99" t="s">
        <v>1299</v>
      </c>
      <c r="F35" s="99" t="s">
        <v>703</v>
      </c>
      <c r="G35" s="99" t="s">
        <v>703</v>
      </c>
      <c r="H35" s="99" t="s">
        <v>703</v>
      </c>
      <c r="I35" s="99">
        <v>1</v>
      </c>
    </row>
    <row r="36" spans="2:9" x14ac:dyDescent="0.25">
      <c r="B36" s="99" t="s">
        <v>1053</v>
      </c>
      <c r="C36" s="99" t="s">
        <v>703</v>
      </c>
      <c r="D36" s="99" t="s">
        <v>38</v>
      </c>
      <c r="E36" s="99" t="s">
        <v>1295</v>
      </c>
      <c r="F36" s="99" t="s">
        <v>703</v>
      </c>
      <c r="G36" s="99" t="s">
        <v>703</v>
      </c>
      <c r="H36" s="99" t="s">
        <v>703</v>
      </c>
      <c r="I36" s="99">
        <v>1</v>
      </c>
    </row>
    <row r="37" spans="2:9" x14ac:dyDescent="0.25">
      <c r="B37" s="99" t="s">
        <v>1053</v>
      </c>
      <c r="C37" s="99" t="s">
        <v>703</v>
      </c>
      <c r="D37" s="99" t="s">
        <v>588</v>
      </c>
      <c r="E37" s="99" t="s">
        <v>1331</v>
      </c>
      <c r="F37" s="99" t="s">
        <v>703</v>
      </c>
      <c r="G37" s="99" t="s">
        <v>703</v>
      </c>
      <c r="H37" s="99" t="s">
        <v>703</v>
      </c>
      <c r="I37" s="99">
        <v>1</v>
      </c>
    </row>
    <row r="38" spans="2:9" x14ac:dyDescent="0.25">
      <c r="B38" s="99" t="s">
        <v>1053</v>
      </c>
      <c r="C38" s="99" t="s">
        <v>703</v>
      </c>
      <c r="D38" s="99" t="s">
        <v>588</v>
      </c>
      <c r="E38" s="99" t="s">
        <v>1327</v>
      </c>
      <c r="F38" s="99" t="s">
        <v>703</v>
      </c>
      <c r="G38" s="99" t="s">
        <v>703</v>
      </c>
      <c r="H38" s="99" t="s">
        <v>703</v>
      </c>
      <c r="I38" s="99">
        <v>1</v>
      </c>
    </row>
    <row r="39" spans="2:9" x14ac:dyDescent="0.25">
      <c r="B39" s="99" t="s">
        <v>1053</v>
      </c>
      <c r="C39" s="99" t="s">
        <v>703</v>
      </c>
      <c r="D39" s="99" t="s">
        <v>588</v>
      </c>
      <c r="E39" s="99" t="s">
        <v>1323</v>
      </c>
      <c r="F39" s="99" t="s">
        <v>703</v>
      </c>
      <c r="G39" s="99" t="s">
        <v>703</v>
      </c>
      <c r="H39" s="99" t="s">
        <v>703</v>
      </c>
      <c r="I39" s="99">
        <v>1</v>
      </c>
    </row>
    <row r="40" spans="2:9" x14ac:dyDescent="0.25">
      <c r="B40" s="99" t="s">
        <v>1053</v>
      </c>
      <c r="C40" s="99" t="s">
        <v>703</v>
      </c>
      <c r="D40" s="99" t="s">
        <v>588</v>
      </c>
      <c r="E40" s="99" t="s">
        <v>1319</v>
      </c>
      <c r="F40" s="99" t="s">
        <v>703</v>
      </c>
      <c r="G40" s="99" t="s">
        <v>703</v>
      </c>
      <c r="H40" s="99" t="s">
        <v>703</v>
      </c>
      <c r="I40" s="99">
        <v>1</v>
      </c>
    </row>
    <row r="41" spans="2:9" x14ac:dyDescent="0.25">
      <c r="B41" s="99" t="s">
        <v>1053</v>
      </c>
      <c r="C41" s="99" t="s">
        <v>703</v>
      </c>
      <c r="D41" s="99" t="s">
        <v>588</v>
      </c>
      <c r="E41" s="99" t="s">
        <v>1315</v>
      </c>
      <c r="F41" s="99" t="s">
        <v>703</v>
      </c>
      <c r="G41" s="99" t="s">
        <v>703</v>
      </c>
      <c r="H41" s="99" t="s">
        <v>703</v>
      </c>
      <c r="I41" s="99">
        <v>1</v>
      </c>
    </row>
    <row r="42" spans="2:9" x14ac:dyDescent="0.25">
      <c r="B42" s="99" t="s">
        <v>1053</v>
      </c>
      <c r="C42" s="99" t="s">
        <v>703</v>
      </c>
      <c r="D42" s="99" t="s">
        <v>588</v>
      </c>
      <c r="E42" s="99" t="s">
        <v>1311</v>
      </c>
      <c r="F42" s="99" t="s">
        <v>703</v>
      </c>
      <c r="G42" s="99" t="s">
        <v>703</v>
      </c>
      <c r="H42" s="99" t="s">
        <v>703</v>
      </c>
      <c r="I42" s="99">
        <v>1</v>
      </c>
    </row>
    <row r="43" spans="2:9" x14ac:dyDescent="0.25">
      <c r="B43" s="99" t="s">
        <v>1053</v>
      </c>
      <c r="C43" s="99" t="s">
        <v>703</v>
      </c>
      <c r="D43" s="99" t="s">
        <v>588</v>
      </c>
      <c r="E43" s="99" t="s">
        <v>1307</v>
      </c>
      <c r="F43" s="99" t="s">
        <v>703</v>
      </c>
      <c r="G43" s="99" t="s">
        <v>703</v>
      </c>
      <c r="H43" s="99" t="s">
        <v>703</v>
      </c>
      <c r="I43" s="99">
        <v>1</v>
      </c>
    </row>
    <row r="44" spans="2:9" x14ac:dyDescent="0.25">
      <c r="B44" s="99" t="s">
        <v>1053</v>
      </c>
      <c r="C44" s="99" t="s">
        <v>703</v>
      </c>
      <c r="D44" s="99" t="s">
        <v>588</v>
      </c>
      <c r="E44" s="99" t="s">
        <v>1303</v>
      </c>
      <c r="F44" s="99" t="s">
        <v>703</v>
      </c>
      <c r="G44" s="99" t="s">
        <v>703</v>
      </c>
      <c r="H44" s="99" t="s">
        <v>703</v>
      </c>
      <c r="I44" s="99">
        <v>1</v>
      </c>
    </row>
    <row r="45" spans="2:9" x14ac:dyDescent="0.25">
      <c r="B45" s="99" t="s">
        <v>1053</v>
      </c>
      <c r="C45" s="99" t="s">
        <v>703</v>
      </c>
      <c r="D45" s="99" t="s">
        <v>588</v>
      </c>
      <c r="E45" s="99" t="s">
        <v>1299</v>
      </c>
      <c r="F45" s="99" t="s">
        <v>703</v>
      </c>
      <c r="G45" s="99" t="s">
        <v>703</v>
      </c>
      <c r="H45" s="99" t="s">
        <v>703</v>
      </c>
      <c r="I45" s="99">
        <v>1</v>
      </c>
    </row>
    <row r="46" spans="2:9" x14ac:dyDescent="0.25">
      <c r="B46" s="99" t="s">
        <v>1053</v>
      </c>
      <c r="C46" s="99" t="s">
        <v>703</v>
      </c>
      <c r="D46" s="99" t="s">
        <v>588</v>
      </c>
      <c r="E46" s="99" t="s">
        <v>1295</v>
      </c>
      <c r="F46" s="99" t="s">
        <v>703</v>
      </c>
      <c r="G46" s="99" t="s">
        <v>703</v>
      </c>
      <c r="H46" s="99" t="s">
        <v>703</v>
      </c>
      <c r="I46" s="99">
        <v>1</v>
      </c>
    </row>
    <row r="47" spans="2:9" x14ac:dyDescent="0.25">
      <c r="B47" s="99" t="s">
        <v>1053</v>
      </c>
      <c r="C47" s="99" t="s">
        <v>703</v>
      </c>
      <c r="D47" s="99" t="s">
        <v>1276</v>
      </c>
      <c r="E47" s="99" t="s">
        <v>1331</v>
      </c>
      <c r="F47" s="99" t="s">
        <v>703</v>
      </c>
      <c r="G47" s="99" t="s">
        <v>703</v>
      </c>
      <c r="H47" s="99" t="s">
        <v>703</v>
      </c>
      <c r="I47" s="99">
        <v>1</v>
      </c>
    </row>
    <row r="48" spans="2:9" x14ac:dyDescent="0.25">
      <c r="B48" s="99" t="s">
        <v>1053</v>
      </c>
      <c r="C48" s="99" t="s">
        <v>703</v>
      </c>
      <c r="D48" s="99" t="s">
        <v>1276</v>
      </c>
      <c r="E48" s="99" t="s">
        <v>1327</v>
      </c>
      <c r="F48" s="99" t="s">
        <v>703</v>
      </c>
      <c r="G48" s="99" t="s">
        <v>703</v>
      </c>
      <c r="H48" s="99" t="s">
        <v>703</v>
      </c>
      <c r="I48" s="99">
        <v>1</v>
      </c>
    </row>
    <row r="49" spans="2:9" x14ac:dyDescent="0.25">
      <c r="B49" s="99" t="s">
        <v>1053</v>
      </c>
      <c r="C49" s="99" t="s">
        <v>703</v>
      </c>
      <c r="D49" s="99" t="s">
        <v>1276</v>
      </c>
      <c r="E49" s="99" t="s">
        <v>1319</v>
      </c>
      <c r="F49" s="99" t="s">
        <v>703</v>
      </c>
      <c r="G49" s="99" t="s">
        <v>703</v>
      </c>
      <c r="H49" s="99" t="s">
        <v>703</v>
      </c>
      <c r="I49" s="99">
        <v>1</v>
      </c>
    </row>
    <row r="50" spans="2:9" x14ac:dyDescent="0.25">
      <c r="B50" s="99" t="s">
        <v>1053</v>
      </c>
      <c r="C50" s="99" t="s">
        <v>703</v>
      </c>
      <c r="D50" s="99" t="s">
        <v>1276</v>
      </c>
      <c r="E50" s="99" t="s">
        <v>1315</v>
      </c>
      <c r="F50" s="99" t="s">
        <v>703</v>
      </c>
      <c r="G50" s="99" t="s">
        <v>703</v>
      </c>
      <c r="H50" s="99" t="s">
        <v>703</v>
      </c>
      <c r="I50" s="99">
        <v>1</v>
      </c>
    </row>
    <row r="51" spans="2:9" x14ac:dyDescent="0.25">
      <c r="B51" s="99" t="s">
        <v>1053</v>
      </c>
      <c r="C51" s="99" t="s">
        <v>703</v>
      </c>
      <c r="D51" s="99" t="s">
        <v>1276</v>
      </c>
      <c r="E51" s="99" t="s">
        <v>1311</v>
      </c>
      <c r="F51" s="99" t="s">
        <v>703</v>
      </c>
      <c r="G51" s="99" t="s">
        <v>703</v>
      </c>
      <c r="H51" s="99" t="s">
        <v>703</v>
      </c>
      <c r="I51" s="99">
        <v>1</v>
      </c>
    </row>
    <row r="52" spans="2:9" x14ac:dyDescent="0.25">
      <c r="B52" s="99" t="s">
        <v>1053</v>
      </c>
      <c r="C52" s="99" t="s">
        <v>703</v>
      </c>
      <c r="D52" s="99" t="s">
        <v>1276</v>
      </c>
      <c r="E52" s="99" t="s">
        <v>1307</v>
      </c>
      <c r="F52" s="99" t="s">
        <v>703</v>
      </c>
      <c r="G52" s="99" t="s">
        <v>703</v>
      </c>
      <c r="H52" s="99" t="s">
        <v>703</v>
      </c>
      <c r="I52" s="99">
        <v>1</v>
      </c>
    </row>
    <row r="53" spans="2:9" x14ac:dyDescent="0.25">
      <c r="B53" s="99" t="s">
        <v>1053</v>
      </c>
      <c r="C53" s="99" t="s">
        <v>703</v>
      </c>
      <c r="D53" s="99" t="s">
        <v>1276</v>
      </c>
      <c r="E53" s="99" t="s">
        <v>1303</v>
      </c>
      <c r="F53" s="99" t="s">
        <v>703</v>
      </c>
      <c r="G53" s="99" t="s">
        <v>703</v>
      </c>
      <c r="H53" s="99" t="s">
        <v>703</v>
      </c>
      <c r="I53" s="99">
        <v>1</v>
      </c>
    </row>
    <row r="54" spans="2:9" x14ac:dyDescent="0.25">
      <c r="B54" s="99" t="s">
        <v>1053</v>
      </c>
      <c r="C54" s="99" t="s">
        <v>703</v>
      </c>
      <c r="D54" s="99" t="s">
        <v>1276</v>
      </c>
      <c r="E54" s="99" t="s">
        <v>1299</v>
      </c>
      <c r="F54" s="99" t="s">
        <v>703</v>
      </c>
      <c r="G54" s="99" t="s">
        <v>703</v>
      </c>
      <c r="H54" s="99" t="s">
        <v>703</v>
      </c>
      <c r="I54" s="99">
        <v>1</v>
      </c>
    </row>
    <row r="55" spans="2:9" x14ac:dyDescent="0.25">
      <c r="B55" s="99" t="s">
        <v>1053</v>
      </c>
      <c r="C55" s="99" t="s">
        <v>703</v>
      </c>
      <c r="D55" s="99" t="s">
        <v>1276</v>
      </c>
      <c r="E55" s="99" t="s">
        <v>1295</v>
      </c>
      <c r="F55" s="99" t="s">
        <v>703</v>
      </c>
      <c r="G55" s="99" t="s">
        <v>703</v>
      </c>
      <c r="H55" s="99" t="s">
        <v>703</v>
      </c>
      <c r="I55" s="99">
        <v>1</v>
      </c>
    </row>
    <row r="56" spans="2:9" x14ac:dyDescent="0.25">
      <c r="B56" s="99" t="s">
        <v>1053</v>
      </c>
      <c r="C56" s="99" t="s">
        <v>703</v>
      </c>
      <c r="D56" s="99" t="s">
        <v>591</v>
      </c>
      <c r="E56" s="99" t="s">
        <v>1323</v>
      </c>
      <c r="F56" s="99" t="s">
        <v>703</v>
      </c>
      <c r="G56" s="99" t="s">
        <v>703</v>
      </c>
      <c r="H56" s="99" t="s">
        <v>703</v>
      </c>
      <c r="I56" s="99">
        <v>1</v>
      </c>
    </row>
    <row r="57" spans="2:9" x14ac:dyDescent="0.25">
      <c r="B57" s="99" t="s">
        <v>1053</v>
      </c>
      <c r="C57" s="99" t="s">
        <v>703</v>
      </c>
      <c r="D57" s="99" t="s">
        <v>1402</v>
      </c>
      <c r="E57" s="99" t="s">
        <v>1291</v>
      </c>
      <c r="F57" s="99" t="s">
        <v>703</v>
      </c>
      <c r="G57" s="99" t="s">
        <v>703</v>
      </c>
      <c r="H57" s="99" t="s">
        <v>703</v>
      </c>
      <c r="I57" s="99">
        <v>1</v>
      </c>
    </row>
    <row r="58" spans="2:9" x14ac:dyDescent="0.25">
      <c r="B58" s="99" t="s">
        <v>1053</v>
      </c>
      <c r="C58" s="99" t="s">
        <v>703</v>
      </c>
      <c r="D58" s="99" t="s">
        <v>1401</v>
      </c>
      <c r="E58" s="99" t="s">
        <v>1291</v>
      </c>
      <c r="F58" s="99" t="s">
        <v>703</v>
      </c>
      <c r="G58" s="99" t="s">
        <v>703</v>
      </c>
      <c r="H58" s="99" t="s">
        <v>703</v>
      </c>
      <c r="I58" s="99">
        <v>1</v>
      </c>
    </row>
    <row r="59" spans="2:9" x14ac:dyDescent="0.25">
      <c r="B59" s="99" t="s">
        <v>1050</v>
      </c>
      <c r="C59" s="99" t="s">
        <v>169</v>
      </c>
      <c r="D59" s="99" t="s">
        <v>703</v>
      </c>
      <c r="E59" s="99" t="s">
        <v>41</v>
      </c>
      <c r="F59" s="99" t="s">
        <v>703</v>
      </c>
      <c r="G59" s="99" t="s">
        <v>703</v>
      </c>
      <c r="H59" s="99" t="s">
        <v>703</v>
      </c>
      <c r="I59" s="99">
        <v>1</v>
      </c>
    </row>
    <row r="60" spans="2:9" x14ac:dyDescent="0.25">
      <c r="B60" s="99" t="s">
        <v>1050</v>
      </c>
      <c r="C60" s="99" t="s">
        <v>1245</v>
      </c>
      <c r="D60" s="99" t="s">
        <v>703</v>
      </c>
      <c r="E60" s="99" t="s">
        <v>41</v>
      </c>
      <c r="F60" s="99" t="s">
        <v>703</v>
      </c>
      <c r="G60" s="99" t="s">
        <v>703</v>
      </c>
      <c r="H60" s="99" t="s">
        <v>703</v>
      </c>
      <c r="I60" s="99">
        <v>1</v>
      </c>
    </row>
    <row r="61" spans="2:9" x14ac:dyDescent="0.25">
      <c r="B61" s="99" t="s">
        <v>1050</v>
      </c>
      <c r="C61" s="99" t="s">
        <v>1243</v>
      </c>
      <c r="D61" s="99" t="s">
        <v>703</v>
      </c>
      <c r="E61" s="99" t="s">
        <v>41</v>
      </c>
      <c r="F61" s="99" t="s">
        <v>703</v>
      </c>
      <c r="G61" s="99" t="s">
        <v>703</v>
      </c>
      <c r="H61" s="99" t="s">
        <v>703</v>
      </c>
      <c r="I61" s="99">
        <v>1</v>
      </c>
    </row>
    <row r="62" spans="2:9" x14ac:dyDescent="0.25">
      <c r="B62" s="99" t="s">
        <v>1050</v>
      </c>
      <c r="C62" s="99" t="s">
        <v>538</v>
      </c>
      <c r="D62" s="99" t="s">
        <v>703</v>
      </c>
      <c r="E62" s="99" t="s">
        <v>41</v>
      </c>
      <c r="F62" s="99" t="s">
        <v>703</v>
      </c>
      <c r="G62" s="99" t="s">
        <v>703</v>
      </c>
      <c r="H62" s="99" t="s">
        <v>703</v>
      </c>
      <c r="I62" s="99">
        <v>1</v>
      </c>
    </row>
    <row r="63" spans="2:9" x14ac:dyDescent="0.25">
      <c r="B63" s="99" t="s">
        <v>1050</v>
      </c>
      <c r="C63" s="99" t="s">
        <v>171</v>
      </c>
      <c r="D63" s="99" t="s">
        <v>703</v>
      </c>
      <c r="E63" s="99" t="s">
        <v>41</v>
      </c>
      <c r="F63" s="99" t="s">
        <v>703</v>
      </c>
      <c r="G63" s="99" t="s">
        <v>703</v>
      </c>
      <c r="H63" s="99" t="s">
        <v>703</v>
      </c>
      <c r="I63" s="99">
        <v>1</v>
      </c>
    </row>
    <row r="64" spans="2:9" x14ac:dyDescent="0.25">
      <c r="B64" s="99" t="s">
        <v>1050</v>
      </c>
      <c r="C64" s="99" t="s">
        <v>1239</v>
      </c>
      <c r="D64" s="99" t="s">
        <v>703</v>
      </c>
      <c r="E64" s="99" t="s">
        <v>41</v>
      </c>
      <c r="F64" s="99" t="s">
        <v>703</v>
      </c>
      <c r="G64" s="99" t="s">
        <v>703</v>
      </c>
      <c r="H64" s="99" t="s">
        <v>703</v>
      </c>
      <c r="I64" s="99">
        <v>1</v>
      </c>
    </row>
    <row r="65" spans="2:9" x14ac:dyDescent="0.25">
      <c r="B65" s="99" t="s">
        <v>1050</v>
      </c>
      <c r="C65" s="99" t="s">
        <v>1237</v>
      </c>
      <c r="D65" s="99" t="s">
        <v>703</v>
      </c>
      <c r="E65" s="99" t="s">
        <v>41</v>
      </c>
      <c r="F65" s="99" t="s">
        <v>703</v>
      </c>
      <c r="G65" s="99" t="s">
        <v>703</v>
      </c>
      <c r="H65" s="99" t="s">
        <v>703</v>
      </c>
      <c r="I65" s="99">
        <v>1</v>
      </c>
    </row>
    <row r="66" spans="2:9" x14ac:dyDescent="0.25">
      <c r="B66" s="99" t="s">
        <v>1050</v>
      </c>
      <c r="C66" s="99" t="s">
        <v>1235</v>
      </c>
      <c r="D66" s="99" t="s">
        <v>703</v>
      </c>
      <c r="E66" s="99" t="s">
        <v>42</v>
      </c>
      <c r="F66" s="99" t="s">
        <v>703</v>
      </c>
      <c r="G66" s="99" t="s">
        <v>703</v>
      </c>
      <c r="H66" s="99" t="s">
        <v>703</v>
      </c>
      <c r="I66" s="99">
        <v>1</v>
      </c>
    </row>
    <row r="67" spans="2:9" x14ac:dyDescent="0.25">
      <c r="B67" s="99" t="s">
        <v>1050</v>
      </c>
      <c r="C67" s="99" t="s">
        <v>174</v>
      </c>
      <c r="D67" s="99" t="s">
        <v>703</v>
      </c>
      <c r="E67" s="99" t="s">
        <v>41</v>
      </c>
      <c r="F67" s="99" t="s">
        <v>703</v>
      </c>
      <c r="G67" s="99" t="s">
        <v>703</v>
      </c>
      <c r="H67" s="99" t="s">
        <v>703</v>
      </c>
      <c r="I67" s="99">
        <v>1</v>
      </c>
    </row>
    <row r="68" spans="2:9" x14ac:dyDescent="0.25">
      <c r="B68" s="99" t="s">
        <v>1050</v>
      </c>
      <c r="C68" s="99" t="s">
        <v>1232</v>
      </c>
      <c r="D68" s="99" t="s">
        <v>703</v>
      </c>
      <c r="E68" s="99" t="s">
        <v>41</v>
      </c>
      <c r="F68" s="99" t="s">
        <v>703</v>
      </c>
      <c r="G68" s="99" t="s">
        <v>703</v>
      </c>
      <c r="H68" s="99" t="s">
        <v>703</v>
      </c>
      <c r="I68" s="99">
        <v>1</v>
      </c>
    </row>
    <row r="69" spans="2:9" x14ac:dyDescent="0.25">
      <c r="B69" s="99" t="s">
        <v>1050</v>
      </c>
      <c r="C69" s="99" t="s">
        <v>1230</v>
      </c>
      <c r="D69" s="99" t="s">
        <v>703</v>
      </c>
      <c r="E69" s="99" t="s">
        <v>41</v>
      </c>
      <c r="F69" s="99" t="s">
        <v>703</v>
      </c>
      <c r="G69" s="99" t="s">
        <v>703</v>
      </c>
      <c r="H69" s="99" t="s">
        <v>703</v>
      </c>
      <c r="I69" s="99">
        <v>1</v>
      </c>
    </row>
    <row r="70" spans="2:9" x14ac:dyDescent="0.25">
      <c r="B70" s="99" t="s">
        <v>1050</v>
      </c>
      <c r="C70" s="99" t="s">
        <v>539</v>
      </c>
      <c r="D70" s="99" t="s">
        <v>703</v>
      </c>
      <c r="E70" s="99" t="s">
        <v>41</v>
      </c>
      <c r="F70" s="99" t="s">
        <v>703</v>
      </c>
      <c r="G70" s="99" t="s">
        <v>703</v>
      </c>
      <c r="H70" s="99" t="s">
        <v>703</v>
      </c>
      <c r="I70" s="99">
        <v>1</v>
      </c>
    </row>
    <row r="71" spans="2:9" x14ac:dyDescent="0.25">
      <c r="B71" s="99" t="s">
        <v>1050</v>
      </c>
      <c r="C71" s="99" t="s">
        <v>540</v>
      </c>
      <c r="D71" s="99" t="s">
        <v>703</v>
      </c>
      <c r="E71" s="99" t="s">
        <v>41</v>
      </c>
      <c r="F71" s="99" t="s">
        <v>703</v>
      </c>
      <c r="G71" s="99" t="s">
        <v>703</v>
      </c>
      <c r="H71" s="99" t="s">
        <v>703</v>
      </c>
      <c r="I71" s="99">
        <v>1</v>
      </c>
    </row>
    <row r="72" spans="2:9" x14ac:dyDescent="0.25">
      <c r="B72" s="99" t="s">
        <v>1050</v>
      </c>
      <c r="C72" s="99" t="s">
        <v>178</v>
      </c>
      <c r="D72" s="99" t="s">
        <v>703</v>
      </c>
      <c r="E72" s="99" t="s">
        <v>41</v>
      </c>
      <c r="F72" s="99" t="s">
        <v>703</v>
      </c>
      <c r="G72" s="99" t="s">
        <v>703</v>
      </c>
      <c r="H72" s="99" t="s">
        <v>703</v>
      </c>
      <c r="I72" s="99">
        <v>1</v>
      </c>
    </row>
    <row r="73" spans="2:9" x14ac:dyDescent="0.25">
      <c r="B73" s="99" t="s">
        <v>1050</v>
      </c>
      <c r="C73" s="99" t="s">
        <v>1225</v>
      </c>
      <c r="D73" s="99" t="s">
        <v>703</v>
      </c>
      <c r="E73" s="99" t="s">
        <v>41</v>
      </c>
      <c r="F73" s="99" t="s">
        <v>703</v>
      </c>
      <c r="G73" s="99" t="s">
        <v>703</v>
      </c>
      <c r="H73" s="99" t="s">
        <v>703</v>
      </c>
      <c r="I73" s="99">
        <v>1</v>
      </c>
    </row>
    <row r="74" spans="2:9" x14ac:dyDescent="0.25">
      <c r="B74" s="99" t="s">
        <v>1050</v>
      </c>
      <c r="C74" s="99" t="s">
        <v>1223</v>
      </c>
      <c r="D74" s="99" t="s">
        <v>703</v>
      </c>
      <c r="E74" s="99" t="s">
        <v>41</v>
      </c>
      <c r="F74" s="99" t="s">
        <v>703</v>
      </c>
      <c r="G74" s="99" t="s">
        <v>703</v>
      </c>
      <c r="H74" s="99" t="s">
        <v>703</v>
      </c>
      <c r="I74" s="99">
        <v>1</v>
      </c>
    </row>
    <row r="75" spans="2:9" x14ac:dyDescent="0.25">
      <c r="B75" s="99" t="s">
        <v>1050</v>
      </c>
      <c r="C75" s="99" t="s">
        <v>180</v>
      </c>
      <c r="D75" s="99" t="s">
        <v>703</v>
      </c>
      <c r="E75" s="99" t="s">
        <v>41</v>
      </c>
      <c r="F75" s="99" t="s">
        <v>703</v>
      </c>
      <c r="G75" s="99" t="s">
        <v>703</v>
      </c>
      <c r="H75" s="99" t="s">
        <v>703</v>
      </c>
      <c r="I75" s="99">
        <v>1</v>
      </c>
    </row>
    <row r="76" spans="2:9" x14ac:dyDescent="0.25">
      <c r="B76" s="99" t="s">
        <v>1050</v>
      </c>
      <c r="C76" s="99" t="s">
        <v>1220</v>
      </c>
      <c r="D76" s="99" t="s">
        <v>703</v>
      </c>
      <c r="E76" s="99" t="s">
        <v>41</v>
      </c>
      <c r="F76" s="99" t="s">
        <v>703</v>
      </c>
      <c r="G76" s="99" t="s">
        <v>703</v>
      </c>
      <c r="H76" s="99" t="s">
        <v>703</v>
      </c>
      <c r="I76" s="99">
        <v>1</v>
      </c>
    </row>
    <row r="77" spans="2:9" x14ac:dyDescent="0.25">
      <c r="B77" s="99" t="s">
        <v>1050</v>
      </c>
      <c r="C77" s="99" t="s">
        <v>1218</v>
      </c>
      <c r="D77" s="99" t="s">
        <v>703</v>
      </c>
      <c r="E77" s="99" t="s">
        <v>41</v>
      </c>
      <c r="F77" s="99" t="s">
        <v>703</v>
      </c>
      <c r="G77" s="99" t="s">
        <v>703</v>
      </c>
      <c r="H77" s="99" t="s">
        <v>703</v>
      </c>
      <c r="I77" s="99">
        <v>1</v>
      </c>
    </row>
    <row r="78" spans="2:9" x14ac:dyDescent="0.25">
      <c r="B78" s="99" t="s">
        <v>1050</v>
      </c>
      <c r="C78" s="99" t="s">
        <v>541</v>
      </c>
      <c r="D78" s="99" t="s">
        <v>703</v>
      </c>
      <c r="E78" s="99" t="s">
        <v>41</v>
      </c>
      <c r="F78" s="99" t="s">
        <v>703</v>
      </c>
      <c r="G78" s="99" t="s">
        <v>703</v>
      </c>
      <c r="H78" s="99" t="s">
        <v>703</v>
      </c>
      <c r="I78" s="99">
        <v>1</v>
      </c>
    </row>
    <row r="79" spans="2:9" x14ac:dyDescent="0.25">
      <c r="B79" s="99" t="s">
        <v>1050</v>
      </c>
      <c r="C79" s="99" t="s">
        <v>1215</v>
      </c>
      <c r="D79" s="99" t="s">
        <v>703</v>
      </c>
      <c r="E79" s="99" t="s">
        <v>1289</v>
      </c>
      <c r="F79" s="99" t="s">
        <v>703</v>
      </c>
      <c r="G79" s="99" t="s">
        <v>703</v>
      </c>
      <c r="H79" s="99" t="s">
        <v>703</v>
      </c>
      <c r="I79" s="99">
        <v>1</v>
      </c>
    </row>
    <row r="80" spans="2:9" x14ac:dyDescent="0.25">
      <c r="B80" s="99" t="s">
        <v>1050</v>
      </c>
      <c r="C80" s="99" t="s">
        <v>1213</v>
      </c>
      <c r="D80" s="99" t="s">
        <v>703</v>
      </c>
      <c r="E80" s="99" t="s">
        <v>1264</v>
      </c>
      <c r="F80" s="99" t="s">
        <v>703</v>
      </c>
      <c r="G80" s="99" t="s">
        <v>703</v>
      </c>
      <c r="H80" s="99" t="s">
        <v>703</v>
      </c>
      <c r="I80" s="99">
        <v>1</v>
      </c>
    </row>
    <row r="81" spans="2:9" x14ac:dyDescent="0.25">
      <c r="B81" s="99" t="s">
        <v>1050</v>
      </c>
      <c r="C81" s="99" t="s">
        <v>1211</v>
      </c>
      <c r="D81" s="99" t="s">
        <v>703</v>
      </c>
      <c r="E81" s="99" t="s">
        <v>39</v>
      </c>
      <c r="F81" s="99" t="s">
        <v>703</v>
      </c>
      <c r="G81" s="99" t="s">
        <v>703</v>
      </c>
      <c r="H81" s="99" t="s">
        <v>703</v>
      </c>
      <c r="I81" s="99">
        <v>1</v>
      </c>
    </row>
    <row r="82" spans="2:9" x14ac:dyDescent="0.25">
      <c r="B82" s="99" t="s">
        <v>1050</v>
      </c>
      <c r="C82" s="99" t="s">
        <v>1209</v>
      </c>
      <c r="D82" s="99" t="s">
        <v>703</v>
      </c>
      <c r="E82" s="99" t="s">
        <v>588</v>
      </c>
      <c r="F82" s="99" t="s">
        <v>703</v>
      </c>
      <c r="G82" s="99" t="s">
        <v>703</v>
      </c>
      <c r="H82" s="99" t="s">
        <v>703</v>
      </c>
      <c r="I82" s="99">
        <v>1</v>
      </c>
    </row>
    <row r="83" spans="2:9" x14ac:dyDescent="0.25">
      <c r="B83" s="99" t="s">
        <v>1050</v>
      </c>
      <c r="C83" s="99" t="s">
        <v>1207</v>
      </c>
      <c r="D83" s="99" t="s">
        <v>703</v>
      </c>
      <c r="E83" s="99" t="s">
        <v>1276</v>
      </c>
      <c r="F83" s="99" t="s">
        <v>703</v>
      </c>
      <c r="G83" s="99" t="s">
        <v>703</v>
      </c>
      <c r="H83" s="99" t="s">
        <v>703</v>
      </c>
      <c r="I83" s="99">
        <v>1</v>
      </c>
    </row>
    <row r="84" spans="2:9" x14ac:dyDescent="0.25">
      <c r="B84" s="99" t="s">
        <v>1050</v>
      </c>
      <c r="C84" s="99" t="s">
        <v>1205</v>
      </c>
      <c r="D84" s="99" t="s">
        <v>703</v>
      </c>
      <c r="E84" s="99" t="s">
        <v>591</v>
      </c>
      <c r="F84" s="99" t="s">
        <v>703</v>
      </c>
      <c r="G84" s="99" t="s">
        <v>703</v>
      </c>
      <c r="H84" s="99" t="s">
        <v>703</v>
      </c>
      <c r="I84" s="99">
        <v>1</v>
      </c>
    </row>
    <row r="85" spans="2:9" x14ac:dyDescent="0.25">
      <c r="B85" s="99" t="s">
        <v>1050</v>
      </c>
      <c r="C85" s="99" t="s">
        <v>1203</v>
      </c>
      <c r="D85" s="99" t="s">
        <v>703</v>
      </c>
      <c r="E85" s="99" t="s">
        <v>40</v>
      </c>
      <c r="F85" s="99" t="s">
        <v>703</v>
      </c>
      <c r="G85" s="99" t="s">
        <v>703</v>
      </c>
      <c r="H85" s="99" t="s">
        <v>703</v>
      </c>
      <c r="I85" s="99">
        <v>1</v>
      </c>
    </row>
    <row r="86" spans="2:9" x14ac:dyDescent="0.25">
      <c r="B86" s="99" t="s">
        <v>1050</v>
      </c>
      <c r="C86" s="99" t="s">
        <v>1201</v>
      </c>
      <c r="D86" s="99" t="s">
        <v>703</v>
      </c>
      <c r="E86" s="99" t="s">
        <v>1274</v>
      </c>
      <c r="F86" s="99" t="s">
        <v>703</v>
      </c>
      <c r="G86" s="99" t="s">
        <v>703</v>
      </c>
      <c r="H86" s="99" t="s">
        <v>703</v>
      </c>
      <c r="I86" s="99">
        <v>1</v>
      </c>
    </row>
    <row r="87" spans="2:9" x14ac:dyDescent="0.25">
      <c r="B87" s="99" t="s">
        <v>1049</v>
      </c>
      <c r="C87" s="99" t="s">
        <v>169</v>
      </c>
      <c r="D87" s="99" t="s">
        <v>703</v>
      </c>
      <c r="E87" s="99" t="s">
        <v>703</v>
      </c>
      <c r="F87" s="99" t="s">
        <v>703</v>
      </c>
      <c r="G87" s="99" t="s">
        <v>703</v>
      </c>
      <c r="H87" s="99" t="s">
        <v>703</v>
      </c>
      <c r="I87" s="99">
        <v>1</v>
      </c>
    </row>
    <row r="88" spans="2:9" x14ac:dyDescent="0.25">
      <c r="B88" s="99" t="s">
        <v>1049</v>
      </c>
      <c r="C88" s="99" t="s">
        <v>1245</v>
      </c>
      <c r="D88" s="99" t="s">
        <v>703</v>
      </c>
      <c r="E88" s="99" t="s">
        <v>703</v>
      </c>
      <c r="F88" s="99" t="s">
        <v>703</v>
      </c>
      <c r="G88" s="99" t="s">
        <v>703</v>
      </c>
      <c r="H88" s="99" t="s">
        <v>703</v>
      </c>
      <c r="I88" s="99">
        <v>1</v>
      </c>
    </row>
    <row r="89" spans="2:9" x14ac:dyDescent="0.25">
      <c r="B89" s="99" t="s">
        <v>1049</v>
      </c>
      <c r="C89" s="99" t="s">
        <v>1243</v>
      </c>
      <c r="D89" s="99" t="s">
        <v>703</v>
      </c>
      <c r="E89" s="99" t="s">
        <v>703</v>
      </c>
      <c r="F89" s="99" t="s">
        <v>703</v>
      </c>
      <c r="G89" s="99" t="s">
        <v>703</v>
      </c>
      <c r="H89" s="99" t="s">
        <v>703</v>
      </c>
      <c r="I89" s="99">
        <v>1</v>
      </c>
    </row>
    <row r="90" spans="2:9" x14ac:dyDescent="0.25">
      <c r="B90" s="99" t="s">
        <v>1049</v>
      </c>
      <c r="C90" s="99" t="s">
        <v>538</v>
      </c>
      <c r="D90" s="99" t="s">
        <v>703</v>
      </c>
      <c r="E90" s="99" t="s">
        <v>703</v>
      </c>
      <c r="F90" s="99" t="s">
        <v>703</v>
      </c>
      <c r="G90" s="99" t="s">
        <v>703</v>
      </c>
      <c r="H90" s="99" t="s">
        <v>703</v>
      </c>
      <c r="I90" s="99">
        <v>1</v>
      </c>
    </row>
    <row r="91" spans="2:9" x14ac:dyDescent="0.25">
      <c r="B91" s="99" t="s">
        <v>1049</v>
      </c>
      <c r="C91" s="99" t="s">
        <v>171</v>
      </c>
      <c r="D91" s="99" t="s">
        <v>703</v>
      </c>
      <c r="E91" s="99" t="s">
        <v>703</v>
      </c>
      <c r="F91" s="99" t="s">
        <v>703</v>
      </c>
      <c r="G91" s="99" t="s">
        <v>703</v>
      </c>
      <c r="H91" s="99" t="s">
        <v>703</v>
      </c>
      <c r="I91" s="99">
        <v>1</v>
      </c>
    </row>
    <row r="92" spans="2:9" x14ac:dyDescent="0.25">
      <c r="B92" s="99" t="s">
        <v>1049</v>
      </c>
      <c r="C92" s="99" t="s">
        <v>1239</v>
      </c>
      <c r="D92" s="99" t="s">
        <v>703</v>
      </c>
      <c r="E92" s="99" t="s">
        <v>703</v>
      </c>
      <c r="F92" s="99" t="s">
        <v>703</v>
      </c>
      <c r="G92" s="99" t="s">
        <v>703</v>
      </c>
      <c r="H92" s="99" t="s">
        <v>703</v>
      </c>
      <c r="I92" s="99">
        <v>1</v>
      </c>
    </row>
    <row r="93" spans="2:9" x14ac:dyDescent="0.25">
      <c r="B93" s="99" t="s">
        <v>1049</v>
      </c>
      <c r="C93" s="99" t="s">
        <v>1237</v>
      </c>
      <c r="D93" s="99" t="s">
        <v>703</v>
      </c>
      <c r="E93" s="99" t="s">
        <v>703</v>
      </c>
      <c r="F93" s="99" t="s">
        <v>703</v>
      </c>
      <c r="G93" s="99" t="s">
        <v>703</v>
      </c>
      <c r="H93" s="99" t="s">
        <v>703</v>
      </c>
      <c r="I93" s="99">
        <v>1</v>
      </c>
    </row>
    <row r="94" spans="2:9" x14ac:dyDescent="0.25">
      <c r="B94" s="99" t="s">
        <v>1049</v>
      </c>
      <c r="C94" s="99" t="s">
        <v>1235</v>
      </c>
      <c r="D94" s="99" t="s">
        <v>703</v>
      </c>
      <c r="E94" s="99" t="s">
        <v>703</v>
      </c>
      <c r="F94" s="99" t="s">
        <v>703</v>
      </c>
      <c r="G94" s="99" t="s">
        <v>703</v>
      </c>
      <c r="H94" s="99" t="s">
        <v>703</v>
      </c>
      <c r="I94" s="99">
        <v>1</v>
      </c>
    </row>
    <row r="95" spans="2:9" x14ac:dyDescent="0.25">
      <c r="B95" s="99" t="s">
        <v>1049</v>
      </c>
      <c r="C95" s="99" t="s">
        <v>174</v>
      </c>
      <c r="D95" s="99" t="s">
        <v>703</v>
      </c>
      <c r="E95" s="99" t="s">
        <v>703</v>
      </c>
      <c r="F95" s="99" t="s">
        <v>703</v>
      </c>
      <c r="G95" s="99" t="s">
        <v>703</v>
      </c>
      <c r="H95" s="99" t="s">
        <v>703</v>
      </c>
      <c r="I95" s="99">
        <v>1</v>
      </c>
    </row>
    <row r="96" spans="2:9" x14ac:dyDescent="0.25">
      <c r="B96" s="99" t="s">
        <v>1049</v>
      </c>
      <c r="C96" s="99" t="s">
        <v>1232</v>
      </c>
      <c r="D96" s="99" t="s">
        <v>703</v>
      </c>
      <c r="E96" s="99" t="s">
        <v>703</v>
      </c>
      <c r="F96" s="99" t="s">
        <v>703</v>
      </c>
      <c r="G96" s="99" t="s">
        <v>703</v>
      </c>
      <c r="H96" s="99" t="s">
        <v>703</v>
      </c>
      <c r="I96" s="99">
        <v>1</v>
      </c>
    </row>
    <row r="97" spans="2:9" x14ac:dyDescent="0.25">
      <c r="B97" s="99" t="s">
        <v>1049</v>
      </c>
      <c r="C97" s="99" t="s">
        <v>1230</v>
      </c>
      <c r="D97" s="99" t="s">
        <v>703</v>
      </c>
      <c r="E97" s="99" t="s">
        <v>703</v>
      </c>
      <c r="F97" s="99" t="s">
        <v>703</v>
      </c>
      <c r="G97" s="99" t="s">
        <v>703</v>
      </c>
      <c r="H97" s="99" t="s">
        <v>703</v>
      </c>
      <c r="I97" s="99">
        <v>1</v>
      </c>
    </row>
    <row r="98" spans="2:9" x14ac:dyDescent="0.25">
      <c r="B98" s="99" t="s">
        <v>1049</v>
      </c>
      <c r="C98" s="99" t="s">
        <v>539</v>
      </c>
      <c r="D98" s="99" t="s">
        <v>703</v>
      </c>
      <c r="E98" s="99" t="s">
        <v>703</v>
      </c>
      <c r="F98" s="99" t="s">
        <v>703</v>
      </c>
      <c r="G98" s="99" t="s">
        <v>703</v>
      </c>
      <c r="H98" s="99" t="s">
        <v>703</v>
      </c>
      <c r="I98" s="99">
        <v>1</v>
      </c>
    </row>
    <row r="99" spans="2:9" x14ac:dyDescent="0.25">
      <c r="B99" s="99" t="s">
        <v>1049</v>
      </c>
      <c r="C99" s="99" t="s">
        <v>540</v>
      </c>
      <c r="D99" s="99" t="s">
        <v>703</v>
      </c>
      <c r="E99" s="99" t="s">
        <v>703</v>
      </c>
      <c r="F99" s="99" t="s">
        <v>703</v>
      </c>
      <c r="G99" s="99" t="s">
        <v>703</v>
      </c>
      <c r="H99" s="99" t="s">
        <v>703</v>
      </c>
      <c r="I99" s="99">
        <v>1</v>
      </c>
    </row>
    <row r="100" spans="2:9" x14ac:dyDescent="0.25">
      <c r="B100" s="99" t="s">
        <v>1049</v>
      </c>
      <c r="C100" s="99" t="s">
        <v>178</v>
      </c>
      <c r="D100" s="99" t="s">
        <v>703</v>
      </c>
      <c r="E100" s="99" t="s">
        <v>703</v>
      </c>
      <c r="F100" s="99" t="s">
        <v>703</v>
      </c>
      <c r="G100" s="99" t="s">
        <v>703</v>
      </c>
      <c r="H100" s="99" t="s">
        <v>703</v>
      </c>
      <c r="I100" s="99">
        <v>1</v>
      </c>
    </row>
    <row r="101" spans="2:9" x14ac:dyDescent="0.25">
      <c r="B101" s="99" t="s">
        <v>1049</v>
      </c>
      <c r="C101" s="99" t="s">
        <v>1225</v>
      </c>
      <c r="D101" s="99" t="s">
        <v>703</v>
      </c>
      <c r="E101" s="99" t="s">
        <v>703</v>
      </c>
      <c r="F101" s="99" t="s">
        <v>703</v>
      </c>
      <c r="G101" s="99" t="s">
        <v>703</v>
      </c>
      <c r="H101" s="99" t="s">
        <v>703</v>
      </c>
      <c r="I101" s="99">
        <v>1</v>
      </c>
    </row>
    <row r="102" spans="2:9" x14ac:dyDescent="0.25">
      <c r="B102" s="99" t="s">
        <v>1049</v>
      </c>
      <c r="C102" s="99" t="s">
        <v>1223</v>
      </c>
      <c r="D102" s="99" t="s">
        <v>703</v>
      </c>
      <c r="E102" s="99" t="s">
        <v>703</v>
      </c>
      <c r="F102" s="99" t="s">
        <v>703</v>
      </c>
      <c r="G102" s="99" t="s">
        <v>703</v>
      </c>
      <c r="H102" s="99" t="s">
        <v>703</v>
      </c>
      <c r="I102" s="99">
        <v>1</v>
      </c>
    </row>
    <row r="103" spans="2:9" x14ac:dyDescent="0.25">
      <c r="B103" s="99" t="s">
        <v>1049</v>
      </c>
      <c r="C103" s="99" t="s">
        <v>180</v>
      </c>
      <c r="D103" s="99" t="s">
        <v>703</v>
      </c>
      <c r="E103" s="99" t="s">
        <v>703</v>
      </c>
      <c r="F103" s="99" t="s">
        <v>703</v>
      </c>
      <c r="G103" s="99" t="s">
        <v>703</v>
      </c>
      <c r="H103" s="99" t="s">
        <v>703</v>
      </c>
      <c r="I103" s="99">
        <v>1</v>
      </c>
    </row>
    <row r="104" spans="2:9" x14ac:dyDescent="0.25">
      <c r="B104" s="99" t="s">
        <v>1049</v>
      </c>
      <c r="C104" s="99" t="s">
        <v>1220</v>
      </c>
      <c r="D104" s="99" t="s">
        <v>703</v>
      </c>
      <c r="E104" s="99" t="s">
        <v>703</v>
      </c>
      <c r="F104" s="99" t="s">
        <v>703</v>
      </c>
      <c r="G104" s="99" t="s">
        <v>703</v>
      </c>
      <c r="H104" s="99" t="s">
        <v>703</v>
      </c>
      <c r="I104" s="99">
        <v>1</v>
      </c>
    </row>
    <row r="105" spans="2:9" x14ac:dyDescent="0.25">
      <c r="B105" s="99" t="s">
        <v>1049</v>
      </c>
      <c r="C105" s="99" t="s">
        <v>1218</v>
      </c>
      <c r="D105" s="99" t="s">
        <v>703</v>
      </c>
      <c r="E105" s="99" t="s">
        <v>703</v>
      </c>
      <c r="F105" s="99" t="s">
        <v>703</v>
      </c>
      <c r="G105" s="99" t="s">
        <v>703</v>
      </c>
      <c r="H105" s="99" t="s">
        <v>703</v>
      </c>
      <c r="I105" s="99">
        <v>1</v>
      </c>
    </row>
    <row r="106" spans="2:9" x14ac:dyDescent="0.25">
      <c r="B106" s="99" t="s">
        <v>1049</v>
      </c>
      <c r="C106" s="99" t="s">
        <v>541</v>
      </c>
      <c r="D106" s="99" t="s">
        <v>703</v>
      </c>
      <c r="E106" s="99" t="s">
        <v>703</v>
      </c>
      <c r="F106" s="99" t="s">
        <v>703</v>
      </c>
      <c r="G106" s="99" t="s">
        <v>703</v>
      </c>
      <c r="H106" s="99" t="s">
        <v>703</v>
      </c>
      <c r="I106" s="99">
        <v>1</v>
      </c>
    </row>
    <row r="107" spans="2:9" x14ac:dyDescent="0.25">
      <c r="B107" s="99" t="s">
        <v>1049</v>
      </c>
      <c r="C107" s="99" t="s">
        <v>1215</v>
      </c>
      <c r="D107" s="99" t="s">
        <v>703</v>
      </c>
      <c r="E107" s="99" t="s">
        <v>703</v>
      </c>
      <c r="F107" s="99" t="s">
        <v>703</v>
      </c>
      <c r="G107" s="99" t="s">
        <v>703</v>
      </c>
      <c r="H107" s="99" t="s">
        <v>703</v>
      </c>
      <c r="I107" s="99">
        <v>1</v>
      </c>
    </row>
    <row r="108" spans="2:9" x14ac:dyDescent="0.25">
      <c r="B108" s="99" t="s">
        <v>1049</v>
      </c>
      <c r="C108" s="99" t="s">
        <v>1213</v>
      </c>
      <c r="D108" s="99" t="s">
        <v>703</v>
      </c>
      <c r="E108" s="99" t="s">
        <v>703</v>
      </c>
      <c r="F108" s="99" t="s">
        <v>703</v>
      </c>
      <c r="G108" s="99" t="s">
        <v>703</v>
      </c>
      <c r="H108" s="99" t="s">
        <v>703</v>
      </c>
      <c r="I108" s="99">
        <v>1</v>
      </c>
    </row>
    <row r="109" spans="2:9" x14ac:dyDescent="0.25">
      <c r="B109" s="99" t="s">
        <v>1049</v>
      </c>
      <c r="C109" s="99" t="s">
        <v>1211</v>
      </c>
      <c r="D109" s="99" t="s">
        <v>703</v>
      </c>
      <c r="E109" s="99" t="s">
        <v>703</v>
      </c>
      <c r="F109" s="99" t="s">
        <v>703</v>
      </c>
      <c r="G109" s="99" t="s">
        <v>703</v>
      </c>
      <c r="H109" s="99" t="s">
        <v>703</v>
      </c>
      <c r="I109" s="99">
        <v>1</v>
      </c>
    </row>
    <row r="110" spans="2:9" x14ac:dyDescent="0.25">
      <c r="B110" s="99" t="s">
        <v>1049</v>
      </c>
      <c r="C110" s="99" t="s">
        <v>1209</v>
      </c>
      <c r="D110" s="99" t="s">
        <v>703</v>
      </c>
      <c r="E110" s="99" t="s">
        <v>703</v>
      </c>
      <c r="F110" s="99" t="s">
        <v>703</v>
      </c>
      <c r="G110" s="99" t="s">
        <v>703</v>
      </c>
      <c r="H110" s="99" t="s">
        <v>703</v>
      </c>
      <c r="I110" s="99">
        <v>1</v>
      </c>
    </row>
    <row r="111" spans="2:9" x14ac:dyDescent="0.25">
      <c r="B111" s="99" t="s">
        <v>1049</v>
      </c>
      <c r="C111" s="99" t="s">
        <v>1207</v>
      </c>
      <c r="D111" s="99" t="s">
        <v>703</v>
      </c>
      <c r="E111" s="99" t="s">
        <v>703</v>
      </c>
      <c r="F111" s="99" t="s">
        <v>703</v>
      </c>
      <c r="G111" s="99" t="s">
        <v>703</v>
      </c>
      <c r="H111" s="99" t="s">
        <v>703</v>
      </c>
      <c r="I111" s="99">
        <v>1</v>
      </c>
    </row>
    <row r="112" spans="2:9" x14ac:dyDescent="0.25">
      <c r="B112" s="99" t="s">
        <v>1049</v>
      </c>
      <c r="C112" s="99" t="s">
        <v>1205</v>
      </c>
      <c r="D112" s="99" t="s">
        <v>703</v>
      </c>
      <c r="E112" s="99" t="s">
        <v>703</v>
      </c>
      <c r="F112" s="99" t="s">
        <v>703</v>
      </c>
      <c r="G112" s="99" t="s">
        <v>703</v>
      </c>
      <c r="H112" s="99" t="s">
        <v>703</v>
      </c>
      <c r="I112" s="99">
        <v>1</v>
      </c>
    </row>
    <row r="113" spans="2:9" x14ac:dyDescent="0.25">
      <c r="B113" s="99" t="s">
        <v>1049</v>
      </c>
      <c r="C113" s="99" t="s">
        <v>1203</v>
      </c>
      <c r="D113" s="99" t="s">
        <v>703</v>
      </c>
      <c r="E113" s="99" t="s">
        <v>703</v>
      </c>
      <c r="F113" s="99" t="s">
        <v>703</v>
      </c>
      <c r="G113" s="99" t="s">
        <v>703</v>
      </c>
      <c r="H113" s="99" t="s">
        <v>703</v>
      </c>
      <c r="I113" s="99">
        <v>1</v>
      </c>
    </row>
    <row r="114" spans="2:9" x14ac:dyDescent="0.25">
      <c r="B114" s="99" t="s">
        <v>1049</v>
      </c>
      <c r="C114" s="99" t="s">
        <v>1201</v>
      </c>
      <c r="D114" s="99" t="s">
        <v>703</v>
      </c>
      <c r="E114" s="99" t="s">
        <v>703</v>
      </c>
      <c r="F114" s="99" t="s">
        <v>703</v>
      </c>
      <c r="G114" s="99" t="s">
        <v>703</v>
      </c>
      <c r="H114" s="99" t="s">
        <v>703</v>
      </c>
      <c r="I114" s="99">
        <v>1</v>
      </c>
    </row>
    <row r="115" spans="2:9" x14ac:dyDescent="0.25">
      <c r="B115" s="99" t="s">
        <v>1046</v>
      </c>
      <c r="C115" s="99" t="s">
        <v>169</v>
      </c>
      <c r="D115" s="99" t="s">
        <v>42</v>
      </c>
      <c r="E115" s="99" t="s">
        <v>703</v>
      </c>
      <c r="F115" s="99" t="s">
        <v>703</v>
      </c>
      <c r="G115" s="99" t="s">
        <v>703</v>
      </c>
      <c r="H115" s="99" t="s">
        <v>703</v>
      </c>
      <c r="I115" s="99">
        <v>1</v>
      </c>
    </row>
    <row r="116" spans="2:9" x14ac:dyDescent="0.25">
      <c r="B116" s="99" t="s">
        <v>1046</v>
      </c>
      <c r="C116" s="99" t="s">
        <v>169</v>
      </c>
      <c r="D116" s="99" t="s">
        <v>39</v>
      </c>
      <c r="E116" s="99" t="s">
        <v>703</v>
      </c>
      <c r="F116" s="99" t="s">
        <v>703</v>
      </c>
      <c r="G116" s="99" t="s">
        <v>703</v>
      </c>
      <c r="H116" s="99" t="s">
        <v>703</v>
      </c>
      <c r="I116" s="99">
        <v>1</v>
      </c>
    </row>
    <row r="117" spans="2:9" x14ac:dyDescent="0.25">
      <c r="B117" s="99" t="s">
        <v>1046</v>
      </c>
      <c r="C117" s="99" t="s">
        <v>169</v>
      </c>
      <c r="D117" s="99" t="s">
        <v>38</v>
      </c>
      <c r="E117" s="99" t="s">
        <v>703</v>
      </c>
      <c r="F117" s="99" t="s">
        <v>703</v>
      </c>
      <c r="G117" s="99" t="s">
        <v>703</v>
      </c>
      <c r="H117" s="99" t="s">
        <v>703</v>
      </c>
      <c r="I117" s="99">
        <v>1</v>
      </c>
    </row>
    <row r="118" spans="2:9" x14ac:dyDescent="0.25">
      <c r="B118" s="99" t="s">
        <v>1046</v>
      </c>
      <c r="C118" s="99" t="s">
        <v>169</v>
      </c>
      <c r="D118" s="99" t="s">
        <v>588</v>
      </c>
      <c r="E118" s="99" t="s">
        <v>703</v>
      </c>
      <c r="F118" s="99" t="s">
        <v>703</v>
      </c>
      <c r="G118" s="99" t="s">
        <v>703</v>
      </c>
      <c r="H118" s="99" t="s">
        <v>703</v>
      </c>
      <c r="I118" s="99">
        <v>1</v>
      </c>
    </row>
    <row r="119" spans="2:9" x14ac:dyDescent="0.25">
      <c r="B119" s="99" t="s">
        <v>1046</v>
      </c>
      <c r="C119" s="99" t="s">
        <v>169</v>
      </c>
      <c r="D119" s="99" t="s">
        <v>1276</v>
      </c>
      <c r="E119" s="99" t="s">
        <v>703</v>
      </c>
      <c r="F119" s="99" t="s">
        <v>703</v>
      </c>
      <c r="G119" s="99" t="s">
        <v>703</v>
      </c>
      <c r="H119" s="99" t="s">
        <v>703</v>
      </c>
      <c r="I119" s="99">
        <v>1</v>
      </c>
    </row>
    <row r="120" spans="2:9" x14ac:dyDescent="0.25">
      <c r="B120" s="99" t="s">
        <v>1046</v>
      </c>
      <c r="C120" s="99" t="s">
        <v>169</v>
      </c>
      <c r="D120" s="99" t="s">
        <v>40</v>
      </c>
      <c r="E120" s="99" t="s">
        <v>703</v>
      </c>
      <c r="F120" s="99" t="s">
        <v>703</v>
      </c>
      <c r="G120" s="99" t="s">
        <v>703</v>
      </c>
      <c r="H120" s="99" t="s">
        <v>703</v>
      </c>
      <c r="I120" s="99">
        <v>1</v>
      </c>
    </row>
    <row r="121" spans="2:9" x14ac:dyDescent="0.25">
      <c r="B121" s="99" t="s">
        <v>1046</v>
      </c>
      <c r="C121" s="99" t="s">
        <v>1245</v>
      </c>
      <c r="D121" s="99" t="s">
        <v>40</v>
      </c>
      <c r="E121" s="99" t="s">
        <v>703</v>
      </c>
      <c r="F121" s="99" t="s">
        <v>703</v>
      </c>
      <c r="G121" s="99" t="s">
        <v>703</v>
      </c>
      <c r="H121" s="99" t="s">
        <v>703</v>
      </c>
      <c r="I121" s="99">
        <v>1</v>
      </c>
    </row>
    <row r="122" spans="2:9" x14ac:dyDescent="0.25">
      <c r="B122" s="99" t="s">
        <v>1046</v>
      </c>
      <c r="C122" s="99" t="s">
        <v>1243</v>
      </c>
      <c r="D122" s="99" t="s">
        <v>40</v>
      </c>
      <c r="E122" s="99" t="s">
        <v>703</v>
      </c>
      <c r="F122" s="99" t="s">
        <v>703</v>
      </c>
      <c r="G122" s="99" t="s">
        <v>703</v>
      </c>
      <c r="H122" s="99" t="s">
        <v>703</v>
      </c>
      <c r="I122" s="99">
        <v>1</v>
      </c>
    </row>
    <row r="123" spans="2:9" x14ac:dyDescent="0.25">
      <c r="B123" s="99" t="s">
        <v>1046</v>
      </c>
      <c r="C123" s="99" t="s">
        <v>538</v>
      </c>
      <c r="D123" s="99" t="s">
        <v>42</v>
      </c>
      <c r="E123" s="99" t="s">
        <v>703</v>
      </c>
      <c r="F123" s="99" t="s">
        <v>703</v>
      </c>
      <c r="G123" s="99" t="s">
        <v>703</v>
      </c>
      <c r="H123" s="99" t="s">
        <v>703</v>
      </c>
      <c r="I123" s="99">
        <v>1</v>
      </c>
    </row>
    <row r="124" spans="2:9" x14ac:dyDescent="0.25">
      <c r="B124" s="99" t="s">
        <v>1046</v>
      </c>
      <c r="C124" s="99" t="s">
        <v>538</v>
      </c>
      <c r="D124" s="99" t="s">
        <v>39</v>
      </c>
      <c r="E124" s="99" t="s">
        <v>703</v>
      </c>
      <c r="F124" s="99" t="s">
        <v>703</v>
      </c>
      <c r="G124" s="99" t="s">
        <v>703</v>
      </c>
      <c r="H124" s="99" t="s">
        <v>703</v>
      </c>
      <c r="I124" s="99">
        <v>1</v>
      </c>
    </row>
    <row r="125" spans="2:9" x14ac:dyDescent="0.25">
      <c r="B125" s="99" t="s">
        <v>1046</v>
      </c>
      <c r="C125" s="99" t="s">
        <v>538</v>
      </c>
      <c r="D125" s="99" t="s">
        <v>38</v>
      </c>
      <c r="E125" s="99" t="s">
        <v>703</v>
      </c>
      <c r="F125" s="99" t="s">
        <v>703</v>
      </c>
      <c r="G125" s="99" t="s">
        <v>703</v>
      </c>
      <c r="H125" s="99" t="s">
        <v>703</v>
      </c>
      <c r="I125" s="99">
        <v>1</v>
      </c>
    </row>
    <row r="126" spans="2:9" x14ac:dyDescent="0.25">
      <c r="B126" s="99" t="s">
        <v>1046</v>
      </c>
      <c r="C126" s="99" t="s">
        <v>538</v>
      </c>
      <c r="D126" s="99" t="s">
        <v>588</v>
      </c>
      <c r="E126" s="99" t="s">
        <v>703</v>
      </c>
      <c r="F126" s="99" t="s">
        <v>703</v>
      </c>
      <c r="G126" s="99" t="s">
        <v>703</v>
      </c>
      <c r="H126" s="99" t="s">
        <v>703</v>
      </c>
      <c r="I126" s="99">
        <v>1</v>
      </c>
    </row>
    <row r="127" spans="2:9" x14ac:dyDescent="0.25">
      <c r="B127" s="99" t="s">
        <v>1046</v>
      </c>
      <c r="C127" s="99" t="s">
        <v>538</v>
      </c>
      <c r="D127" s="99" t="s">
        <v>1276</v>
      </c>
      <c r="E127" s="99" t="s">
        <v>703</v>
      </c>
      <c r="F127" s="99" t="s">
        <v>703</v>
      </c>
      <c r="G127" s="99" t="s">
        <v>703</v>
      </c>
      <c r="H127" s="99" t="s">
        <v>703</v>
      </c>
      <c r="I127" s="99">
        <v>1</v>
      </c>
    </row>
    <row r="128" spans="2:9" x14ac:dyDescent="0.25">
      <c r="B128" s="99" t="s">
        <v>1046</v>
      </c>
      <c r="C128" s="99" t="s">
        <v>538</v>
      </c>
      <c r="D128" s="99" t="s">
        <v>40</v>
      </c>
      <c r="E128" s="99" t="s">
        <v>703</v>
      </c>
      <c r="F128" s="99" t="s">
        <v>703</v>
      </c>
      <c r="G128" s="99" t="s">
        <v>703</v>
      </c>
      <c r="H128" s="99" t="s">
        <v>703</v>
      </c>
      <c r="I128" s="99">
        <v>1</v>
      </c>
    </row>
    <row r="129" spans="2:9" x14ac:dyDescent="0.25">
      <c r="B129" s="99" t="s">
        <v>1046</v>
      </c>
      <c r="C129" s="99" t="s">
        <v>171</v>
      </c>
      <c r="D129" s="99" t="s">
        <v>42</v>
      </c>
      <c r="E129" s="99" t="s">
        <v>703</v>
      </c>
      <c r="F129" s="99" t="s">
        <v>703</v>
      </c>
      <c r="G129" s="99" t="s">
        <v>703</v>
      </c>
      <c r="H129" s="99" t="s">
        <v>703</v>
      </c>
      <c r="I129" s="99">
        <v>1</v>
      </c>
    </row>
    <row r="130" spans="2:9" x14ac:dyDescent="0.25">
      <c r="B130" s="99" t="s">
        <v>1046</v>
      </c>
      <c r="C130" s="99" t="s">
        <v>171</v>
      </c>
      <c r="D130" s="99" t="s">
        <v>39</v>
      </c>
      <c r="E130" s="99" t="s">
        <v>703</v>
      </c>
      <c r="F130" s="99" t="s">
        <v>703</v>
      </c>
      <c r="G130" s="99" t="s">
        <v>703</v>
      </c>
      <c r="H130" s="99" t="s">
        <v>703</v>
      </c>
      <c r="I130" s="99">
        <v>1</v>
      </c>
    </row>
    <row r="131" spans="2:9" x14ac:dyDescent="0.25">
      <c r="B131" s="99" t="s">
        <v>1046</v>
      </c>
      <c r="C131" s="99" t="s">
        <v>171</v>
      </c>
      <c r="D131" s="99" t="s">
        <v>38</v>
      </c>
      <c r="E131" s="99" t="s">
        <v>703</v>
      </c>
      <c r="F131" s="99" t="s">
        <v>703</v>
      </c>
      <c r="G131" s="99" t="s">
        <v>703</v>
      </c>
      <c r="H131" s="99" t="s">
        <v>703</v>
      </c>
      <c r="I131" s="99">
        <v>1</v>
      </c>
    </row>
    <row r="132" spans="2:9" x14ac:dyDescent="0.25">
      <c r="B132" s="99" t="s">
        <v>1046</v>
      </c>
      <c r="C132" s="99" t="s">
        <v>171</v>
      </c>
      <c r="D132" s="99" t="s">
        <v>588</v>
      </c>
      <c r="E132" s="99" t="s">
        <v>703</v>
      </c>
      <c r="F132" s="99" t="s">
        <v>703</v>
      </c>
      <c r="G132" s="99" t="s">
        <v>703</v>
      </c>
      <c r="H132" s="99" t="s">
        <v>703</v>
      </c>
      <c r="I132" s="99">
        <v>1</v>
      </c>
    </row>
    <row r="133" spans="2:9" x14ac:dyDescent="0.25">
      <c r="B133" s="99" t="s">
        <v>1046</v>
      </c>
      <c r="C133" s="99" t="s">
        <v>171</v>
      </c>
      <c r="D133" s="99" t="s">
        <v>591</v>
      </c>
      <c r="E133" s="99" t="s">
        <v>703</v>
      </c>
      <c r="F133" s="99" t="s">
        <v>703</v>
      </c>
      <c r="G133" s="99" t="s">
        <v>703</v>
      </c>
      <c r="H133" s="99" t="s">
        <v>703</v>
      </c>
      <c r="I133" s="99">
        <v>1</v>
      </c>
    </row>
    <row r="134" spans="2:9" x14ac:dyDescent="0.25">
      <c r="B134" s="99" t="s">
        <v>1046</v>
      </c>
      <c r="C134" s="99" t="s">
        <v>171</v>
      </c>
      <c r="D134" s="99" t="s">
        <v>40</v>
      </c>
      <c r="E134" s="99" t="s">
        <v>703</v>
      </c>
      <c r="F134" s="99" t="s">
        <v>703</v>
      </c>
      <c r="G134" s="99" t="s">
        <v>703</v>
      </c>
      <c r="H134" s="99" t="s">
        <v>703</v>
      </c>
      <c r="I134" s="99">
        <v>1</v>
      </c>
    </row>
    <row r="135" spans="2:9" x14ac:dyDescent="0.25">
      <c r="B135" s="99" t="s">
        <v>1046</v>
      </c>
      <c r="C135" s="99" t="s">
        <v>1239</v>
      </c>
      <c r="D135" s="99" t="s">
        <v>40</v>
      </c>
      <c r="E135" s="99" t="s">
        <v>703</v>
      </c>
      <c r="F135" s="99" t="s">
        <v>703</v>
      </c>
      <c r="G135" s="99" t="s">
        <v>703</v>
      </c>
      <c r="H135" s="99" t="s">
        <v>703</v>
      </c>
      <c r="I135" s="99">
        <v>1</v>
      </c>
    </row>
    <row r="136" spans="2:9" x14ac:dyDescent="0.25">
      <c r="B136" s="99" t="s">
        <v>1046</v>
      </c>
      <c r="C136" s="99" t="s">
        <v>1237</v>
      </c>
      <c r="D136" s="99" t="s">
        <v>40</v>
      </c>
      <c r="E136" s="99" t="s">
        <v>703</v>
      </c>
      <c r="F136" s="99" t="s">
        <v>703</v>
      </c>
      <c r="G136" s="99" t="s">
        <v>703</v>
      </c>
      <c r="H136" s="99" t="s">
        <v>703</v>
      </c>
      <c r="I136" s="99">
        <v>1</v>
      </c>
    </row>
    <row r="137" spans="2:9" x14ac:dyDescent="0.25">
      <c r="B137" s="99" t="s">
        <v>1046</v>
      </c>
      <c r="C137" s="99" t="s">
        <v>1235</v>
      </c>
      <c r="D137" s="99" t="s">
        <v>1287</v>
      </c>
      <c r="E137" s="99" t="s">
        <v>703</v>
      </c>
      <c r="F137" s="99" t="s">
        <v>703</v>
      </c>
      <c r="G137" s="99" t="s">
        <v>703</v>
      </c>
      <c r="H137" s="99" t="s">
        <v>703</v>
      </c>
      <c r="I137" s="99">
        <v>1</v>
      </c>
    </row>
    <row r="138" spans="2:9" x14ac:dyDescent="0.25">
      <c r="B138" s="99" t="s">
        <v>1046</v>
      </c>
      <c r="C138" s="99" t="s">
        <v>174</v>
      </c>
      <c r="D138" s="99" t="s">
        <v>39</v>
      </c>
      <c r="E138" s="99" t="s">
        <v>703</v>
      </c>
      <c r="F138" s="99" t="s">
        <v>703</v>
      </c>
      <c r="G138" s="99" t="s">
        <v>703</v>
      </c>
      <c r="H138" s="99" t="s">
        <v>703</v>
      </c>
      <c r="I138" s="99">
        <v>1</v>
      </c>
    </row>
    <row r="139" spans="2:9" x14ac:dyDescent="0.25">
      <c r="B139" s="99" t="s">
        <v>1046</v>
      </c>
      <c r="C139" s="99" t="s">
        <v>174</v>
      </c>
      <c r="D139" s="99" t="s">
        <v>38</v>
      </c>
      <c r="E139" s="99" t="s">
        <v>703</v>
      </c>
      <c r="F139" s="99" t="s">
        <v>703</v>
      </c>
      <c r="G139" s="99" t="s">
        <v>703</v>
      </c>
      <c r="H139" s="99" t="s">
        <v>703</v>
      </c>
      <c r="I139" s="99">
        <v>1</v>
      </c>
    </row>
    <row r="140" spans="2:9" x14ac:dyDescent="0.25">
      <c r="B140" s="99" t="s">
        <v>1046</v>
      </c>
      <c r="C140" s="99" t="s">
        <v>174</v>
      </c>
      <c r="D140" s="99" t="s">
        <v>588</v>
      </c>
      <c r="E140" s="99" t="s">
        <v>703</v>
      </c>
      <c r="F140" s="99" t="s">
        <v>703</v>
      </c>
      <c r="G140" s="99" t="s">
        <v>703</v>
      </c>
      <c r="H140" s="99" t="s">
        <v>703</v>
      </c>
      <c r="I140" s="99">
        <v>1</v>
      </c>
    </row>
    <row r="141" spans="2:9" x14ac:dyDescent="0.25">
      <c r="B141" s="99" t="s">
        <v>1046</v>
      </c>
      <c r="C141" s="99" t="s">
        <v>174</v>
      </c>
      <c r="D141" s="99" t="s">
        <v>1276</v>
      </c>
      <c r="E141" s="99" t="s">
        <v>703</v>
      </c>
      <c r="F141" s="99" t="s">
        <v>703</v>
      </c>
      <c r="G141" s="99" t="s">
        <v>703</v>
      </c>
      <c r="H141" s="99" t="s">
        <v>703</v>
      </c>
      <c r="I141" s="99">
        <v>1</v>
      </c>
    </row>
    <row r="142" spans="2:9" x14ac:dyDescent="0.25">
      <c r="B142" s="99" t="s">
        <v>1046</v>
      </c>
      <c r="C142" s="99" t="s">
        <v>174</v>
      </c>
      <c r="D142" s="99" t="s">
        <v>40</v>
      </c>
      <c r="E142" s="99" t="s">
        <v>703</v>
      </c>
      <c r="F142" s="99" t="s">
        <v>703</v>
      </c>
      <c r="G142" s="99" t="s">
        <v>703</v>
      </c>
      <c r="H142" s="99" t="s">
        <v>703</v>
      </c>
      <c r="I142" s="99">
        <v>1</v>
      </c>
    </row>
    <row r="143" spans="2:9" x14ac:dyDescent="0.25">
      <c r="B143" s="99" t="s">
        <v>1046</v>
      </c>
      <c r="C143" s="99" t="s">
        <v>1232</v>
      </c>
      <c r="D143" s="99" t="s">
        <v>40</v>
      </c>
      <c r="E143" s="99" t="s">
        <v>703</v>
      </c>
      <c r="F143" s="99" t="s">
        <v>703</v>
      </c>
      <c r="G143" s="99" t="s">
        <v>703</v>
      </c>
      <c r="H143" s="99" t="s">
        <v>703</v>
      </c>
      <c r="I143" s="99">
        <v>1</v>
      </c>
    </row>
    <row r="144" spans="2:9" x14ac:dyDescent="0.25">
      <c r="B144" s="99" t="s">
        <v>1046</v>
      </c>
      <c r="C144" s="99" t="s">
        <v>1230</v>
      </c>
      <c r="D144" s="99" t="s">
        <v>40</v>
      </c>
      <c r="E144" s="99" t="s">
        <v>703</v>
      </c>
      <c r="F144" s="99" t="s">
        <v>703</v>
      </c>
      <c r="G144" s="99" t="s">
        <v>703</v>
      </c>
      <c r="H144" s="99" t="s">
        <v>703</v>
      </c>
      <c r="I144" s="99">
        <v>1</v>
      </c>
    </row>
    <row r="145" spans="2:9" x14ac:dyDescent="0.25">
      <c r="B145" s="99" t="s">
        <v>1046</v>
      </c>
      <c r="C145" s="99" t="s">
        <v>539</v>
      </c>
      <c r="D145" s="99" t="s">
        <v>39</v>
      </c>
      <c r="E145" s="99" t="s">
        <v>703</v>
      </c>
      <c r="F145" s="99" t="s">
        <v>703</v>
      </c>
      <c r="G145" s="99" t="s">
        <v>703</v>
      </c>
      <c r="H145" s="99" t="s">
        <v>703</v>
      </c>
      <c r="I145" s="99">
        <v>1</v>
      </c>
    </row>
    <row r="146" spans="2:9" x14ac:dyDescent="0.25">
      <c r="B146" s="99" t="s">
        <v>1046</v>
      </c>
      <c r="C146" s="99" t="s">
        <v>539</v>
      </c>
      <c r="D146" s="99" t="s">
        <v>38</v>
      </c>
      <c r="E146" s="99" t="s">
        <v>703</v>
      </c>
      <c r="F146" s="99" t="s">
        <v>703</v>
      </c>
      <c r="G146" s="99" t="s">
        <v>703</v>
      </c>
      <c r="H146" s="99" t="s">
        <v>703</v>
      </c>
      <c r="I146" s="99">
        <v>1</v>
      </c>
    </row>
    <row r="147" spans="2:9" x14ac:dyDescent="0.25">
      <c r="B147" s="99" t="s">
        <v>1046</v>
      </c>
      <c r="C147" s="99" t="s">
        <v>539</v>
      </c>
      <c r="D147" s="99" t="s">
        <v>588</v>
      </c>
      <c r="E147" s="99" t="s">
        <v>703</v>
      </c>
      <c r="F147" s="99" t="s">
        <v>703</v>
      </c>
      <c r="G147" s="99" t="s">
        <v>703</v>
      </c>
      <c r="H147" s="99" t="s">
        <v>703</v>
      </c>
      <c r="I147" s="99">
        <v>1</v>
      </c>
    </row>
    <row r="148" spans="2:9" x14ac:dyDescent="0.25">
      <c r="B148" s="99" t="s">
        <v>1046</v>
      </c>
      <c r="C148" s="99" t="s">
        <v>539</v>
      </c>
      <c r="D148" s="99" t="s">
        <v>1276</v>
      </c>
      <c r="E148" s="99" t="s">
        <v>703</v>
      </c>
      <c r="F148" s="99" t="s">
        <v>703</v>
      </c>
      <c r="G148" s="99" t="s">
        <v>703</v>
      </c>
      <c r="H148" s="99" t="s">
        <v>703</v>
      </c>
      <c r="I148" s="99">
        <v>1</v>
      </c>
    </row>
    <row r="149" spans="2:9" x14ac:dyDescent="0.25">
      <c r="B149" s="99" t="s">
        <v>1046</v>
      </c>
      <c r="C149" s="99" t="s">
        <v>539</v>
      </c>
      <c r="D149" s="99" t="s">
        <v>40</v>
      </c>
      <c r="E149" s="99" t="s">
        <v>703</v>
      </c>
      <c r="F149" s="99" t="s">
        <v>703</v>
      </c>
      <c r="G149" s="99" t="s">
        <v>703</v>
      </c>
      <c r="H149" s="99" t="s">
        <v>703</v>
      </c>
      <c r="I149" s="99">
        <v>1</v>
      </c>
    </row>
    <row r="150" spans="2:9" x14ac:dyDescent="0.25">
      <c r="B150" s="99" t="s">
        <v>1046</v>
      </c>
      <c r="C150" s="99" t="s">
        <v>540</v>
      </c>
      <c r="D150" s="99" t="s">
        <v>38</v>
      </c>
      <c r="E150" s="99" t="s">
        <v>703</v>
      </c>
      <c r="F150" s="99" t="s">
        <v>703</v>
      </c>
      <c r="G150" s="99" t="s">
        <v>703</v>
      </c>
      <c r="H150" s="99" t="s">
        <v>703</v>
      </c>
      <c r="I150" s="99">
        <v>1</v>
      </c>
    </row>
    <row r="151" spans="2:9" x14ac:dyDescent="0.25">
      <c r="B151" s="99" t="s">
        <v>1046</v>
      </c>
      <c r="C151" s="99" t="s">
        <v>540</v>
      </c>
      <c r="D151" s="99" t="s">
        <v>588</v>
      </c>
      <c r="E151" s="99" t="s">
        <v>703</v>
      </c>
      <c r="F151" s="99" t="s">
        <v>703</v>
      </c>
      <c r="G151" s="99" t="s">
        <v>703</v>
      </c>
      <c r="H151" s="99" t="s">
        <v>703</v>
      </c>
      <c r="I151" s="99">
        <v>1</v>
      </c>
    </row>
    <row r="152" spans="2:9" x14ac:dyDescent="0.25">
      <c r="B152" s="99" t="s">
        <v>1046</v>
      </c>
      <c r="C152" s="99" t="s">
        <v>540</v>
      </c>
      <c r="D152" s="99" t="s">
        <v>1276</v>
      </c>
      <c r="E152" s="99" t="s">
        <v>703</v>
      </c>
      <c r="F152" s="99" t="s">
        <v>703</v>
      </c>
      <c r="G152" s="99" t="s">
        <v>703</v>
      </c>
      <c r="H152" s="99" t="s">
        <v>703</v>
      </c>
      <c r="I152" s="99">
        <v>1</v>
      </c>
    </row>
    <row r="153" spans="2:9" x14ac:dyDescent="0.25">
      <c r="B153" s="99" t="s">
        <v>1046</v>
      </c>
      <c r="C153" s="99" t="s">
        <v>540</v>
      </c>
      <c r="D153" s="99" t="s">
        <v>40</v>
      </c>
      <c r="E153" s="99" t="s">
        <v>703</v>
      </c>
      <c r="F153" s="99" t="s">
        <v>703</v>
      </c>
      <c r="G153" s="99" t="s">
        <v>703</v>
      </c>
      <c r="H153" s="99" t="s">
        <v>703</v>
      </c>
      <c r="I153" s="99">
        <v>1</v>
      </c>
    </row>
    <row r="154" spans="2:9" x14ac:dyDescent="0.25">
      <c r="B154" s="99" t="s">
        <v>1046</v>
      </c>
      <c r="C154" s="99" t="s">
        <v>178</v>
      </c>
      <c r="D154" s="99" t="s">
        <v>42</v>
      </c>
      <c r="E154" s="99" t="s">
        <v>703</v>
      </c>
      <c r="F154" s="99" t="s">
        <v>703</v>
      </c>
      <c r="G154" s="99" t="s">
        <v>703</v>
      </c>
      <c r="H154" s="99" t="s">
        <v>703</v>
      </c>
      <c r="I154" s="99">
        <v>1</v>
      </c>
    </row>
    <row r="155" spans="2:9" x14ac:dyDescent="0.25">
      <c r="B155" s="99" t="s">
        <v>1046</v>
      </c>
      <c r="C155" s="99" t="s">
        <v>178</v>
      </c>
      <c r="D155" s="99" t="s">
        <v>39</v>
      </c>
      <c r="E155" s="99" t="s">
        <v>703</v>
      </c>
      <c r="F155" s="99" t="s">
        <v>703</v>
      </c>
      <c r="G155" s="99" t="s">
        <v>703</v>
      </c>
      <c r="H155" s="99" t="s">
        <v>703</v>
      </c>
      <c r="I155" s="99">
        <v>1</v>
      </c>
    </row>
    <row r="156" spans="2:9" x14ac:dyDescent="0.25">
      <c r="B156" s="99" t="s">
        <v>1046</v>
      </c>
      <c r="C156" s="99" t="s">
        <v>178</v>
      </c>
      <c r="D156" s="99" t="s">
        <v>38</v>
      </c>
      <c r="E156" s="99" t="s">
        <v>703</v>
      </c>
      <c r="F156" s="99" t="s">
        <v>703</v>
      </c>
      <c r="G156" s="99" t="s">
        <v>703</v>
      </c>
      <c r="H156" s="99" t="s">
        <v>703</v>
      </c>
      <c r="I156" s="99">
        <v>1</v>
      </c>
    </row>
    <row r="157" spans="2:9" x14ac:dyDescent="0.25">
      <c r="B157" s="99" t="s">
        <v>1046</v>
      </c>
      <c r="C157" s="99" t="s">
        <v>178</v>
      </c>
      <c r="D157" s="99" t="s">
        <v>588</v>
      </c>
      <c r="E157" s="99" t="s">
        <v>703</v>
      </c>
      <c r="F157" s="99" t="s">
        <v>703</v>
      </c>
      <c r="G157" s="99" t="s">
        <v>703</v>
      </c>
      <c r="H157" s="99" t="s">
        <v>703</v>
      </c>
      <c r="I157" s="99">
        <v>1</v>
      </c>
    </row>
    <row r="158" spans="2:9" x14ac:dyDescent="0.25">
      <c r="B158" s="99" t="s">
        <v>1046</v>
      </c>
      <c r="C158" s="99" t="s">
        <v>178</v>
      </c>
      <c r="D158" s="99" t="s">
        <v>1276</v>
      </c>
      <c r="E158" s="99" t="s">
        <v>703</v>
      </c>
      <c r="F158" s="99" t="s">
        <v>703</v>
      </c>
      <c r="G158" s="99" t="s">
        <v>703</v>
      </c>
      <c r="H158" s="99" t="s">
        <v>703</v>
      </c>
      <c r="I158" s="99">
        <v>1</v>
      </c>
    </row>
    <row r="159" spans="2:9" x14ac:dyDescent="0.25">
      <c r="B159" s="99" t="s">
        <v>1046</v>
      </c>
      <c r="C159" s="99" t="s">
        <v>178</v>
      </c>
      <c r="D159" s="99" t="s">
        <v>40</v>
      </c>
      <c r="E159" s="99" t="s">
        <v>703</v>
      </c>
      <c r="F159" s="99" t="s">
        <v>703</v>
      </c>
      <c r="G159" s="99" t="s">
        <v>703</v>
      </c>
      <c r="H159" s="99" t="s">
        <v>703</v>
      </c>
      <c r="I159" s="99">
        <v>1</v>
      </c>
    </row>
    <row r="160" spans="2:9" x14ac:dyDescent="0.25">
      <c r="B160" s="99" t="s">
        <v>1046</v>
      </c>
      <c r="C160" s="99" t="s">
        <v>1225</v>
      </c>
      <c r="D160" s="99" t="s">
        <v>40</v>
      </c>
      <c r="E160" s="99" t="s">
        <v>703</v>
      </c>
      <c r="F160" s="99" t="s">
        <v>703</v>
      </c>
      <c r="G160" s="99" t="s">
        <v>703</v>
      </c>
      <c r="H160" s="99" t="s">
        <v>703</v>
      </c>
      <c r="I160" s="99">
        <v>1</v>
      </c>
    </row>
    <row r="161" spans="2:9" x14ac:dyDescent="0.25">
      <c r="B161" s="99" t="s">
        <v>1046</v>
      </c>
      <c r="C161" s="99" t="s">
        <v>1223</v>
      </c>
      <c r="D161" s="99" t="s">
        <v>40</v>
      </c>
      <c r="E161" s="99" t="s">
        <v>703</v>
      </c>
      <c r="F161" s="99" t="s">
        <v>703</v>
      </c>
      <c r="G161" s="99" t="s">
        <v>703</v>
      </c>
      <c r="H161" s="99" t="s">
        <v>703</v>
      </c>
      <c r="I161" s="99">
        <v>1</v>
      </c>
    </row>
    <row r="162" spans="2:9" x14ac:dyDescent="0.25">
      <c r="B162" s="99" t="s">
        <v>1046</v>
      </c>
      <c r="C162" s="99" t="s">
        <v>180</v>
      </c>
      <c r="D162" s="99" t="s">
        <v>39</v>
      </c>
      <c r="E162" s="99" t="s">
        <v>703</v>
      </c>
      <c r="F162" s="99" t="s">
        <v>703</v>
      </c>
      <c r="G162" s="99" t="s">
        <v>703</v>
      </c>
      <c r="H162" s="99" t="s">
        <v>703</v>
      </c>
      <c r="I162" s="99">
        <v>1</v>
      </c>
    </row>
    <row r="163" spans="2:9" x14ac:dyDescent="0.25">
      <c r="B163" s="99" t="s">
        <v>1046</v>
      </c>
      <c r="C163" s="99" t="s">
        <v>180</v>
      </c>
      <c r="D163" s="99" t="s">
        <v>38</v>
      </c>
      <c r="E163" s="99" t="s">
        <v>703</v>
      </c>
      <c r="F163" s="99" t="s">
        <v>703</v>
      </c>
      <c r="G163" s="99" t="s">
        <v>703</v>
      </c>
      <c r="H163" s="99" t="s">
        <v>703</v>
      </c>
      <c r="I163" s="99">
        <v>1</v>
      </c>
    </row>
    <row r="164" spans="2:9" x14ac:dyDescent="0.25">
      <c r="B164" s="99" t="s">
        <v>1046</v>
      </c>
      <c r="C164" s="99" t="s">
        <v>180</v>
      </c>
      <c r="D164" s="99" t="s">
        <v>588</v>
      </c>
      <c r="E164" s="99" t="s">
        <v>703</v>
      </c>
      <c r="F164" s="99" t="s">
        <v>703</v>
      </c>
      <c r="G164" s="99" t="s">
        <v>703</v>
      </c>
      <c r="H164" s="99" t="s">
        <v>703</v>
      </c>
      <c r="I164" s="99">
        <v>1</v>
      </c>
    </row>
    <row r="165" spans="2:9" x14ac:dyDescent="0.25">
      <c r="B165" s="99" t="s">
        <v>1046</v>
      </c>
      <c r="C165" s="99" t="s">
        <v>180</v>
      </c>
      <c r="D165" s="99" t="s">
        <v>1276</v>
      </c>
      <c r="E165" s="99" t="s">
        <v>703</v>
      </c>
      <c r="F165" s="99" t="s">
        <v>703</v>
      </c>
      <c r="G165" s="99" t="s">
        <v>703</v>
      </c>
      <c r="H165" s="99" t="s">
        <v>703</v>
      </c>
      <c r="I165" s="99">
        <v>1</v>
      </c>
    </row>
    <row r="166" spans="2:9" x14ac:dyDescent="0.25">
      <c r="B166" s="99" t="s">
        <v>1046</v>
      </c>
      <c r="C166" s="99" t="s">
        <v>180</v>
      </c>
      <c r="D166" s="99" t="s">
        <v>40</v>
      </c>
      <c r="E166" s="99" t="s">
        <v>703</v>
      </c>
      <c r="F166" s="99" t="s">
        <v>703</v>
      </c>
      <c r="G166" s="99" t="s">
        <v>703</v>
      </c>
      <c r="H166" s="99" t="s">
        <v>703</v>
      </c>
      <c r="I166" s="99">
        <v>1</v>
      </c>
    </row>
    <row r="167" spans="2:9" x14ac:dyDescent="0.25">
      <c r="B167" s="99" t="s">
        <v>1046</v>
      </c>
      <c r="C167" s="99" t="s">
        <v>1220</v>
      </c>
      <c r="D167" s="99" t="s">
        <v>40</v>
      </c>
      <c r="E167" s="99" t="s">
        <v>703</v>
      </c>
      <c r="F167" s="99" t="s">
        <v>703</v>
      </c>
      <c r="G167" s="99" t="s">
        <v>703</v>
      </c>
      <c r="H167" s="99" t="s">
        <v>703</v>
      </c>
      <c r="I167" s="99">
        <v>1</v>
      </c>
    </row>
    <row r="168" spans="2:9" x14ac:dyDescent="0.25">
      <c r="B168" s="99" t="s">
        <v>1046</v>
      </c>
      <c r="C168" s="99" t="s">
        <v>1218</v>
      </c>
      <c r="D168" s="99" t="s">
        <v>40</v>
      </c>
      <c r="E168" s="99" t="s">
        <v>703</v>
      </c>
      <c r="F168" s="99" t="s">
        <v>703</v>
      </c>
      <c r="G168" s="99" t="s">
        <v>703</v>
      </c>
      <c r="H168" s="99" t="s">
        <v>703</v>
      </c>
      <c r="I168" s="99">
        <v>1</v>
      </c>
    </row>
    <row r="169" spans="2:9" x14ac:dyDescent="0.25">
      <c r="B169" s="99" t="s">
        <v>1046</v>
      </c>
      <c r="C169" s="99" t="s">
        <v>541</v>
      </c>
      <c r="D169" s="99" t="s">
        <v>39</v>
      </c>
      <c r="E169" s="99" t="s">
        <v>703</v>
      </c>
      <c r="F169" s="99" t="s">
        <v>703</v>
      </c>
      <c r="G169" s="99" t="s">
        <v>703</v>
      </c>
      <c r="H169" s="99" t="s">
        <v>703</v>
      </c>
      <c r="I169" s="99">
        <v>1</v>
      </c>
    </row>
    <row r="170" spans="2:9" x14ac:dyDescent="0.25">
      <c r="B170" s="99" t="s">
        <v>1046</v>
      </c>
      <c r="C170" s="99" t="s">
        <v>541</v>
      </c>
      <c r="D170" s="99" t="s">
        <v>38</v>
      </c>
      <c r="E170" s="99" t="s">
        <v>703</v>
      </c>
      <c r="F170" s="99" t="s">
        <v>703</v>
      </c>
      <c r="G170" s="99" t="s">
        <v>703</v>
      </c>
      <c r="H170" s="99" t="s">
        <v>703</v>
      </c>
      <c r="I170" s="99">
        <v>1</v>
      </c>
    </row>
    <row r="171" spans="2:9" x14ac:dyDescent="0.25">
      <c r="B171" s="99" t="s">
        <v>1046</v>
      </c>
      <c r="C171" s="99" t="s">
        <v>541</v>
      </c>
      <c r="D171" s="99" t="s">
        <v>588</v>
      </c>
      <c r="E171" s="99" t="s">
        <v>703</v>
      </c>
      <c r="F171" s="99" t="s">
        <v>703</v>
      </c>
      <c r="G171" s="99" t="s">
        <v>703</v>
      </c>
      <c r="H171" s="99" t="s">
        <v>703</v>
      </c>
      <c r="I171" s="99">
        <v>1</v>
      </c>
    </row>
    <row r="172" spans="2:9" x14ac:dyDescent="0.25">
      <c r="B172" s="99" t="s">
        <v>1046</v>
      </c>
      <c r="C172" s="99" t="s">
        <v>541</v>
      </c>
      <c r="D172" s="99" t="s">
        <v>1276</v>
      </c>
      <c r="E172" s="99" t="s">
        <v>703</v>
      </c>
      <c r="F172" s="99" t="s">
        <v>703</v>
      </c>
      <c r="G172" s="99" t="s">
        <v>703</v>
      </c>
      <c r="H172" s="99" t="s">
        <v>703</v>
      </c>
      <c r="I172" s="99">
        <v>1</v>
      </c>
    </row>
    <row r="173" spans="2:9" x14ac:dyDescent="0.25">
      <c r="B173" s="99" t="s">
        <v>1046</v>
      </c>
      <c r="C173" s="99" t="s">
        <v>541</v>
      </c>
      <c r="D173" s="99" t="s">
        <v>40</v>
      </c>
      <c r="E173" s="99" t="s">
        <v>703</v>
      </c>
      <c r="F173" s="99" t="s">
        <v>703</v>
      </c>
      <c r="G173" s="99" t="s">
        <v>703</v>
      </c>
      <c r="H173" s="99" t="s">
        <v>703</v>
      </c>
      <c r="I173" s="99">
        <v>1</v>
      </c>
    </row>
    <row r="174" spans="2:9" x14ac:dyDescent="0.25">
      <c r="B174" s="99" t="s">
        <v>1046</v>
      </c>
      <c r="C174" s="99" t="s">
        <v>1215</v>
      </c>
      <c r="D174" s="99" t="s">
        <v>1402</v>
      </c>
      <c r="E174" s="99" t="s">
        <v>703</v>
      </c>
      <c r="F174" s="99" t="s">
        <v>703</v>
      </c>
      <c r="G174" s="99" t="s">
        <v>703</v>
      </c>
      <c r="H174" s="99" t="s">
        <v>703</v>
      </c>
      <c r="I174" s="99">
        <v>1</v>
      </c>
    </row>
    <row r="175" spans="2:9" x14ac:dyDescent="0.25">
      <c r="B175" s="99" t="s">
        <v>1046</v>
      </c>
      <c r="C175" s="99" t="s">
        <v>1215</v>
      </c>
      <c r="D175" s="99" t="s">
        <v>1401</v>
      </c>
      <c r="E175" s="99" t="s">
        <v>703</v>
      </c>
      <c r="F175" s="99" t="s">
        <v>703</v>
      </c>
      <c r="G175" s="99" t="s">
        <v>703</v>
      </c>
      <c r="H175" s="99" t="s">
        <v>703</v>
      </c>
      <c r="I175" s="99">
        <v>1</v>
      </c>
    </row>
    <row r="176" spans="2:9" x14ac:dyDescent="0.25">
      <c r="B176" s="99" t="s">
        <v>1046</v>
      </c>
      <c r="C176" s="99" t="s">
        <v>1213</v>
      </c>
      <c r="D176" s="99" t="s">
        <v>1264</v>
      </c>
      <c r="E176" s="99" t="s">
        <v>703</v>
      </c>
      <c r="F176" s="99" t="s">
        <v>703</v>
      </c>
      <c r="G176" s="99" t="s">
        <v>703</v>
      </c>
      <c r="H176" s="99" t="s">
        <v>703</v>
      </c>
      <c r="I176" s="99">
        <v>1</v>
      </c>
    </row>
    <row r="177" spans="2:9" x14ac:dyDescent="0.25">
      <c r="B177" s="99" t="s">
        <v>1046</v>
      </c>
      <c r="C177" s="99" t="s">
        <v>1211</v>
      </c>
      <c r="D177" s="502" t="s">
        <v>1400</v>
      </c>
      <c r="E177" s="99" t="s">
        <v>703</v>
      </c>
      <c r="F177" s="99" t="s">
        <v>703</v>
      </c>
      <c r="G177" s="99" t="s">
        <v>703</v>
      </c>
      <c r="H177" s="99" t="s">
        <v>703</v>
      </c>
      <c r="I177" s="99">
        <v>1</v>
      </c>
    </row>
    <row r="178" spans="2:9" x14ac:dyDescent="0.25">
      <c r="B178" s="99" t="s">
        <v>1046</v>
      </c>
      <c r="C178" s="99" t="s">
        <v>1209</v>
      </c>
      <c r="D178" s="99" t="s">
        <v>1399</v>
      </c>
      <c r="E178" s="99" t="s">
        <v>703</v>
      </c>
      <c r="F178" s="99" t="s">
        <v>703</v>
      </c>
      <c r="G178" s="99" t="s">
        <v>703</v>
      </c>
      <c r="H178" s="99" t="s">
        <v>703</v>
      </c>
      <c r="I178" s="99">
        <v>1</v>
      </c>
    </row>
    <row r="179" spans="2:9" x14ac:dyDescent="0.25">
      <c r="B179" s="99" t="s">
        <v>1046</v>
      </c>
      <c r="C179" s="99" t="s">
        <v>1207</v>
      </c>
      <c r="D179" s="99" t="s">
        <v>1254</v>
      </c>
      <c r="E179" s="99" t="s">
        <v>703</v>
      </c>
      <c r="F179" s="99" t="s">
        <v>703</v>
      </c>
      <c r="G179" s="99" t="s">
        <v>703</v>
      </c>
      <c r="H179" s="99" t="s">
        <v>703</v>
      </c>
      <c r="I179" s="99">
        <v>1</v>
      </c>
    </row>
    <row r="180" spans="2:9" x14ac:dyDescent="0.25">
      <c r="B180" s="99" t="s">
        <v>1046</v>
      </c>
      <c r="C180" s="99" t="s">
        <v>1205</v>
      </c>
      <c r="D180" s="99" t="s">
        <v>1398</v>
      </c>
      <c r="E180" s="99" t="s">
        <v>703</v>
      </c>
      <c r="F180" s="99" t="s">
        <v>703</v>
      </c>
      <c r="G180" s="99" t="s">
        <v>703</v>
      </c>
      <c r="H180" s="99" t="s">
        <v>703</v>
      </c>
      <c r="I180" s="99">
        <v>1</v>
      </c>
    </row>
    <row r="181" spans="2:9" x14ac:dyDescent="0.25">
      <c r="B181" s="99" t="s">
        <v>1046</v>
      </c>
      <c r="C181" s="99" t="s">
        <v>1201</v>
      </c>
      <c r="D181" s="99" t="s">
        <v>1397</v>
      </c>
      <c r="E181" s="99" t="s">
        <v>703</v>
      </c>
      <c r="F181" s="99" t="s">
        <v>703</v>
      </c>
      <c r="G181" s="99" t="s">
        <v>703</v>
      </c>
      <c r="H181" s="99" t="s">
        <v>703</v>
      </c>
      <c r="I181" s="99">
        <v>1</v>
      </c>
    </row>
    <row r="182" spans="2:9" x14ac:dyDescent="0.25">
      <c r="B182" s="99" t="s">
        <v>1045</v>
      </c>
      <c r="C182" s="99" t="s">
        <v>169</v>
      </c>
      <c r="D182" s="99" t="s">
        <v>41</v>
      </c>
      <c r="E182" s="99" t="s">
        <v>703</v>
      </c>
      <c r="F182" s="99" t="s">
        <v>703</v>
      </c>
      <c r="G182" s="99" t="s">
        <v>703</v>
      </c>
      <c r="H182" s="99" t="s">
        <v>703</v>
      </c>
      <c r="I182" s="99">
        <v>1</v>
      </c>
    </row>
    <row r="183" spans="2:9" x14ac:dyDescent="0.25">
      <c r="B183" s="99" t="s">
        <v>1045</v>
      </c>
      <c r="C183" s="99" t="s">
        <v>1245</v>
      </c>
      <c r="D183" s="99" t="s">
        <v>41</v>
      </c>
      <c r="E183" s="99" t="s">
        <v>703</v>
      </c>
      <c r="F183" s="99" t="s">
        <v>703</v>
      </c>
      <c r="G183" s="99" t="s">
        <v>703</v>
      </c>
      <c r="H183" s="99" t="s">
        <v>703</v>
      </c>
      <c r="I183" s="99">
        <v>1</v>
      </c>
    </row>
    <row r="184" spans="2:9" x14ac:dyDescent="0.25">
      <c r="B184" s="99" t="s">
        <v>1045</v>
      </c>
      <c r="C184" s="99" t="s">
        <v>1243</v>
      </c>
      <c r="D184" s="99" t="s">
        <v>41</v>
      </c>
      <c r="E184" s="99" t="s">
        <v>703</v>
      </c>
      <c r="F184" s="99" t="s">
        <v>703</v>
      </c>
      <c r="G184" s="99" t="s">
        <v>703</v>
      </c>
      <c r="H184" s="99" t="s">
        <v>703</v>
      </c>
      <c r="I184" s="99">
        <v>1</v>
      </c>
    </row>
    <row r="185" spans="2:9" x14ac:dyDescent="0.25">
      <c r="B185" s="99" t="s">
        <v>1045</v>
      </c>
      <c r="C185" s="99" t="s">
        <v>538</v>
      </c>
      <c r="D185" s="99" t="s">
        <v>41</v>
      </c>
      <c r="E185" s="99" t="s">
        <v>703</v>
      </c>
      <c r="F185" s="99" t="s">
        <v>703</v>
      </c>
      <c r="G185" s="99" t="s">
        <v>703</v>
      </c>
      <c r="H185" s="99" t="s">
        <v>703</v>
      </c>
      <c r="I185" s="99">
        <v>1</v>
      </c>
    </row>
    <row r="186" spans="2:9" x14ac:dyDescent="0.25">
      <c r="B186" s="99" t="s">
        <v>1045</v>
      </c>
      <c r="C186" s="99" t="s">
        <v>171</v>
      </c>
      <c r="D186" s="99" t="s">
        <v>41</v>
      </c>
      <c r="E186" s="99" t="s">
        <v>703</v>
      </c>
      <c r="F186" s="99" t="s">
        <v>703</v>
      </c>
      <c r="G186" s="99" t="s">
        <v>703</v>
      </c>
      <c r="H186" s="99" t="s">
        <v>703</v>
      </c>
      <c r="I186" s="99">
        <v>1</v>
      </c>
    </row>
    <row r="187" spans="2:9" x14ac:dyDescent="0.25">
      <c r="B187" s="99" t="s">
        <v>1045</v>
      </c>
      <c r="C187" s="99" t="s">
        <v>1239</v>
      </c>
      <c r="D187" s="99" t="s">
        <v>41</v>
      </c>
      <c r="E187" s="99" t="s">
        <v>703</v>
      </c>
      <c r="F187" s="99" t="s">
        <v>703</v>
      </c>
      <c r="G187" s="99" t="s">
        <v>703</v>
      </c>
      <c r="H187" s="99" t="s">
        <v>703</v>
      </c>
      <c r="I187" s="99">
        <v>1</v>
      </c>
    </row>
    <row r="188" spans="2:9" x14ac:dyDescent="0.25">
      <c r="B188" s="99" t="s">
        <v>1045</v>
      </c>
      <c r="C188" s="99" t="s">
        <v>1237</v>
      </c>
      <c r="D188" s="99" t="s">
        <v>41</v>
      </c>
      <c r="E188" s="99" t="s">
        <v>703</v>
      </c>
      <c r="F188" s="99" t="s">
        <v>703</v>
      </c>
      <c r="G188" s="99" t="s">
        <v>703</v>
      </c>
      <c r="H188" s="99" t="s">
        <v>703</v>
      </c>
      <c r="I188" s="99">
        <v>1</v>
      </c>
    </row>
    <row r="189" spans="2:9" x14ac:dyDescent="0.25">
      <c r="B189" s="99" t="s">
        <v>1045</v>
      </c>
      <c r="C189" s="99" t="s">
        <v>1235</v>
      </c>
      <c r="D189" s="99" t="s">
        <v>42</v>
      </c>
      <c r="E189" s="99" t="s">
        <v>703</v>
      </c>
      <c r="F189" s="99" t="s">
        <v>703</v>
      </c>
      <c r="G189" s="99" t="s">
        <v>703</v>
      </c>
      <c r="H189" s="99" t="s">
        <v>703</v>
      </c>
      <c r="I189" s="99">
        <v>1</v>
      </c>
    </row>
    <row r="190" spans="2:9" x14ac:dyDescent="0.25">
      <c r="B190" s="99" t="s">
        <v>1045</v>
      </c>
      <c r="C190" s="99" t="s">
        <v>1235</v>
      </c>
      <c r="D190" s="99" t="s">
        <v>1281</v>
      </c>
      <c r="E190" s="99" t="s">
        <v>703</v>
      </c>
      <c r="F190" s="99" t="s">
        <v>703</v>
      </c>
      <c r="G190" s="99" t="s">
        <v>703</v>
      </c>
      <c r="H190" s="99" t="s">
        <v>703</v>
      </c>
      <c r="I190" s="99">
        <v>1</v>
      </c>
    </row>
    <row r="191" spans="2:9" x14ac:dyDescent="0.25">
      <c r="B191" s="99" t="s">
        <v>1045</v>
      </c>
      <c r="C191" s="99" t="s">
        <v>174</v>
      </c>
      <c r="D191" s="99" t="s">
        <v>41</v>
      </c>
      <c r="E191" s="99" t="s">
        <v>703</v>
      </c>
      <c r="F191" s="99" t="s">
        <v>703</v>
      </c>
      <c r="G191" s="99" t="s">
        <v>703</v>
      </c>
      <c r="H191" s="99" t="s">
        <v>703</v>
      </c>
      <c r="I191" s="99">
        <v>1</v>
      </c>
    </row>
    <row r="192" spans="2:9" x14ac:dyDescent="0.25">
      <c r="B192" s="99" t="s">
        <v>1045</v>
      </c>
      <c r="C192" s="99" t="s">
        <v>1232</v>
      </c>
      <c r="D192" s="99" t="s">
        <v>41</v>
      </c>
      <c r="E192" s="99" t="s">
        <v>703</v>
      </c>
      <c r="F192" s="99" t="s">
        <v>703</v>
      </c>
      <c r="G192" s="99" t="s">
        <v>703</v>
      </c>
      <c r="H192" s="99" t="s">
        <v>703</v>
      </c>
      <c r="I192" s="99">
        <v>1</v>
      </c>
    </row>
    <row r="193" spans="2:9" x14ac:dyDescent="0.25">
      <c r="B193" s="99" t="s">
        <v>1045</v>
      </c>
      <c r="C193" s="99" t="s">
        <v>1230</v>
      </c>
      <c r="D193" s="99" t="s">
        <v>41</v>
      </c>
      <c r="E193" s="99" t="s">
        <v>703</v>
      </c>
      <c r="F193" s="99" t="s">
        <v>703</v>
      </c>
      <c r="G193" s="99" t="s">
        <v>703</v>
      </c>
      <c r="H193" s="99" t="s">
        <v>703</v>
      </c>
      <c r="I193" s="99">
        <v>1</v>
      </c>
    </row>
    <row r="194" spans="2:9" x14ac:dyDescent="0.25">
      <c r="B194" s="99" t="s">
        <v>1045</v>
      </c>
      <c r="C194" s="99" t="s">
        <v>539</v>
      </c>
      <c r="D194" s="99" t="s">
        <v>41</v>
      </c>
      <c r="E194" s="99" t="s">
        <v>703</v>
      </c>
      <c r="F194" s="99" t="s">
        <v>703</v>
      </c>
      <c r="G194" s="99" t="s">
        <v>703</v>
      </c>
      <c r="H194" s="99" t="s">
        <v>703</v>
      </c>
      <c r="I194" s="99">
        <v>1</v>
      </c>
    </row>
    <row r="195" spans="2:9" x14ac:dyDescent="0.25">
      <c r="B195" s="99" t="s">
        <v>1045</v>
      </c>
      <c r="C195" s="99" t="s">
        <v>540</v>
      </c>
      <c r="D195" s="99" t="s">
        <v>41</v>
      </c>
      <c r="E195" s="99" t="s">
        <v>703</v>
      </c>
      <c r="F195" s="99" t="s">
        <v>703</v>
      </c>
      <c r="G195" s="99" t="s">
        <v>703</v>
      </c>
      <c r="H195" s="99" t="s">
        <v>703</v>
      </c>
      <c r="I195" s="99">
        <v>1</v>
      </c>
    </row>
    <row r="196" spans="2:9" x14ac:dyDescent="0.25">
      <c r="B196" s="99" t="s">
        <v>1045</v>
      </c>
      <c r="C196" s="99" t="s">
        <v>178</v>
      </c>
      <c r="D196" s="99" t="s">
        <v>41</v>
      </c>
      <c r="E196" s="99" t="s">
        <v>703</v>
      </c>
      <c r="F196" s="99" t="s">
        <v>703</v>
      </c>
      <c r="G196" s="99" t="s">
        <v>703</v>
      </c>
      <c r="H196" s="99" t="s">
        <v>703</v>
      </c>
      <c r="I196" s="99">
        <v>1</v>
      </c>
    </row>
    <row r="197" spans="2:9" x14ac:dyDescent="0.25">
      <c r="B197" s="99" t="s">
        <v>1045</v>
      </c>
      <c r="C197" s="99" t="s">
        <v>1225</v>
      </c>
      <c r="D197" s="99" t="s">
        <v>41</v>
      </c>
      <c r="E197" s="99" t="s">
        <v>703</v>
      </c>
      <c r="F197" s="99" t="s">
        <v>703</v>
      </c>
      <c r="G197" s="99" t="s">
        <v>703</v>
      </c>
      <c r="H197" s="99" t="s">
        <v>703</v>
      </c>
      <c r="I197" s="99">
        <v>1</v>
      </c>
    </row>
    <row r="198" spans="2:9" x14ac:dyDescent="0.25">
      <c r="B198" s="99" t="s">
        <v>1045</v>
      </c>
      <c r="C198" s="99" t="s">
        <v>1223</v>
      </c>
      <c r="D198" s="99" t="s">
        <v>41</v>
      </c>
      <c r="E198" s="99" t="s">
        <v>703</v>
      </c>
      <c r="F198" s="99" t="s">
        <v>703</v>
      </c>
      <c r="G198" s="99" t="s">
        <v>703</v>
      </c>
      <c r="H198" s="99" t="s">
        <v>703</v>
      </c>
      <c r="I198" s="99">
        <v>1</v>
      </c>
    </row>
    <row r="199" spans="2:9" x14ac:dyDescent="0.25">
      <c r="B199" s="99" t="s">
        <v>1045</v>
      </c>
      <c r="C199" s="99" t="s">
        <v>180</v>
      </c>
      <c r="D199" s="99" t="s">
        <v>41</v>
      </c>
      <c r="E199" s="99" t="s">
        <v>703</v>
      </c>
      <c r="F199" s="99" t="s">
        <v>703</v>
      </c>
      <c r="G199" s="99" t="s">
        <v>703</v>
      </c>
      <c r="H199" s="99" t="s">
        <v>703</v>
      </c>
      <c r="I199" s="99">
        <v>1</v>
      </c>
    </row>
    <row r="200" spans="2:9" x14ac:dyDescent="0.25">
      <c r="B200" s="99" t="s">
        <v>1045</v>
      </c>
      <c r="C200" s="99" t="s">
        <v>1220</v>
      </c>
      <c r="D200" s="99" t="s">
        <v>41</v>
      </c>
      <c r="E200" s="99" t="s">
        <v>703</v>
      </c>
      <c r="F200" s="99" t="s">
        <v>703</v>
      </c>
      <c r="G200" s="99" t="s">
        <v>703</v>
      </c>
      <c r="H200" s="99" t="s">
        <v>703</v>
      </c>
      <c r="I200" s="99">
        <v>1</v>
      </c>
    </row>
    <row r="201" spans="2:9" x14ac:dyDescent="0.25">
      <c r="B201" s="99" t="s">
        <v>1045</v>
      </c>
      <c r="C201" s="99" t="s">
        <v>1218</v>
      </c>
      <c r="D201" s="99" t="s">
        <v>41</v>
      </c>
      <c r="E201" s="99" t="s">
        <v>703</v>
      </c>
      <c r="F201" s="99" t="s">
        <v>703</v>
      </c>
      <c r="G201" s="99" t="s">
        <v>703</v>
      </c>
      <c r="H201" s="99" t="s">
        <v>703</v>
      </c>
      <c r="I201" s="99">
        <v>1</v>
      </c>
    </row>
    <row r="202" spans="2:9" x14ac:dyDescent="0.25">
      <c r="B202" s="99" t="s">
        <v>1045</v>
      </c>
      <c r="C202" s="99" t="s">
        <v>541</v>
      </c>
      <c r="D202" s="99" t="s">
        <v>41</v>
      </c>
      <c r="E202" s="99" t="s">
        <v>703</v>
      </c>
      <c r="F202" s="99" t="s">
        <v>703</v>
      </c>
      <c r="G202" s="99" t="s">
        <v>703</v>
      </c>
      <c r="H202" s="99" t="s">
        <v>703</v>
      </c>
      <c r="I202" s="99">
        <v>1</v>
      </c>
    </row>
    <row r="203" spans="2:9" x14ac:dyDescent="0.25">
      <c r="B203" s="99" t="s">
        <v>1045</v>
      </c>
      <c r="C203" s="99" t="s">
        <v>1215</v>
      </c>
      <c r="D203" s="99" t="s">
        <v>1289</v>
      </c>
      <c r="E203" s="99" t="s">
        <v>703</v>
      </c>
      <c r="F203" s="99" t="s">
        <v>703</v>
      </c>
      <c r="G203" s="99" t="s">
        <v>703</v>
      </c>
      <c r="H203" s="99" t="s">
        <v>703</v>
      </c>
      <c r="I203" s="99">
        <v>1</v>
      </c>
    </row>
    <row r="204" spans="2:9" x14ac:dyDescent="0.25">
      <c r="B204" s="99" t="s">
        <v>1045</v>
      </c>
      <c r="C204" s="99" t="s">
        <v>1213</v>
      </c>
      <c r="D204" s="99" t="s">
        <v>1287</v>
      </c>
      <c r="E204" s="99" t="s">
        <v>703</v>
      </c>
      <c r="F204" s="99" t="s">
        <v>703</v>
      </c>
      <c r="G204" s="99" t="s">
        <v>703</v>
      </c>
      <c r="H204" s="99" t="s">
        <v>703</v>
      </c>
      <c r="I204" s="99">
        <v>1</v>
      </c>
    </row>
    <row r="205" spans="2:9" x14ac:dyDescent="0.25">
      <c r="B205" s="99" t="s">
        <v>1045</v>
      </c>
      <c r="C205" s="99" t="s">
        <v>1211</v>
      </c>
      <c r="D205" s="99" t="s">
        <v>39</v>
      </c>
      <c r="E205" s="99" t="s">
        <v>703</v>
      </c>
      <c r="F205" s="99" t="s">
        <v>703</v>
      </c>
      <c r="G205" s="99" t="s">
        <v>703</v>
      </c>
      <c r="H205" s="99" t="s">
        <v>703</v>
      </c>
      <c r="I205" s="99">
        <v>1</v>
      </c>
    </row>
    <row r="206" spans="2:9" x14ac:dyDescent="0.25">
      <c r="B206" s="99" t="s">
        <v>1045</v>
      </c>
      <c r="C206" s="99" t="s">
        <v>1209</v>
      </c>
      <c r="D206" s="99" t="s">
        <v>588</v>
      </c>
      <c r="E206" s="99" t="s">
        <v>703</v>
      </c>
      <c r="F206" s="99" t="s">
        <v>703</v>
      </c>
      <c r="G206" s="99" t="s">
        <v>703</v>
      </c>
      <c r="H206" s="99" t="s">
        <v>703</v>
      </c>
      <c r="I206" s="99">
        <v>1</v>
      </c>
    </row>
    <row r="207" spans="2:9" x14ac:dyDescent="0.25">
      <c r="B207" s="99" t="s">
        <v>1045</v>
      </c>
      <c r="C207" s="99" t="s">
        <v>1207</v>
      </c>
      <c r="D207" s="99" t="s">
        <v>1276</v>
      </c>
      <c r="E207" s="99" t="s">
        <v>703</v>
      </c>
      <c r="F207" s="99" t="s">
        <v>703</v>
      </c>
      <c r="G207" s="99" t="s">
        <v>703</v>
      </c>
      <c r="H207" s="99" t="s">
        <v>703</v>
      </c>
      <c r="I207" s="99">
        <v>1</v>
      </c>
    </row>
    <row r="208" spans="2:9" x14ac:dyDescent="0.25">
      <c r="B208" s="99" t="s">
        <v>1045</v>
      </c>
      <c r="C208" s="99" t="s">
        <v>1205</v>
      </c>
      <c r="D208" s="99" t="s">
        <v>591</v>
      </c>
      <c r="E208" s="99" t="s">
        <v>703</v>
      </c>
      <c r="F208" s="99" t="s">
        <v>703</v>
      </c>
      <c r="G208" s="99" t="s">
        <v>703</v>
      </c>
      <c r="H208" s="99" t="s">
        <v>703</v>
      </c>
      <c r="I208" s="99">
        <v>1</v>
      </c>
    </row>
    <row r="209" spans="1:9" x14ac:dyDescent="0.25">
      <c r="B209" s="99" t="s">
        <v>1045</v>
      </c>
      <c r="C209" s="99" t="s">
        <v>1203</v>
      </c>
      <c r="D209" s="99" t="s">
        <v>40</v>
      </c>
      <c r="E209" s="99" t="s">
        <v>703</v>
      </c>
      <c r="F209" s="99" t="s">
        <v>703</v>
      </c>
      <c r="G209" s="99" t="s">
        <v>703</v>
      </c>
      <c r="H209" s="99" t="s">
        <v>703</v>
      </c>
      <c r="I209" s="99">
        <v>1</v>
      </c>
    </row>
    <row r="210" spans="1:9" x14ac:dyDescent="0.25">
      <c r="B210" s="99" t="s">
        <v>1045</v>
      </c>
      <c r="C210" s="99" t="s">
        <v>1201</v>
      </c>
      <c r="D210" s="99" t="s">
        <v>1274</v>
      </c>
      <c r="E210" s="99" t="s">
        <v>703</v>
      </c>
      <c r="F210" s="99" t="s">
        <v>703</v>
      </c>
      <c r="G210" s="99" t="s">
        <v>703</v>
      </c>
      <c r="H210" s="99" t="s">
        <v>703</v>
      </c>
      <c r="I210" s="99">
        <v>1</v>
      </c>
    </row>
    <row r="211" spans="1:9" x14ac:dyDescent="0.25">
      <c r="A211" s="99" t="s">
        <v>1010</v>
      </c>
      <c r="B211" s="99" t="s">
        <v>1396</v>
      </c>
      <c r="C211" s="99" t="s">
        <v>1368</v>
      </c>
      <c r="D211" s="99" t="s">
        <v>703</v>
      </c>
      <c r="E211" s="99" t="s">
        <v>703</v>
      </c>
      <c r="F211" s="99" t="s">
        <v>703</v>
      </c>
      <c r="G211" s="99" t="s">
        <v>703</v>
      </c>
      <c r="H211" s="99" t="s">
        <v>703</v>
      </c>
      <c r="I211" s="99">
        <v>1</v>
      </c>
    </row>
    <row r="212" spans="1:9" x14ac:dyDescent="0.25">
      <c r="A212" s="99" t="s">
        <v>1010</v>
      </c>
      <c r="B212" s="99" t="s">
        <v>1396</v>
      </c>
      <c r="C212" s="99" t="s">
        <v>1366</v>
      </c>
      <c r="D212" s="99" t="s">
        <v>703</v>
      </c>
      <c r="E212" s="99" t="s">
        <v>703</v>
      </c>
      <c r="F212" s="99" t="s">
        <v>703</v>
      </c>
      <c r="G212" s="99" t="s">
        <v>703</v>
      </c>
      <c r="H212" s="99" t="s">
        <v>703</v>
      </c>
      <c r="I212" s="99">
        <v>1</v>
      </c>
    </row>
    <row r="213" spans="1:9" x14ac:dyDescent="0.25">
      <c r="A213" s="99" t="s">
        <v>1010</v>
      </c>
      <c r="B213" s="99" t="s">
        <v>1396</v>
      </c>
      <c r="C213" s="99" t="s">
        <v>1364</v>
      </c>
      <c r="D213" s="99" t="s">
        <v>703</v>
      </c>
      <c r="E213" s="99" t="s">
        <v>703</v>
      </c>
      <c r="F213" s="99" t="s">
        <v>703</v>
      </c>
      <c r="G213" s="99" t="s">
        <v>703</v>
      </c>
      <c r="H213" s="99" t="s">
        <v>703</v>
      </c>
      <c r="I213" s="99">
        <v>1</v>
      </c>
    </row>
    <row r="214" spans="1:9" x14ac:dyDescent="0.25">
      <c r="A214" s="99" t="s">
        <v>1010</v>
      </c>
      <c r="B214" s="99" t="s">
        <v>1396</v>
      </c>
      <c r="C214" s="99" t="s">
        <v>1362</v>
      </c>
      <c r="D214" s="99" t="s">
        <v>703</v>
      </c>
      <c r="E214" s="99" t="s">
        <v>703</v>
      </c>
      <c r="F214" s="99" t="s">
        <v>703</v>
      </c>
      <c r="G214" s="99" t="s">
        <v>703</v>
      </c>
      <c r="H214" s="99" t="s">
        <v>703</v>
      </c>
      <c r="I214" s="99">
        <v>1</v>
      </c>
    </row>
    <row r="215" spans="1:9" x14ac:dyDescent="0.25">
      <c r="A215" s="99" t="s">
        <v>1010</v>
      </c>
      <c r="B215" s="99" t="s">
        <v>1396</v>
      </c>
      <c r="C215" s="99" t="s">
        <v>1360</v>
      </c>
      <c r="D215" s="99" t="s">
        <v>703</v>
      </c>
      <c r="E215" s="99" t="s">
        <v>703</v>
      </c>
      <c r="F215" s="99" t="s">
        <v>703</v>
      </c>
      <c r="G215" s="99" t="s">
        <v>703</v>
      </c>
      <c r="H215" s="99" t="s">
        <v>703</v>
      </c>
      <c r="I215" s="99">
        <v>1</v>
      </c>
    </row>
    <row r="216" spans="1:9" x14ac:dyDescent="0.25">
      <c r="A216" s="99" t="s">
        <v>1010</v>
      </c>
      <c r="B216" s="99" t="s">
        <v>1396</v>
      </c>
      <c r="C216" s="99" t="s">
        <v>1358</v>
      </c>
      <c r="D216" s="99" t="s">
        <v>703</v>
      </c>
      <c r="E216" s="99" t="s">
        <v>703</v>
      </c>
      <c r="F216" s="99" t="s">
        <v>703</v>
      </c>
      <c r="G216" s="99" t="s">
        <v>703</v>
      </c>
      <c r="H216" s="99" t="s">
        <v>703</v>
      </c>
      <c r="I216" s="99">
        <v>1</v>
      </c>
    </row>
    <row r="217" spans="1:9" x14ac:dyDescent="0.25">
      <c r="A217" s="99" t="s">
        <v>1010</v>
      </c>
      <c r="B217" s="99" t="s">
        <v>1396</v>
      </c>
      <c r="C217" s="99" t="s">
        <v>1356</v>
      </c>
      <c r="D217" s="99" t="s">
        <v>703</v>
      </c>
      <c r="E217" s="99" t="s">
        <v>703</v>
      </c>
      <c r="F217" s="99" t="s">
        <v>703</v>
      </c>
      <c r="G217" s="99" t="s">
        <v>703</v>
      </c>
      <c r="H217" s="99" t="s">
        <v>703</v>
      </c>
      <c r="I217" s="99">
        <v>1</v>
      </c>
    </row>
    <row r="218" spans="1:9" x14ac:dyDescent="0.25">
      <c r="A218" s="99" t="s">
        <v>1010</v>
      </c>
      <c r="B218" s="99" t="s">
        <v>1396</v>
      </c>
      <c r="C218" s="99" t="s">
        <v>1354</v>
      </c>
      <c r="D218" s="99" t="s">
        <v>703</v>
      </c>
      <c r="E218" s="99" t="s">
        <v>703</v>
      </c>
      <c r="F218" s="99" t="s">
        <v>703</v>
      </c>
      <c r="G218" s="99" t="s">
        <v>703</v>
      </c>
      <c r="H218" s="99" t="s">
        <v>703</v>
      </c>
      <c r="I218" s="99">
        <v>1</v>
      </c>
    </row>
    <row r="219" spans="1:9" x14ac:dyDescent="0.25">
      <c r="A219" s="99" t="s">
        <v>1010</v>
      </c>
      <c r="B219" s="99" t="s">
        <v>1396</v>
      </c>
      <c r="C219" s="99" t="s">
        <v>1352</v>
      </c>
      <c r="D219" s="99" t="s">
        <v>703</v>
      </c>
      <c r="E219" s="99" t="s">
        <v>703</v>
      </c>
      <c r="F219" s="99" t="s">
        <v>703</v>
      </c>
      <c r="G219" s="99" t="s">
        <v>703</v>
      </c>
      <c r="H219" s="99" t="s">
        <v>703</v>
      </c>
      <c r="I219" s="99">
        <v>1</v>
      </c>
    </row>
    <row r="220" spans="1:9" x14ac:dyDescent="0.25">
      <c r="A220" s="99" t="s">
        <v>1010</v>
      </c>
      <c r="B220" s="99" t="s">
        <v>1396</v>
      </c>
      <c r="C220" s="99" t="s">
        <v>1350</v>
      </c>
      <c r="D220" s="99" t="s">
        <v>703</v>
      </c>
      <c r="E220" s="99" t="s">
        <v>703</v>
      </c>
      <c r="F220" s="99" t="s">
        <v>703</v>
      </c>
      <c r="G220" s="99" t="s">
        <v>703</v>
      </c>
      <c r="H220" s="99" t="s">
        <v>703</v>
      </c>
      <c r="I220" s="99">
        <v>1</v>
      </c>
    </row>
    <row r="221" spans="1:9" x14ac:dyDescent="0.25">
      <c r="A221" s="99" t="s">
        <v>1010</v>
      </c>
      <c r="B221" s="99" t="s">
        <v>1396</v>
      </c>
      <c r="C221" s="99" t="s">
        <v>1348</v>
      </c>
      <c r="D221" s="99" t="s">
        <v>703</v>
      </c>
      <c r="E221" s="99" t="s">
        <v>703</v>
      </c>
      <c r="F221" s="99" t="s">
        <v>703</v>
      </c>
      <c r="G221" s="99" t="s">
        <v>703</v>
      </c>
      <c r="H221" s="99" t="s">
        <v>703</v>
      </c>
      <c r="I221" s="99">
        <v>1</v>
      </c>
    </row>
    <row r="222" spans="1:9" x14ac:dyDescent="0.25">
      <c r="A222" s="99" t="s">
        <v>1010</v>
      </c>
      <c r="B222" s="99" t="s">
        <v>1396</v>
      </c>
      <c r="C222" s="99" t="s">
        <v>1346</v>
      </c>
      <c r="D222" s="99" t="s">
        <v>703</v>
      </c>
      <c r="E222" s="99" t="s">
        <v>703</v>
      </c>
      <c r="F222" s="99" t="s">
        <v>703</v>
      </c>
      <c r="G222" s="99" t="s">
        <v>703</v>
      </c>
      <c r="H222" s="99" t="s">
        <v>703</v>
      </c>
      <c r="I222" s="99">
        <v>1</v>
      </c>
    </row>
    <row r="223" spans="1:9" x14ac:dyDescent="0.25">
      <c r="B223" s="99" t="s">
        <v>1396</v>
      </c>
      <c r="C223" s="99" t="s">
        <v>1344</v>
      </c>
      <c r="D223" s="99" t="s">
        <v>703</v>
      </c>
      <c r="E223" s="99" t="s">
        <v>703</v>
      </c>
      <c r="F223" s="99" t="s">
        <v>703</v>
      </c>
      <c r="G223" s="99" t="s">
        <v>703</v>
      </c>
      <c r="H223" s="99" t="s">
        <v>703</v>
      </c>
      <c r="I223" s="99">
        <v>1</v>
      </c>
    </row>
    <row r="224" spans="1:9" x14ac:dyDescent="0.25">
      <c r="B224" s="99" t="s">
        <v>1396</v>
      </c>
      <c r="C224" s="99" t="s">
        <v>1342</v>
      </c>
      <c r="D224" s="99" t="s">
        <v>703</v>
      </c>
      <c r="E224" s="99" t="s">
        <v>703</v>
      </c>
      <c r="F224" s="99" t="s">
        <v>703</v>
      </c>
      <c r="G224" s="99" t="s">
        <v>703</v>
      </c>
      <c r="H224" s="99" t="s">
        <v>703</v>
      </c>
      <c r="I224" s="99">
        <v>1</v>
      </c>
    </row>
    <row r="225" spans="1:9" x14ac:dyDescent="0.25">
      <c r="B225" s="99" t="s">
        <v>1396</v>
      </c>
      <c r="C225" s="99" t="s">
        <v>1340</v>
      </c>
      <c r="D225" s="99" t="s">
        <v>703</v>
      </c>
      <c r="E225" s="99" t="s">
        <v>703</v>
      </c>
      <c r="F225" s="99" t="s">
        <v>703</v>
      </c>
      <c r="G225" s="99" t="s">
        <v>703</v>
      </c>
      <c r="H225" s="99" t="s">
        <v>703</v>
      </c>
      <c r="I225" s="99">
        <v>1</v>
      </c>
    </row>
    <row r="226" spans="1:9" x14ac:dyDescent="0.25">
      <c r="A226" s="99" t="s">
        <v>1010</v>
      </c>
      <c r="B226" s="99" t="s">
        <v>1396</v>
      </c>
      <c r="C226" s="99" t="s">
        <v>1338</v>
      </c>
      <c r="D226" s="99" t="s">
        <v>703</v>
      </c>
      <c r="E226" s="99" t="s">
        <v>703</v>
      </c>
      <c r="F226" s="99" t="s">
        <v>703</v>
      </c>
      <c r="G226" s="99" t="s">
        <v>703</v>
      </c>
      <c r="H226" s="99" t="s">
        <v>703</v>
      </c>
      <c r="I226" s="99">
        <v>1</v>
      </c>
    </row>
    <row r="227" spans="1:9" x14ac:dyDescent="0.25">
      <c r="A227" s="99" t="s">
        <v>1010</v>
      </c>
      <c r="B227" s="99" t="s">
        <v>1396</v>
      </c>
      <c r="C227" s="99" t="s">
        <v>1335</v>
      </c>
      <c r="D227" s="99" t="s">
        <v>703</v>
      </c>
      <c r="E227" s="99" t="s">
        <v>703</v>
      </c>
      <c r="F227" s="99" t="s">
        <v>703</v>
      </c>
      <c r="G227" s="99" t="s">
        <v>703</v>
      </c>
      <c r="H227" s="99" t="s">
        <v>703</v>
      </c>
      <c r="I227" s="99">
        <v>1</v>
      </c>
    </row>
    <row r="228" spans="1:9" x14ac:dyDescent="0.25">
      <c r="B228" s="99" t="s">
        <v>1051</v>
      </c>
      <c r="C228" s="99" t="s">
        <v>541</v>
      </c>
      <c r="D228" s="99" t="s">
        <v>703</v>
      </c>
      <c r="E228" s="99" t="s">
        <v>703</v>
      </c>
      <c r="F228" s="99" t="s">
        <v>703</v>
      </c>
      <c r="G228" s="99" t="s">
        <v>703</v>
      </c>
      <c r="H228" s="99" t="s">
        <v>703</v>
      </c>
      <c r="I228" s="99">
        <v>2025</v>
      </c>
    </row>
    <row r="229" spans="1:9" x14ac:dyDescent="0.25">
      <c r="B229" s="99" t="s">
        <v>1051</v>
      </c>
      <c r="C229" s="99" t="s">
        <v>538</v>
      </c>
      <c r="D229" s="99" t="s">
        <v>703</v>
      </c>
      <c r="E229" s="99" t="s">
        <v>703</v>
      </c>
      <c r="F229" s="99" t="s">
        <v>703</v>
      </c>
      <c r="G229" s="99" t="s">
        <v>703</v>
      </c>
      <c r="H229" s="99" t="s">
        <v>703</v>
      </c>
      <c r="I229" s="99">
        <v>2025</v>
      </c>
    </row>
    <row r="230" spans="1:9" x14ac:dyDescent="0.25">
      <c r="B230" s="99" t="s">
        <v>1051</v>
      </c>
      <c r="C230" s="99" t="s">
        <v>539</v>
      </c>
      <c r="D230" s="99" t="s">
        <v>703</v>
      </c>
      <c r="E230" s="99" t="s">
        <v>703</v>
      </c>
      <c r="F230" s="99" t="s">
        <v>703</v>
      </c>
      <c r="G230" s="99" t="s">
        <v>703</v>
      </c>
      <c r="H230" s="99" t="s">
        <v>703</v>
      </c>
      <c r="I230" s="99">
        <v>2025</v>
      </c>
    </row>
    <row r="231" spans="1:9" x14ac:dyDescent="0.25">
      <c r="B231" s="99" t="s">
        <v>1051</v>
      </c>
      <c r="C231" s="99" t="s">
        <v>540</v>
      </c>
      <c r="D231" s="99" t="s">
        <v>703</v>
      </c>
      <c r="E231" s="99" t="s">
        <v>703</v>
      </c>
      <c r="F231" s="99" t="s">
        <v>703</v>
      </c>
      <c r="G231" s="99" t="s">
        <v>703</v>
      </c>
      <c r="H231" s="99" t="s">
        <v>703</v>
      </c>
      <c r="I231" s="99">
        <v>2025</v>
      </c>
    </row>
    <row r="232" spans="1:9" x14ac:dyDescent="0.25">
      <c r="B232" s="99" t="s">
        <v>1045</v>
      </c>
      <c r="C232" s="99" t="s">
        <v>169</v>
      </c>
      <c r="D232" s="99" t="s">
        <v>1485</v>
      </c>
      <c r="E232" s="99" t="s">
        <v>703</v>
      </c>
      <c r="F232" s="99" t="s">
        <v>703</v>
      </c>
      <c r="G232" s="99" t="s">
        <v>703</v>
      </c>
      <c r="H232" s="99" t="s">
        <v>703</v>
      </c>
      <c r="I232" s="99">
        <v>1</v>
      </c>
    </row>
    <row r="233" spans="1:9" x14ac:dyDescent="0.25">
      <c r="B233" s="99" t="s">
        <v>1045</v>
      </c>
      <c r="C233" s="99" t="s">
        <v>1245</v>
      </c>
      <c r="D233" s="99" t="s">
        <v>1485</v>
      </c>
      <c r="E233" s="99" t="s">
        <v>703</v>
      </c>
      <c r="F233" s="99" t="s">
        <v>703</v>
      </c>
      <c r="G233" s="99" t="s">
        <v>703</v>
      </c>
      <c r="H233" s="99" t="s">
        <v>703</v>
      </c>
      <c r="I233" s="99">
        <v>1</v>
      </c>
    </row>
    <row r="234" spans="1:9" x14ac:dyDescent="0.25">
      <c r="B234" s="99" t="s">
        <v>1045</v>
      </c>
      <c r="C234" s="99" t="s">
        <v>1243</v>
      </c>
      <c r="D234" s="99" t="s">
        <v>1485</v>
      </c>
      <c r="E234" s="99" t="s">
        <v>703</v>
      </c>
      <c r="F234" s="99" t="s">
        <v>703</v>
      </c>
      <c r="G234" s="99" t="s">
        <v>703</v>
      </c>
      <c r="H234" s="99" t="s">
        <v>703</v>
      </c>
      <c r="I234" s="99">
        <v>1</v>
      </c>
    </row>
    <row r="235" spans="1:9" x14ac:dyDescent="0.25">
      <c r="B235" s="99" t="s">
        <v>1045</v>
      </c>
      <c r="C235" s="99" t="s">
        <v>538</v>
      </c>
      <c r="D235" s="99" t="s">
        <v>1485</v>
      </c>
      <c r="E235" s="99" t="s">
        <v>703</v>
      </c>
      <c r="F235" s="99" t="s">
        <v>703</v>
      </c>
      <c r="G235" s="99" t="s">
        <v>703</v>
      </c>
      <c r="H235" s="99" t="s">
        <v>703</v>
      </c>
      <c r="I235" s="99">
        <v>1</v>
      </c>
    </row>
  </sheetData>
  <autoFilter ref="A1:I231" xr:uid="{00000000-0009-0000-0000-00002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58" workbookViewId="0">
      <selection activeCell="O96" sqref="O96"/>
    </sheetView>
  </sheetViews>
  <sheetFormatPr defaultRowHeight="12.75" x14ac:dyDescent="0.2"/>
  <cols>
    <col min="1" max="1" width="9.140625" style="485"/>
    <col min="2" max="2" width="13.85546875" style="485" customWidth="1"/>
    <col min="3" max="3" width="13.28515625" style="485" customWidth="1"/>
    <col min="4" max="4" width="9.140625" style="485"/>
    <col min="5" max="5" width="16.28515625" style="485" customWidth="1"/>
    <col min="6" max="19" width="9.140625" style="485"/>
    <col min="20" max="21" width="11.85546875" style="485" bestFit="1" customWidth="1"/>
    <col min="22" max="23" width="9.140625" style="485"/>
    <col min="24" max="24" width="13.5703125" style="485" customWidth="1"/>
    <col min="25" max="28" width="9.140625" style="485"/>
    <col min="29" max="29" width="21.140625" style="485" customWidth="1"/>
    <col min="30" max="30" width="25.28515625" style="485" customWidth="1"/>
    <col min="31" max="16384" width="9.140625" style="485"/>
  </cols>
  <sheetData>
    <row r="1" spans="1:40" x14ac:dyDescent="0.2">
      <c r="A1" s="485" t="s">
        <v>1452</v>
      </c>
    </row>
    <row r="3" spans="1:40" x14ac:dyDescent="0.2">
      <c r="A3" s="485" t="s">
        <v>1451</v>
      </c>
      <c r="J3" s="574" t="s">
        <v>1450</v>
      </c>
      <c r="K3" s="561"/>
      <c r="L3" s="561"/>
      <c r="M3" s="561"/>
    </row>
    <row r="4" spans="1:40" x14ac:dyDescent="0.2">
      <c r="A4" s="485" t="s">
        <v>1449</v>
      </c>
      <c r="J4" s="575" t="s">
        <v>1448</v>
      </c>
    </row>
    <row r="5" spans="1:40" x14ac:dyDescent="0.2">
      <c r="A5" s="485" t="s">
        <v>1447</v>
      </c>
    </row>
    <row r="6" spans="1:40" x14ac:dyDescent="0.2">
      <c r="A6" s="502" t="s">
        <v>1446</v>
      </c>
    </row>
    <row r="7" spans="1:40" x14ac:dyDescent="0.2">
      <c r="A7" s="502"/>
    </row>
    <row r="9" spans="1:40" x14ac:dyDescent="0.2">
      <c r="X9" s="502" t="s">
        <v>1445</v>
      </c>
    </row>
    <row r="10" spans="1:40" x14ac:dyDescent="0.2">
      <c r="B10" s="500"/>
      <c r="C10" s="499"/>
      <c r="D10" s="499"/>
      <c r="E10" s="499"/>
      <c r="F10" s="499"/>
      <c r="G10" s="499"/>
      <c r="H10" s="499"/>
      <c r="I10" s="499"/>
      <c r="J10" s="499"/>
      <c r="K10" s="498"/>
      <c r="V10" s="485">
        <v>0</v>
      </c>
      <c r="X10" s="501" t="s">
        <v>899</v>
      </c>
      <c r="Y10" s="499"/>
      <c r="Z10" s="499"/>
      <c r="AA10" s="499"/>
      <c r="AB10" s="499"/>
      <c r="AC10" s="499"/>
      <c r="AD10" s="499"/>
      <c r="AE10" s="499"/>
      <c r="AF10" s="499"/>
      <c r="AG10" s="499"/>
    </row>
    <row r="11" spans="1:40" x14ac:dyDescent="0.2">
      <c r="B11" s="490"/>
      <c r="C11" s="561" t="s">
        <v>899</v>
      </c>
      <c r="E11" s="561" t="s">
        <v>901</v>
      </c>
      <c r="F11" s="561"/>
      <c r="G11" s="561"/>
      <c r="H11" s="561"/>
      <c r="J11" s="574" t="s">
        <v>1390</v>
      </c>
      <c r="K11" s="573" t="s">
        <v>1444</v>
      </c>
      <c r="R11" s="485">
        <v>2012</v>
      </c>
      <c r="S11" s="502"/>
      <c r="X11" s="490" t="s">
        <v>169</v>
      </c>
      <c r="Z11" s="550" t="e">
        <f>INDEX('I&amp;S SATIM input'!#REF!,MATCH(X11,'I&amp;S SATIM input'!#REF!,0))</f>
        <v>#REF!</v>
      </c>
      <c r="AD11" s="502" t="s">
        <v>925</v>
      </c>
      <c r="AF11" s="502" t="s">
        <v>1443</v>
      </c>
    </row>
    <row r="12" spans="1:40" x14ac:dyDescent="0.2">
      <c r="B12" s="490"/>
      <c r="C12" s="561"/>
      <c r="E12" s="561" t="s">
        <v>13</v>
      </c>
      <c r="F12" s="561" t="s">
        <v>200</v>
      </c>
      <c r="G12" s="561" t="s">
        <v>14</v>
      </c>
      <c r="H12" s="561" t="s">
        <v>11</v>
      </c>
      <c r="J12" s="561"/>
      <c r="K12" s="489"/>
      <c r="O12" s="497" t="s">
        <v>1442</v>
      </c>
      <c r="P12" s="497" t="s">
        <v>1441</v>
      </c>
      <c r="R12" s="485" t="s">
        <v>1440</v>
      </c>
      <c r="S12" s="485" t="s">
        <v>1439</v>
      </c>
      <c r="T12" s="485" t="s">
        <v>1438</v>
      </c>
      <c r="U12" s="485" t="s">
        <v>1437</v>
      </c>
      <c r="V12" s="502" t="s">
        <v>1436</v>
      </c>
      <c r="X12" s="490" t="s">
        <v>538</v>
      </c>
      <c r="Z12" s="550" t="e">
        <f>INDEX('I&amp;S SATIM input'!#REF!,MATCH(X12,'I&amp;S SATIM input'!#REF!,0))</f>
        <v>#REF!</v>
      </c>
      <c r="AC12" s="502" t="s">
        <v>1435</v>
      </c>
      <c r="AD12" s="502" t="s">
        <v>1434</v>
      </c>
      <c r="AF12" s="485">
        <v>2012</v>
      </c>
      <c r="AG12" s="485">
        <v>2013</v>
      </c>
      <c r="AH12" s="485">
        <v>2014</v>
      </c>
      <c r="AI12" s="485">
        <v>2015</v>
      </c>
      <c r="AJ12" s="485">
        <v>2016</v>
      </c>
      <c r="AK12" s="485">
        <v>2017</v>
      </c>
      <c r="AL12" s="485">
        <v>2018</v>
      </c>
      <c r="AM12" s="485">
        <v>2019</v>
      </c>
      <c r="AN12" s="485">
        <v>2020</v>
      </c>
    </row>
    <row r="13" spans="1:40" ht="15" x14ac:dyDescent="0.25">
      <c r="B13" s="490" t="str">
        <f>'[18]New I&amp;S model detail'!B81</f>
        <v>BF-BOF</v>
      </c>
      <c r="C13" s="571">
        <f>'[18]New I&amp;S model detail'!S81</f>
        <v>21.400691692311092</v>
      </c>
      <c r="D13" s="497"/>
      <c r="E13" s="570">
        <f>INDEX('[18]New I&amp;S model detail'!$O$90:$R$94,MATCH($B13,'[18]New I&amp;S model detail'!$S$90:$S$94,0),MATCH(E$12,'[18]New I&amp;S model detail'!$O$80:$R$80,0))</f>
        <v>0.20494664672805019</v>
      </c>
      <c r="F13" s="570">
        <f>INDEX('[18]New I&amp;S model detail'!$O$90:$R$94,MATCH($B13,'[18]New I&amp;S model detail'!$S$90:$S$94,0),MATCH(F$12,'[18]New I&amp;S model detail'!$O$80:$R$80,0))</f>
        <v>0.23508585948217525</v>
      </c>
      <c r="G13" s="570">
        <f>INDEX('[18]New I&amp;S model detail'!$O$90:$R$94,MATCH($B13,'[18]New I&amp;S model detail'!$S$90:$S$94,0),MATCH(G$12,'[18]New I&amp;S model detail'!$O$80:$R$80,0))</f>
        <v>0.13801851523202419</v>
      </c>
      <c r="H13" s="570">
        <f>INDEX('[18]New I&amp;S model detail'!$O$90:$R$94,MATCH($B13,'[18]New I&amp;S model detail'!$S$90:$S$94,0),MATCH(H$12,'[18]New I&amp;S model detail'!$O$80:$R$80,0))</f>
        <v>0.42194897855775038</v>
      </c>
      <c r="I13" s="550"/>
      <c r="J13" s="569">
        <f>INDEX('[18]New I&amp;S model detail'!$C$81:$C$85,MATCH(B13,'[18]New I&amp;S model detail'!$B$81:$B$85,0))</f>
        <v>4.9000000000000004</v>
      </c>
      <c r="K13" s="568">
        <f>INDEX('[18]New I&amp;S model detail'!$D$81:$D$85,MATCH(B13,'[18]New I&amp;S model detail'!$B$81:$B$85,0))</f>
        <v>3.3</v>
      </c>
      <c r="L13" s="99" t="s">
        <v>169</v>
      </c>
      <c r="O13" s="99" t="s">
        <v>169</v>
      </c>
      <c r="P13" s="502" t="s">
        <v>7</v>
      </c>
      <c r="R13" s="550">
        <f>K13</f>
        <v>3.3</v>
      </c>
      <c r="S13" s="557">
        <f>R13</f>
        <v>3.3</v>
      </c>
      <c r="T13" s="550">
        <f>K13/J13</f>
        <v>0.6734693877551019</v>
      </c>
      <c r="U13" s="561">
        <f>IF(T13&gt;0.85,T13,0.85)</f>
        <v>0.85</v>
      </c>
      <c r="V13" s="485">
        <f>IF(T13&lt;$V$10,T13,$V$10)</f>
        <v>0</v>
      </c>
      <c r="X13" s="490" t="s">
        <v>171</v>
      </c>
      <c r="Z13" s="550" t="e">
        <f>INDEX('I&amp;S SATIM input'!#REF!,MATCH(X13,'I&amp;S SATIM input'!#REF!,0))</f>
        <v>#REF!</v>
      </c>
      <c r="AB13" s="490" t="s">
        <v>169</v>
      </c>
      <c r="AC13" s="495">
        <f>'[19]SATIM input'!C22</f>
        <v>0.6889960595189083</v>
      </c>
      <c r="AD13" s="567">
        <f>MAX(AC13,90%)</f>
        <v>0.9</v>
      </c>
      <c r="AF13" s="566">
        <f>'[19]SATIM input'!D22</f>
        <v>3.3</v>
      </c>
      <c r="AG13" s="566">
        <f>'[19]SATIM input'!E22</f>
        <v>3.3760806916426511</v>
      </c>
      <c r="AH13" s="566">
        <f>'[19]SATIM input'!F22</f>
        <v>3.0907780979827089</v>
      </c>
      <c r="AI13" s="566">
        <f>'[19]SATIM input'!G22</f>
        <v>3.1641891891891891</v>
      </c>
      <c r="AJ13" s="566">
        <f>'[19]SATIM input'!H22</f>
        <v>3.1641891891891891</v>
      </c>
      <c r="AK13" s="566">
        <f>'[19]SATIM input'!I22</f>
        <v>3.0330810810810807</v>
      </c>
      <c r="AL13" s="566">
        <f>'[19]SATIM input'!J22</f>
        <v>3.2032972972972971</v>
      </c>
      <c r="AM13" s="566">
        <f>'[19]SATIM input'!K22</f>
        <v>3.0300947810555652</v>
      </c>
      <c r="AN13" s="566">
        <f>'[19]SATIM input'!L22</f>
        <v>3.0300947810555652</v>
      </c>
    </row>
    <row r="14" spans="1:40" ht="15" x14ac:dyDescent="0.25">
      <c r="B14" s="490" t="str">
        <f>'[18]New I&amp;S model detail'!B82</f>
        <v>Scrap-EAF</v>
      </c>
      <c r="C14" s="571">
        <f>'[18]New I&amp;S model detail'!S82</f>
        <v>10</v>
      </c>
      <c r="D14" s="497"/>
      <c r="E14" s="570">
        <f>INDEX('[18]New I&amp;S model detail'!$O$90:$R$94,MATCH($B14,'[18]New I&amp;S model detail'!$S$90:$S$94,0),MATCH(E$12,'[18]New I&amp;S model detail'!$O$80:$R$80,0))</f>
        <v>0.25</v>
      </c>
      <c r="F14" s="570">
        <f>INDEX('[18]New I&amp;S model detail'!$O$90:$R$94,MATCH($B14,'[18]New I&amp;S model detail'!$S$90:$S$94,0),MATCH(F$12,'[18]New I&amp;S model detail'!$O$80:$R$80,0))</f>
        <v>0</v>
      </c>
      <c r="G14" s="570">
        <f>INDEX('[18]New I&amp;S model detail'!$O$90:$R$94,MATCH($B14,'[18]New I&amp;S model detail'!$S$90:$S$94,0),MATCH(G$12,'[18]New I&amp;S model detail'!$O$80:$R$80,0))</f>
        <v>0.75</v>
      </c>
      <c r="H14" s="570">
        <f>INDEX('[18]New I&amp;S model detail'!$O$90:$R$94,MATCH($B14,'[18]New I&amp;S model detail'!$S$90:$S$94,0),MATCH(H$12,'[18]New I&amp;S model detail'!$O$80:$R$80,0))</f>
        <v>0</v>
      </c>
      <c r="I14" s="550"/>
      <c r="J14" s="569">
        <f>INDEX('[18]New I&amp;S model detail'!$C$81:$C$85,MATCH(B14,'[18]New I&amp;S model detail'!$B$81:$B$85,0))</f>
        <v>1.7200000000000002</v>
      </c>
      <c r="K14" s="568">
        <f>INDEX('[18]New I&amp;S model detail'!$D$81:$D$85,MATCH(B14,'[18]New I&amp;S model detail'!$B$81:$B$85,0))</f>
        <v>0.86</v>
      </c>
      <c r="L14" s="99" t="s">
        <v>180</v>
      </c>
      <c r="O14" s="99" t="s">
        <v>171</v>
      </c>
      <c r="P14" s="502" t="s">
        <v>172</v>
      </c>
      <c r="R14" s="550">
        <f>K14</f>
        <v>0.86</v>
      </c>
      <c r="S14" s="557">
        <f>R14</f>
        <v>0.86</v>
      </c>
      <c r="T14" s="550">
        <f>K14/J14</f>
        <v>0.49999999999999994</v>
      </c>
      <c r="U14" s="561">
        <f>IF(T14&gt;0.85,T14,0.85)</f>
        <v>0.85</v>
      </c>
      <c r="V14" s="485">
        <f>IF(T14&lt;$V$10,T14,$V$10)</f>
        <v>0</v>
      </c>
      <c r="X14" s="490" t="s">
        <v>174</v>
      </c>
      <c r="Z14" s="550" t="e">
        <f>INDEX('I&amp;S SATIM input'!#REF!,MATCH(X14,'I&amp;S SATIM input'!#REF!,0))</f>
        <v>#REF!</v>
      </c>
      <c r="AB14" s="490" t="s">
        <v>171</v>
      </c>
      <c r="AC14" s="495">
        <f>'[19]SATIM input'!C23</f>
        <v>0.99830343032443969</v>
      </c>
      <c r="AD14" s="567">
        <f>MAX(AC14,90%)</f>
        <v>0.99830343032443969</v>
      </c>
      <c r="AF14" s="566">
        <f>'[19]SATIM input'!D23</f>
        <v>1.21</v>
      </c>
      <c r="AG14" s="566">
        <f>'[19]SATIM input'!E23</f>
        <v>1.2378962536023055</v>
      </c>
      <c r="AH14" s="566">
        <f>'[19]SATIM input'!F23</f>
        <v>1.13328530259366</v>
      </c>
      <c r="AI14" s="566">
        <f>'[19]SATIM input'!G23</f>
        <v>0.96299999999999997</v>
      </c>
      <c r="AJ14" s="566">
        <f>'[19]SATIM input'!H23</f>
        <v>0.83199999999999996</v>
      </c>
      <c r="AK14" s="566">
        <f>'[19]SATIM input'!I23</f>
        <v>1.1180000000000001</v>
      </c>
      <c r="AL14" s="566">
        <f>'[19]SATIM input'!J23</f>
        <v>1.0860000000000001</v>
      </c>
      <c r="AM14" s="566">
        <f>'[19]SATIM input'!K23</f>
        <v>1.0860000000000001</v>
      </c>
      <c r="AN14" s="566">
        <f>'[19]SATIM input'!L23</f>
        <v>0</v>
      </c>
    </row>
    <row r="15" spans="1:40" ht="15" x14ac:dyDescent="0.25">
      <c r="B15" s="490" t="str">
        <f>'[18]New I&amp;S model detail'!B83</f>
        <v>DRI-EAF</v>
      </c>
      <c r="C15" s="571">
        <f>'[18]New I&amp;S model detail'!S83</f>
        <v>31.247950199170173</v>
      </c>
      <c r="D15" s="497"/>
      <c r="E15" s="570">
        <f>INDEX('[18]New I&amp;S model detail'!$O$90:$R$94,MATCH($B15,'[18]New I&amp;S model detail'!$S$90:$S$94,0),MATCH(E$12,'[18]New I&amp;S model detail'!$O$80:$R$80,0))</f>
        <v>0.66708375644280071</v>
      </c>
      <c r="F15" s="570">
        <f>INDEX('[18]New I&amp;S model detail'!$O$90:$R$94,MATCH($B15,'[18]New I&amp;S model detail'!$S$90:$S$94,0),MATCH(F$12,'[18]New I&amp;S model detail'!$O$80:$R$80,0))</f>
        <v>1.2128795571687277E-2</v>
      </c>
      <c r="G15" s="570">
        <f>INDEX('[18]New I&amp;S model detail'!$O$90:$R$94,MATCH($B15,'[18]New I&amp;S model detail'!$S$90:$S$94,0),MATCH(G$12,'[18]New I&amp;S model detail'!$O$80:$R$80,0))</f>
        <v>0.32078744798551195</v>
      </c>
      <c r="H15" s="570">
        <f>INDEX('[18]New I&amp;S model detail'!$O$90:$R$94,MATCH($B15,'[18]New I&amp;S model detail'!$S$90:$S$94,0),MATCH(H$12,'[18]New I&amp;S model detail'!$O$80:$R$80,0))</f>
        <v>0</v>
      </c>
      <c r="I15" s="550"/>
      <c r="J15" s="569">
        <f>INDEX('[18]New I&amp;S model detail'!$C$81:$C$85,MATCH(B15,'[18]New I&amp;S model detail'!$B$81:$B$85,0))</f>
        <v>1.44</v>
      </c>
      <c r="K15" s="568">
        <f>INDEX('[18]New I&amp;S model detail'!$D$81:$D$85,MATCH(B15,'[18]New I&amp;S model detail'!$B$81:$B$85,0))</f>
        <v>0.95</v>
      </c>
      <c r="L15" s="99" t="s">
        <v>174</v>
      </c>
      <c r="O15" s="99" t="s">
        <v>174</v>
      </c>
      <c r="P15" s="502" t="s">
        <v>175</v>
      </c>
      <c r="R15" s="550">
        <f>K15</f>
        <v>0.95</v>
      </c>
      <c r="S15" s="557">
        <f>R15</f>
        <v>0.95</v>
      </c>
      <c r="T15" s="550">
        <f>K15/J15</f>
        <v>0.65972222222222221</v>
      </c>
      <c r="U15" s="561">
        <f>IF(T15&gt;0.85,T15,0.85)</f>
        <v>0.85</v>
      </c>
      <c r="V15" s="485">
        <f>IF(T15&lt;$V$10,T15,$V$10)</f>
        <v>0</v>
      </c>
      <c r="X15" s="490" t="s">
        <v>539</v>
      </c>
      <c r="Z15" s="550" t="e">
        <f>INDEX('I&amp;S SATIM input'!#REF!,MATCH(X15,'I&amp;S SATIM input'!#REF!,0))</f>
        <v>#REF!</v>
      </c>
      <c r="AB15" s="490" t="s">
        <v>174</v>
      </c>
      <c r="AC15" s="495">
        <f>'[19]SATIM input'!C24</f>
        <v>0.67493195645212933</v>
      </c>
      <c r="AD15" s="567">
        <f>MAX(AC15,90%)</f>
        <v>0.9</v>
      </c>
      <c r="AF15" s="566">
        <f>'[19]SATIM input'!D24</f>
        <v>0.95</v>
      </c>
      <c r="AG15" s="566">
        <f>'[19]SATIM input'!E24</f>
        <v>0.97190201729106618</v>
      </c>
      <c r="AH15" s="566">
        <f>'[19]SATIM input'!F24</f>
        <v>0.88976945244956762</v>
      </c>
      <c r="AI15" s="566">
        <f>'[19]SATIM input'!G24</f>
        <v>0.77481081081081082</v>
      </c>
      <c r="AJ15" s="566">
        <f>'[19]SATIM input'!H24</f>
        <v>0.77481081081081082</v>
      </c>
      <c r="AK15" s="566">
        <f>'[19]SATIM input'!I24</f>
        <v>0.75891891891891894</v>
      </c>
      <c r="AL15" s="566">
        <f>'[19]SATIM input'!J24</f>
        <v>0.80270270270270283</v>
      </c>
      <c r="AM15" s="566">
        <f>'[19]SATIM input'!K24</f>
        <v>0.80270270270270283</v>
      </c>
      <c r="AN15" s="566">
        <f>'[19]SATIM input'!L24</f>
        <v>0.76492845786963448</v>
      </c>
    </row>
    <row r="16" spans="1:40" ht="15" x14ac:dyDescent="0.25">
      <c r="B16" s="490" t="str">
        <f>'[18]New I&amp;S model detail'!B84</f>
        <v>Corex-Conarc</v>
      </c>
      <c r="C16" s="571">
        <f>'[18]New I&amp;S model detail'!S84</f>
        <v>21.51458852713521</v>
      </c>
      <c r="D16" s="497"/>
      <c r="E16" s="570">
        <f>INDEX('[18]New I&amp;S model detail'!$O$90:$R$94,MATCH($B16,'[18]New I&amp;S model detail'!$S$90:$S$94,0),MATCH(E$12,'[18]New I&amp;S model detail'!$O$80:$R$80,0))</f>
        <v>0.53173222372211926</v>
      </c>
      <c r="F16" s="570">
        <f>INDEX('[18]New I&amp;S model detail'!$O$90:$R$94,MATCH($B16,'[18]New I&amp;S model detail'!$S$90:$S$94,0),MATCH(F$12,'[18]New I&amp;S model detail'!$O$80:$R$80,0))</f>
        <v>0</v>
      </c>
      <c r="G16" s="570">
        <f>INDEX('[18]New I&amp;S model detail'!$O$90:$R$94,MATCH($B16,'[18]New I&amp;S model detail'!$S$90:$S$94,0),MATCH(G$12,'[18]New I&amp;S model detail'!$O$80:$R$80,0))</f>
        <v>0.26282578074888002</v>
      </c>
      <c r="H16" s="570">
        <f>INDEX('[18]New I&amp;S model detail'!$O$90:$R$94,MATCH($B16,'[18]New I&amp;S model detail'!$S$90:$S$94,0),MATCH(H$12,'[18]New I&amp;S model detail'!$O$80:$R$80,0))</f>
        <v>0.20544199552900064</v>
      </c>
      <c r="I16" s="550"/>
      <c r="J16" s="569">
        <f>INDEX('[18]New I&amp;S model detail'!$C$81:$C$85,MATCH(B16,'[18]New I&amp;S model detail'!$B$81:$B$85,0))</f>
        <v>1.2400000000000002</v>
      </c>
      <c r="K16" s="568">
        <f>INDEX('[18]New I&amp;S model detail'!$D$81:$D$85,MATCH(B16,'[18]New I&amp;S model detail'!$B$81:$B$85,0))</f>
        <v>1.21</v>
      </c>
      <c r="L16" s="99" t="s">
        <v>171</v>
      </c>
      <c r="O16" s="99" t="s">
        <v>178</v>
      </c>
      <c r="P16" s="502" t="s">
        <v>10</v>
      </c>
      <c r="R16" s="550">
        <f>K16</f>
        <v>1.21</v>
      </c>
      <c r="S16" s="557">
        <f>R16</f>
        <v>1.21</v>
      </c>
      <c r="T16" s="550">
        <f>K16/J16</f>
        <v>0.97580645161290303</v>
      </c>
      <c r="U16" s="572">
        <f>IF(T16&gt;0.85,T16,0.85)</f>
        <v>0.97580645161290303</v>
      </c>
      <c r="V16" s="485">
        <f>IF(T16&lt;$V$10,T16,$V$10)</f>
        <v>0</v>
      </c>
      <c r="X16" s="490" t="s">
        <v>540</v>
      </c>
      <c r="Z16" s="550" t="e">
        <f>INDEX('I&amp;S SATIM input'!#REF!,MATCH(X16,'I&amp;S SATIM input'!#REF!,0))</f>
        <v>#REF!</v>
      </c>
      <c r="AB16" s="490" t="s">
        <v>178</v>
      </c>
      <c r="AC16" s="495">
        <f>'[19]SATIM input'!C25</f>
        <v>0.63429394812680118</v>
      </c>
      <c r="AD16" s="567">
        <f>MAX(AC16,90%)</f>
        <v>0.9</v>
      </c>
      <c r="AF16" s="566">
        <f>'[19]SATIM input'!D25</f>
        <v>0.62</v>
      </c>
      <c r="AG16" s="566">
        <f>'[19]SATIM input'!E25</f>
        <v>0.63429394812680118</v>
      </c>
      <c r="AH16" s="566">
        <f>'[19]SATIM input'!F25</f>
        <v>0.5806916426512968</v>
      </c>
      <c r="AI16" s="566">
        <f>'[19]SATIM input'!G25</f>
        <v>0.1360000000000007</v>
      </c>
      <c r="AJ16" s="566">
        <f>'[19]SATIM input'!H25</f>
        <v>0</v>
      </c>
      <c r="AK16" s="566">
        <f>'[19]SATIM input'!I25</f>
        <v>0</v>
      </c>
      <c r="AL16" s="566">
        <f>'[19]SATIM input'!J25</f>
        <v>0</v>
      </c>
      <c r="AM16" s="566">
        <f>'[19]SATIM input'!K25</f>
        <v>0</v>
      </c>
      <c r="AN16" s="566">
        <f>'[19]SATIM input'!L25</f>
        <v>0</v>
      </c>
    </row>
    <row r="17" spans="1:67" ht="15" x14ac:dyDescent="0.25">
      <c r="B17" s="490" t="str">
        <f>'[18]New I&amp;S model detail'!B85</f>
        <v>Other-EAF</v>
      </c>
      <c r="C17" s="571">
        <f>'[18]New I&amp;S model detail'!S85</f>
        <v>37.074375174722789</v>
      </c>
      <c r="D17" s="497"/>
      <c r="E17" s="570">
        <f>INDEX('[18]New I&amp;S model detail'!$O$90:$R$94,MATCH($B17,'[18]New I&amp;S model detail'!$S$90:$S$94,0),MATCH(E$12,'[18]New I&amp;S model detail'!$O$80:$R$80,0))</f>
        <v>0.55590957104118222</v>
      </c>
      <c r="F17" s="570">
        <f>INDEX('[18]New I&amp;S model detail'!$O$90:$R$94,MATCH($B17,'[18]New I&amp;S model detail'!$S$90:$S$94,0),MATCH(F$12,'[18]New I&amp;S model detail'!$O$80:$R$80,0))</f>
        <v>3.0883865057843445E-2</v>
      </c>
      <c r="G17" s="570">
        <f>INDEX('[18]New I&amp;S model detail'!$O$90:$R$94,MATCH($B17,'[18]New I&amp;S model detail'!$S$90:$S$94,0),MATCH(G$12,'[18]New I&amp;S model detail'!$O$80:$R$80,0))</f>
        <v>0.41320656390097438</v>
      </c>
      <c r="H17" s="570">
        <f>INDEX('[18]New I&amp;S model detail'!$O$90:$R$94,MATCH($B17,'[18]New I&amp;S model detail'!$S$90:$S$94,0),MATCH(H$12,'[18]New I&amp;S model detail'!$O$80:$R$80,0))</f>
        <v>0</v>
      </c>
      <c r="I17" s="550"/>
      <c r="J17" s="569">
        <f>INDEX('[18]New I&amp;S model detail'!$C$81:$C$85,MATCH(B17,'[18]New I&amp;S model detail'!$B$81:$B$85,0))</f>
        <v>1</v>
      </c>
      <c r="K17" s="568">
        <f>INDEX('[18]New I&amp;S model detail'!$D$81:$D$85,MATCH(B17,'[18]New I&amp;S model detail'!$B$81:$B$85,0))</f>
        <v>0.62</v>
      </c>
      <c r="L17" s="99" t="s">
        <v>178</v>
      </c>
      <c r="O17" s="99" t="s">
        <v>180</v>
      </c>
      <c r="P17" s="502" t="s">
        <v>8</v>
      </c>
      <c r="R17" s="550">
        <f>K17</f>
        <v>0.62</v>
      </c>
      <c r="S17" s="557">
        <f>R17</f>
        <v>0.62</v>
      </c>
      <c r="T17" s="550">
        <f>K17/J17</f>
        <v>0.62</v>
      </c>
      <c r="U17" s="561">
        <f>IF(T17&gt;0.85,T17,0.85)</f>
        <v>0.85</v>
      </c>
      <c r="V17" s="485">
        <f>IF(T17&lt;$V$10,T17,$V$10)</f>
        <v>0</v>
      </c>
      <c r="X17" s="490" t="s">
        <v>178</v>
      </c>
      <c r="Z17" s="550" t="e">
        <f>INDEX('I&amp;S SATIM input'!#REF!,MATCH(X17,'I&amp;S SATIM input'!#REF!,0))</f>
        <v>#REF!</v>
      </c>
      <c r="AB17" s="490" t="s">
        <v>180</v>
      </c>
      <c r="AC17" s="495">
        <f>'[19]SATIM input'!C26</f>
        <v>1</v>
      </c>
      <c r="AD17" s="567">
        <f>MAX(AC17,90%)</f>
        <v>1</v>
      </c>
      <c r="AF17" s="566">
        <f>'[19]SATIM input'!D26</f>
        <v>0.86</v>
      </c>
      <c r="AG17" s="566">
        <f>'[19]SATIM input'!E26</f>
        <v>0.87982708933717579</v>
      </c>
      <c r="AH17" s="566">
        <f>'[19]SATIM input'!F26</f>
        <v>0.8054755043227666</v>
      </c>
      <c r="AI17" s="566">
        <f>'[19]SATIM input'!G26</f>
        <v>1.3620000000000003</v>
      </c>
      <c r="AJ17" s="566">
        <f>'[19]SATIM input'!H26</f>
        <v>1.3200000000000003</v>
      </c>
      <c r="AK17" s="566">
        <f>'[19]SATIM input'!I26</f>
        <v>1.3200000000000003</v>
      </c>
      <c r="AL17" s="566">
        <f>'[19]SATIM input'!J26</f>
        <v>1.2079999999999993</v>
      </c>
      <c r="AM17" s="566">
        <f>'[19]SATIM input'!K26</f>
        <v>1.2079999999999993</v>
      </c>
      <c r="AN17" s="566">
        <f>'[19]SATIM input'!L26</f>
        <v>1.2079999999999993</v>
      </c>
    </row>
    <row r="18" spans="1:67" x14ac:dyDescent="0.2">
      <c r="B18" s="488"/>
      <c r="C18" s="487"/>
      <c r="D18" s="487"/>
      <c r="E18" s="487"/>
      <c r="F18" s="487"/>
      <c r="G18" s="487"/>
      <c r="H18" s="487"/>
      <c r="I18" s="487"/>
      <c r="J18" s="487">
        <f>SUM(J13:J17)</f>
        <v>10.3</v>
      </c>
      <c r="K18" s="565">
        <f>SUM(K13:K17)</f>
        <v>6.94</v>
      </c>
      <c r="S18" s="556">
        <f>SUM(S13:S17)</f>
        <v>6.94</v>
      </c>
      <c r="X18" s="490" t="s">
        <v>180</v>
      </c>
      <c r="Z18" s="550" t="e">
        <f>INDEX('I&amp;S SATIM input'!#REF!,MATCH(X18,'I&amp;S SATIM input'!#REF!,0))</f>
        <v>#REF!</v>
      </c>
      <c r="AF18" s="564">
        <f t="shared" ref="AF18:AN18" si="0">SUM(AF13:AF17)</f>
        <v>6.94</v>
      </c>
      <c r="AG18" s="564">
        <f t="shared" si="0"/>
        <v>7.1000000000000005</v>
      </c>
      <c r="AH18" s="564">
        <f t="shared" si="0"/>
        <v>6.5</v>
      </c>
      <c r="AI18" s="564">
        <f t="shared" si="0"/>
        <v>6.4000000000000012</v>
      </c>
      <c r="AJ18" s="564">
        <f t="shared" si="0"/>
        <v>6.0910000000000002</v>
      </c>
      <c r="AK18" s="564">
        <f t="shared" si="0"/>
        <v>6.23</v>
      </c>
      <c r="AL18" s="564">
        <f t="shared" si="0"/>
        <v>6.3</v>
      </c>
      <c r="AM18" s="564">
        <f t="shared" si="0"/>
        <v>6.1267974837582679</v>
      </c>
      <c r="AN18" s="564">
        <f t="shared" si="0"/>
        <v>5.0030232389251985</v>
      </c>
    </row>
    <row r="19" spans="1:67" ht="15" x14ac:dyDescent="0.25">
      <c r="N19" s="563">
        <f>K14/K18</f>
        <v>0.1239193083573487</v>
      </c>
      <c r="O19" s="99" t="s">
        <v>527</v>
      </c>
      <c r="X19" s="490" t="s">
        <v>541</v>
      </c>
      <c r="Z19" s="550" t="e">
        <f>INDEX('I&amp;S SATIM input'!#REF!,MATCH(X19,'I&amp;S SATIM input'!#REF!,0))</f>
        <v>#REF!</v>
      </c>
    </row>
    <row r="20" spans="1:67" x14ac:dyDescent="0.2">
      <c r="R20" s="502" t="s">
        <v>1433</v>
      </c>
      <c r="S20" s="485">
        <v>6.4</v>
      </c>
      <c r="T20" s="502" t="s">
        <v>1432</v>
      </c>
      <c r="X20" s="490"/>
      <c r="AB20" s="489"/>
    </row>
    <row r="21" spans="1:67" ht="15" x14ac:dyDescent="0.25">
      <c r="E21" s="99" t="s">
        <v>39</v>
      </c>
      <c r="F21" s="99" t="s">
        <v>588</v>
      </c>
      <c r="G21" s="99" t="s">
        <v>38</v>
      </c>
      <c r="H21" s="99" t="s">
        <v>42</v>
      </c>
      <c r="X21" s="493" t="s">
        <v>901</v>
      </c>
      <c r="AB21" s="489"/>
      <c r="AF21" s="502" t="s">
        <v>1431</v>
      </c>
    </row>
    <row r="22" spans="1:67" x14ac:dyDescent="0.2">
      <c r="R22" s="502"/>
      <c r="S22" s="550"/>
      <c r="X22" s="493"/>
      <c r="Z22" s="502" t="s">
        <v>589</v>
      </c>
      <c r="AA22" s="502" t="s">
        <v>590</v>
      </c>
      <c r="AB22" s="489"/>
    </row>
    <row r="23" spans="1:67" ht="15" x14ac:dyDescent="0.25">
      <c r="L23" s="497" t="s">
        <v>1430</v>
      </c>
      <c r="O23" s="562" t="s">
        <v>1429</v>
      </c>
      <c r="R23" s="497" t="s">
        <v>1428</v>
      </c>
      <c r="S23" s="550"/>
      <c r="X23" s="490" t="s">
        <v>169</v>
      </c>
      <c r="Y23" s="99" t="s">
        <v>39</v>
      </c>
      <c r="Z23" s="592" t="e">
        <f>SUMIFS('I&amp;S SATIM input'!#REF!,'I&amp;S SATIM input'!#REF!,$X23,'I&amp;S SATIM input'!#REF!,$Y23)</f>
        <v>#REF!</v>
      </c>
      <c r="AA23" s="592" t="e">
        <f>SUMIFS('I&amp;S SATIM input'!#REF!,'I&amp;S SATIM input'!#REF!,$X23,'I&amp;S SATIM input'!#REF!,$Y23)</f>
        <v>#REF!</v>
      </c>
      <c r="AB23" s="489"/>
      <c r="AD23" s="485" t="str">
        <f t="shared" ref="AD23:AD47" si="1">X23&amp;Y23</f>
        <v>IISBFBOF-EIISCOA</v>
      </c>
      <c r="AE23" s="490" t="s">
        <v>169</v>
      </c>
      <c r="AF23" s="485">
        <f>'[19]SATIM input'!D12</f>
        <v>4.9000000000000004</v>
      </c>
      <c r="AG23" s="485">
        <f>'[19]SATIM input'!E12</f>
        <v>4.9000000000000004</v>
      </c>
      <c r="AH23" s="485">
        <f>'[19]SATIM input'!F12</f>
        <v>4.9000000000000004</v>
      </c>
      <c r="AI23" s="485">
        <f>'[19]SATIM input'!G12</f>
        <v>4.9000000000000004</v>
      </c>
      <c r="AJ23" s="485">
        <f>'[19]SATIM input'!H12</f>
        <v>4.9000000000000004</v>
      </c>
      <c r="AK23" s="485">
        <f>'[19]SATIM input'!I12</f>
        <v>4.9000000000000004</v>
      </c>
      <c r="AL23" s="485">
        <f>'[19]SATIM input'!J12</f>
        <v>4.9000000000000004</v>
      </c>
      <c r="AM23" s="485">
        <f>'[19]SATIM input'!K12</f>
        <v>4.9000000000000004</v>
      </c>
      <c r="AN23" s="485">
        <f>'[19]SATIM input'!L12</f>
        <v>4.9000000000000004</v>
      </c>
      <c r="AO23" s="485">
        <f>'[19]SATIM input'!M12</f>
        <v>4.9000000000000004</v>
      </c>
      <c r="AP23" s="485">
        <f>'[19]SATIM input'!N12</f>
        <v>4.9000000000000004</v>
      </c>
      <c r="AQ23" s="485">
        <f>'[19]SATIM input'!O12</f>
        <v>4.9000000000000004</v>
      </c>
      <c r="AR23" s="485">
        <f>'[19]SATIM input'!P12</f>
        <v>4.9000000000000004</v>
      </c>
      <c r="AS23" s="485">
        <f>'[19]SATIM input'!Q12</f>
        <v>4.9000000000000004</v>
      </c>
      <c r="AT23" s="485">
        <f>'[19]SATIM input'!R12</f>
        <v>4.9000000000000004</v>
      </c>
      <c r="AU23" s="485">
        <f>'[19]SATIM input'!S12</f>
        <v>4.9000000000000004</v>
      </c>
      <c r="AV23" s="485">
        <f>'[19]SATIM input'!T12</f>
        <v>4.9000000000000004</v>
      </c>
      <c r="AW23" s="485">
        <f>'[19]SATIM input'!U12</f>
        <v>4.9000000000000004</v>
      </c>
      <c r="AX23" s="485">
        <f>'[19]SATIM input'!V12</f>
        <v>4.9000000000000004</v>
      </c>
      <c r="AY23" s="485">
        <f>'[19]SATIM input'!W12</f>
        <v>4.9000000000000004</v>
      </c>
      <c r="AZ23" s="485">
        <f>'[19]SATIM input'!X12</f>
        <v>4.9000000000000004</v>
      </c>
      <c r="BA23" s="485">
        <f>'[19]SATIM input'!Y12</f>
        <v>4.9000000000000004</v>
      </c>
      <c r="BB23" s="485">
        <f>'[19]SATIM input'!Z12</f>
        <v>4.9000000000000004</v>
      </c>
      <c r="BC23" s="485">
        <f>'[19]SATIM input'!AA12</f>
        <v>4.9000000000000004</v>
      </c>
      <c r="BD23" s="485">
        <f>'[19]SATIM input'!AB12</f>
        <v>4.9000000000000004</v>
      </c>
      <c r="BE23" s="485">
        <f>'[19]SATIM input'!AC12</f>
        <v>0</v>
      </c>
      <c r="BF23" s="485">
        <f>'[19]SATIM input'!AD12</f>
        <v>0</v>
      </c>
      <c r="BG23" s="485">
        <f>'[19]SATIM input'!AE12</f>
        <v>0</v>
      </c>
      <c r="BH23" s="485">
        <f>'[19]SATIM input'!AF12</f>
        <v>0</v>
      </c>
      <c r="BI23" s="485">
        <f>'[19]SATIM input'!AG12</f>
        <v>0</v>
      </c>
      <c r="BJ23" s="485">
        <f>'[19]SATIM input'!AH12</f>
        <v>0</v>
      </c>
      <c r="BK23" s="485">
        <f>'[19]SATIM input'!AI12</f>
        <v>0</v>
      </c>
      <c r="BL23" s="485">
        <f>'[19]SATIM input'!AJ12</f>
        <v>0</v>
      </c>
      <c r="BM23" s="485">
        <f>'[19]SATIM input'!AK12</f>
        <v>0</v>
      </c>
      <c r="BN23" s="485">
        <f>'[19]SATIM input'!AL12</f>
        <v>0</v>
      </c>
      <c r="BO23" s="485">
        <f>'[19]SATIM input'!AM12</f>
        <v>0</v>
      </c>
    </row>
    <row r="24" spans="1:67" ht="15" x14ac:dyDescent="0.25">
      <c r="A24" s="497" t="s">
        <v>1427</v>
      </c>
      <c r="L24" s="502" t="s">
        <v>1426</v>
      </c>
      <c r="M24" s="502" t="s">
        <v>1425</v>
      </c>
      <c r="O24" s="561"/>
      <c r="S24" s="550"/>
      <c r="X24" s="490" t="s">
        <v>174</v>
      </c>
      <c r="Y24" s="99" t="s">
        <v>39</v>
      </c>
      <c r="Z24" s="592" t="e">
        <f>SUMIFS('I&amp;S SATIM input'!#REF!,'I&amp;S SATIM input'!#REF!,$X24,'I&amp;S SATIM input'!#REF!,$Y24)</f>
        <v>#REF!</v>
      </c>
      <c r="AA24" s="592" t="e">
        <f>SUMIFS('I&amp;S SATIM input'!#REF!,'I&amp;S SATIM input'!#REF!,$X24,'I&amp;S SATIM input'!#REF!,$Y24)</f>
        <v>#REF!</v>
      </c>
      <c r="AB24" s="489"/>
      <c r="AD24" s="485" t="str">
        <f t="shared" si="1"/>
        <v>IISDRIEAF-EIISCOA</v>
      </c>
      <c r="AE24" s="490" t="s">
        <v>171</v>
      </c>
      <c r="AF24" s="485">
        <f>'[19]SATIM input'!D13</f>
        <v>1.2400000000000002</v>
      </c>
      <c r="AG24" s="485">
        <f>'[19]SATIM input'!E13</f>
        <v>1.2400000000000002</v>
      </c>
      <c r="AH24" s="485">
        <f>'[19]SATIM input'!F13</f>
        <v>1.2400000000000002</v>
      </c>
      <c r="AI24" s="485">
        <f>'[19]SATIM input'!G13</f>
        <v>1.2400000000000002</v>
      </c>
      <c r="AJ24" s="485">
        <f>'[19]SATIM input'!H13</f>
        <v>1.2400000000000002</v>
      </c>
      <c r="AK24" s="485">
        <f>'[19]SATIM input'!I13</f>
        <v>1.2400000000000002</v>
      </c>
      <c r="AL24" s="485">
        <f>'[19]SATIM input'!J13</f>
        <v>1.2400000000000002</v>
      </c>
      <c r="AM24" s="485">
        <f>'[19]SATIM input'!K13</f>
        <v>1.2400000000000002</v>
      </c>
      <c r="AN24" s="485">
        <f>'[19]SATIM input'!L13</f>
        <v>1.2400000000000002</v>
      </c>
      <c r="AO24" s="485">
        <f>'[19]SATIM input'!M13</f>
        <v>1.2400000000000002</v>
      </c>
      <c r="AP24" s="485">
        <f>'[19]SATIM input'!N13</f>
        <v>1.2400000000000002</v>
      </c>
      <c r="AQ24" s="485">
        <f>'[19]SATIM input'!O13</f>
        <v>1.2400000000000002</v>
      </c>
      <c r="AR24" s="485">
        <f>'[19]SATIM input'!P13</f>
        <v>1.2400000000000002</v>
      </c>
      <c r="AS24" s="485">
        <f>'[19]SATIM input'!Q13</f>
        <v>1.2400000000000002</v>
      </c>
      <c r="AT24" s="485">
        <f>'[19]SATIM input'!R13</f>
        <v>1.2400000000000002</v>
      </c>
      <c r="AU24" s="485">
        <f>'[19]SATIM input'!S13</f>
        <v>1.2400000000000002</v>
      </c>
      <c r="AV24" s="485">
        <f>'[19]SATIM input'!T13</f>
        <v>1.2400000000000002</v>
      </c>
      <c r="AW24" s="485">
        <f>'[19]SATIM input'!U13</f>
        <v>1.2400000000000002</v>
      </c>
      <c r="AX24" s="485">
        <f>'[19]SATIM input'!V13</f>
        <v>1.2400000000000002</v>
      </c>
      <c r="AY24" s="485">
        <f>'[19]SATIM input'!W13</f>
        <v>1.2400000000000002</v>
      </c>
      <c r="AZ24" s="485">
        <f>'[19]SATIM input'!X13</f>
        <v>1.2400000000000002</v>
      </c>
      <c r="BA24" s="485">
        <f>'[19]SATIM input'!Y13</f>
        <v>1.2400000000000002</v>
      </c>
      <c r="BB24" s="485">
        <f>'[19]SATIM input'!Z13</f>
        <v>1.2400000000000002</v>
      </c>
      <c r="BC24" s="485">
        <f>'[19]SATIM input'!AA13</f>
        <v>1.2400000000000002</v>
      </c>
      <c r="BD24" s="485">
        <f>'[19]SATIM input'!AB13</f>
        <v>1.2400000000000002</v>
      </c>
      <c r="BE24" s="485">
        <f>'[19]SATIM input'!AC13</f>
        <v>1.2400000000000002</v>
      </c>
      <c r="BF24" s="485">
        <f>'[19]SATIM input'!AD13</f>
        <v>1.2400000000000002</v>
      </c>
      <c r="BG24" s="485">
        <f>'[19]SATIM input'!AE13</f>
        <v>1.2400000000000002</v>
      </c>
      <c r="BH24" s="485">
        <f>'[19]SATIM input'!AF13</f>
        <v>1.2400000000000002</v>
      </c>
      <c r="BI24" s="485">
        <f>'[19]SATIM input'!AG13</f>
        <v>1.2400000000000002</v>
      </c>
      <c r="BJ24" s="485">
        <f>'[19]SATIM input'!AH13</f>
        <v>1.2400000000000002</v>
      </c>
      <c r="BK24" s="485">
        <f>'[19]SATIM input'!AI13</f>
        <v>1.2400000000000002</v>
      </c>
      <c r="BL24" s="485">
        <f>'[19]SATIM input'!AJ13</f>
        <v>1.2400000000000002</v>
      </c>
      <c r="BM24" s="485">
        <f>'[19]SATIM input'!AK13</f>
        <v>1.2400000000000002</v>
      </c>
      <c r="BN24" s="485">
        <f>'[19]SATIM input'!AL13</f>
        <v>1.2400000000000002</v>
      </c>
      <c r="BO24" s="485">
        <f>'[19]SATIM input'!AM13</f>
        <v>0</v>
      </c>
    </row>
    <row r="25" spans="1:67" ht="15" x14ac:dyDescent="0.25">
      <c r="A25" s="500"/>
      <c r="B25" s="560" t="s">
        <v>169</v>
      </c>
      <c r="C25" s="499"/>
      <c r="D25" s="560" t="s">
        <v>42</v>
      </c>
      <c r="E25" s="560" t="s">
        <v>1331</v>
      </c>
      <c r="F25" s="560" t="s">
        <v>703</v>
      </c>
      <c r="G25" s="560" t="s">
        <v>1043</v>
      </c>
      <c r="H25" s="560" t="s">
        <v>589</v>
      </c>
      <c r="I25" s="560">
        <v>3</v>
      </c>
      <c r="J25" s="560">
        <v>0.35</v>
      </c>
      <c r="K25" s="498"/>
      <c r="L25" s="556">
        <f t="shared" ref="L25:L31" si="2">IF(OR(H25="LO",H25="FX"),INDEX($E$13:$H$17,MATCH(B25,$L$13:$L$17,0),MATCH(D25,$E$21:$H$21,0)),L24)</f>
        <v>0.42194897855775038</v>
      </c>
      <c r="M25" s="485" t="str">
        <f t="shared" ref="M25:M54" si="3">IF(RIGHT(B25,1)="N",J25,"")</f>
        <v/>
      </c>
      <c r="O25" s="557">
        <f t="shared" ref="O25:O56" si="4">SUM(L25:N25)</f>
        <v>0.42194897855775038</v>
      </c>
      <c r="R25" s="556" t="e" cm="1">
        <f t="array" ref="R25">IF(H25="LO",INDEX($Z$23:$Z$47,MATCH(AC25,$AD$23:$AD$47,0),0),INDEX($AA$23:$AA$47,MATCH(AC25,$AD$23:$AD$47,0),0))</f>
        <v>#REF!</v>
      </c>
      <c r="S25" s="550"/>
      <c r="X25" s="490" t="s">
        <v>180</v>
      </c>
      <c r="Y25" s="99" t="s">
        <v>39</v>
      </c>
      <c r="Z25" s="592" t="e">
        <f>SUMIFS('I&amp;S SATIM input'!#REF!,'I&amp;S SATIM input'!#REF!,$X25,'I&amp;S SATIM input'!#REF!,$Y25)</f>
        <v>#REF!</v>
      </c>
      <c r="AA25" s="592" t="e">
        <f>SUMIFS('I&amp;S SATIM input'!#REF!,'I&amp;S SATIM input'!#REF!,$X25,'I&amp;S SATIM input'!#REF!,$Y25)</f>
        <v>#REF!</v>
      </c>
      <c r="AB25" s="489"/>
      <c r="AC25" s="485" t="str">
        <f t="shared" ref="AC25:AC56" si="5">B25&amp;D25</f>
        <v>IISBFBOF-EIISCKE</v>
      </c>
      <c r="AD25" s="485" t="str">
        <f t="shared" si="1"/>
        <v>IISSCREAF-EIISCOA</v>
      </c>
      <c r="AE25" s="490" t="s">
        <v>174</v>
      </c>
      <c r="AF25" s="485">
        <f>'[19]SATIM input'!D14</f>
        <v>1.44</v>
      </c>
      <c r="AG25" s="485">
        <f>'[19]SATIM input'!E14</f>
        <v>1.44</v>
      </c>
      <c r="AH25" s="485">
        <f>'[19]SATIM input'!F14</f>
        <v>1.44</v>
      </c>
      <c r="AI25" s="485">
        <f>'[19]SATIM input'!G14</f>
        <v>1.44</v>
      </c>
      <c r="AJ25" s="485">
        <f>'[19]SATIM input'!H14</f>
        <v>1.44</v>
      </c>
      <c r="AK25" s="485">
        <f>'[19]SATIM input'!I14</f>
        <v>1.44</v>
      </c>
      <c r="AL25" s="485">
        <f>'[19]SATIM input'!J14</f>
        <v>1.44</v>
      </c>
      <c r="AM25" s="485">
        <f>'[19]SATIM input'!K14</f>
        <v>1.44</v>
      </c>
      <c r="AN25" s="485">
        <f>'[19]SATIM input'!L14</f>
        <v>1.44</v>
      </c>
      <c r="AO25" s="485">
        <f>'[19]SATIM input'!M14</f>
        <v>1.44</v>
      </c>
      <c r="AP25" s="485">
        <f>'[19]SATIM input'!N14</f>
        <v>1.44</v>
      </c>
      <c r="AQ25" s="485">
        <f>'[19]SATIM input'!O14</f>
        <v>1.44</v>
      </c>
      <c r="AR25" s="485">
        <f>'[19]SATIM input'!P14</f>
        <v>1.44</v>
      </c>
      <c r="AS25" s="485">
        <f>'[19]SATIM input'!Q14</f>
        <v>1.44</v>
      </c>
      <c r="AT25" s="485">
        <f>'[19]SATIM input'!R14</f>
        <v>1.44</v>
      </c>
      <c r="AU25" s="485">
        <f>'[19]SATIM input'!S14</f>
        <v>1.44</v>
      </c>
      <c r="AV25" s="485">
        <f>'[19]SATIM input'!T14</f>
        <v>1.44</v>
      </c>
      <c r="AW25" s="485">
        <f>'[19]SATIM input'!U14</f>
        <v>1.44</v>
      </c>
      <c r="AX25" s="485">
        <f>'[19]SATIM input'!V14</f>
        <v>1.44</v>
      </c>
      <c r="AY25" s="485">
        <f>'[19]SATIM input'!W14</f>
        <v>1.44</v>
      </c>
      <c r="AZ25" s="485">
        <f>'[19]SATIM input'!X14</f>
        <v>1.44</v>
      </c>
      <c r="BA25" s="485">
        <f>'[19]SATIM input'!Y14</f>
        <v>1.44</v>
      </c>
      <c r="BB25" s="485">
        <f>'[19]SATIM input'!Z14</f>
        <v>1.44</v>
      </c>
      <c r="BC25" s="485">
        <f>'[19]SATIM input'!AA14</f>
        <v>1.44</v>
      </c>
      <c r="BD25" s="485">
        <f>'[19]SATIM input'!AB14</f>
        <v>1.44</v>
      </c>
      <c r="BE25" s="485">
        <f>'[19]SATIM input'!AC14</f>
        <v>0</v>
      </c>
      <c r="BF25" s="485">
        <f>'[19]SATIM input'!AD14</f>
        <v>0</v>
      </c>
      <c r="BG25" s="485">
        <f>'[19]SATIM input'!AE14</f>
        <v>0</v>
      </c>
      <c r="BH25" s="485">
        <f>'[19]SATIM input'!AF14</f>
        <v>0</v>
      </c>
      <c r="BI25" s="485">
        <f>'[19]SATIM input'!AG14</f>
        <v>0</v>
      </c>
      <c r="BJ25" s="485">
        <f>'[19]SATIM input'!AH14</f>
        <v>0</v>
      </c>
      <c r="BK25" s="485">
        <f>'[19]SATIM input'!AI14</f>
        <v>0</v>
      </c>
      <c r="BL25" s="485">
        <f>'[19]SATIM input'!AJ14</f>
        <v>0</v>
      </c>
      <c r="BM25" s="485">
        <f>'[19]SATIM input'!AK14</f>
        <v>0</v>
      </c>
      <c r="BN25" s="485">
        <f>'[19]SATIM input'!AL14</f>
        <v>0</v>
      </c>
      <c r="BO25" s="485">
        <f>'[19]SATIM input'!AM14</f>
        <v>0</v>
      </c>
    </row>
    <row r="26" spans="1:67" ht="15" x14ac:dyDescent="0.25">
      <c r="A26" s="490"/>
      <c r="B26" s="99" t="s">
        <v>169</v>
      </c>
      <c r="D26" s="99" t="s">
        <v>42</v>
      </c>
      <c r="E26" s="99" t="s">
        <v>1331</v>
      </c>
      <c r="F26" s="99" t="s">
        <v>703</v>
      </c>
      <c r="G26" s="99" t="s">
        <v>1043</v>
      </c>
      <c r="H26" s="99" t="s">
        <v>590</v>
      </c>
      <c r="I26" s="99">
        <v>3</v>
      </c>
      <c r="J26" s="99">
        <v>0.35</v>
      </c>
      <c r="K26" s="489"/>
      <c r="L26" s="556">
        <f t="shared" si="2"/>
        <v>0.42194897855775038</v>
      </c>
      <c r="M26" s="485" t="str">
        <f t="shared" si="3"/>
        <v/>
      </c>
      <c r="O26" s="557">
        <f t="shared" si="4"/>
        <v>0.42194897855775038</v>
      </c>
      <c r="R26" s="556" t="e" cm="1">
        <f t="array" ref="R26">IF(H26="LO",INDEX($Z$23:$Z$47,MATCH(AC26,$AD$23:$AD$47,0),0),INDEX($AA$23:$AA$47,MATCH(AC26,$AD$23:$AD$47,0),0))</f>
        <v>#REF!</v>
      </c>
      <c r="S26" s="550"/>
      <c r="X26" s="490" t="s">
        <v>171</v>
      </c>
      <c r="Y26" s="99" t="s">
        <v>39</v>
      </c>
      <c r="Z26" s="592" t="e">
        <f>SUMIFS('I&amp;S SATIM input'!#REF!,'I&amp;S SATIM input'!#REF!,$X26,'I&amp;S SATIM input'!#REF!,$Y26)</f>
        <v>#REF!</v>
      </c>
      <c r="AA26" s="592" t="e">
        <f>SUMIFS('I&amp;S SATIM input'!#REF!,'I&amp;S SATIM input'!#REF!,$X26,'I&amp;S SATIM input'!#REF!,$Y26)</f>
        <v>#REF!</v>
      </c>
      <c r="AB26" s="489"/>
      <c r="AC26" s="485" t="str">
        <f t="shared" si="5"/>
        <v>IISBFBOF-EIISCKE</v>
      </c>
      <c r="AD26" s="485" t="str">
        <f t="shared" si="1"/>
        <v>IISCOREAF-EIISCOA</v>
      </c>
      <c r="AE26" s="490" t="s">
        <v>178</v>
      </c>
      <c r="AF26" s="485">
        <f>'[19]SATIM input'!D15</f>
        <v>1</v>
      </c>
      <c r="AG26" s="485">
        <f>'[19]SATIM input'!E15</f>
        <v>1</v>
      </c>
      <c r="AH26" s="485">
        <f>'[19]SATIM input'!F15</f>
        <v>1</v>
      </c>
      <c r="AI26" s="485">
        <f>'[19]SATIM input'!G15</f>
        <v>1</v>
      </c>
      <c r="AJ26" s="485">
        <f>'[19]SATIM input'!H15</f>
        <v>1</v>
      </c>
      <c r="AK26" s="485">
        <f>'[19]SATIM input'!I15</f>
        <v>1</v>
      </c>
      <c r="AL26" s="485">
        <f>'[19]SATIM input'!J15</f>
        <v>1</v>
      </c>
      <c r="AM26" s="485">
        <f>'[19]SATIM input'!K15</f>
        <v>1</v>
      </c>
      <c r="AN26" s="485">
        <f>'[19]SATIM input'!L15</f>
        <v>1</v>
      </c>
      <c r="AO26" s="485">
        <f>'[19]SATIM input'!M15</f>
        <v>1</v>
      </c>
      <c r="AP26" s="485">
        <f>'[19]SATIM input'!N15</f>
        <v>1</v>
      </c>
      <c r="AQ26" s="485">
        <f>'[19]SATIM input'!O15</f>
        <v>1</v>
      </c>
      <c r="AR26" s="485">
        <f>'[19]SATIM input'!P15</f>
        <v>1</v>
      </c>
      <c r="AS26" s="485">
        <f>'[19]SATIM input'!Q15</f>
        <v>1</v>
      </c>
      <c r="AT26" s="485">
        <f>'[19]SATIM input'!R15</f>
        <v>1</v>
      </c>
      <c r="AU26" s="485">
        <f>'[19]SATIM input'!S15</f>
        <v>1</v>
      </c>
      <c r="AV26" s="485">
        <f>'[19]SATIM input'!T15</f>
        <v>1</v>
      </c>
      <c r="AW26" s="485">
        <f>'[19]SATIM input'!U15</f>
        <v>1</v>
      </c>
      <c r="AX26" s="485">
        <f>'[19]SATIM input'!V15</f>
        <v>1</v>
      </c>
      <c r="AY26" s="485">
        <f>'[19]SATIM input'!W15</f>
        <v>1</v>
      </c>
      <c r="AZ26" s="485">
        <f>'[19]SATIM input'!X15</f>
        <v>1</v>
      </c>
      <c r="BA26" s="485">
        <f>'[19]SATIM input'!Y15</f>
        <v>1</v>
      </c>
      <c r="BB26" s="485">
        <f>'[19]SATIM input'!Z15</f>
        <v>1</v>
      </c>
      <c r="BC26" s="485">
        <f>'[19]SATIM input'!AA15</f>
        <v>1</v>
      </c>
      <c r="BD26" s="485">
        <f>'[19]SATIM input'!AB15</f>
        <v>1</v>
      </c>
      <c r="BE26" s="485">
        <f>'[19]SATIM input'!AC15</f>
        <v>0</v>
      </c>
      <c r="BF26" s="485">
        <f>'[19]SATIM input'!AD15</f>
        <v>0</v>
      </c>
      <c r="BG26" s="485">
        <f>'[19]SATIM input'!AE15</f>
        <v>0</v>
      </c>
      <c r="BH26" s="485">
        <f>'[19]SATIM input'!AF15</f>
        <v>0</v>
      </c>
      <c r="BI26" s="485">
        <f>'[19]SATIM input'!AG15</f>
        <v>0</v>
      </c>
      <c r="BJ26" s="485">
        <f>'[19]SATIM input'!AH15</f>
        <v>0</v>
      </c>
      <c r="BK26" s="485">
        <f>'[19]SATIM input'!AI15</f>
        <v>0</v>
      </c>
      <c r="BL26" s="485">
        <f>'[19]SATIM input'!AJ15</f>
        <v>0</v>
      </c>
      <c r="BM26" s="485">
        <f>'[19]SATIM input'!AK15</f>
        <v>0</v>
      </c>
      <c r="BN26" s="485">
        <f>'[19]SATIM input'!AL15</f>
        <v>0</v>
      </c>
      <c r="BO26" s="485">
        <f>'[19]SATIM input'!AM15</f>
        <v>0</v>
      </c>
    </row>
    <row r="27" spans="1:67" ht="15" x14ac:dyDescent="0.25">
      <c r="A27" s="490"/>
      <c r="B27" s="99" t="s">
        <v>169</v>
      </c>
      <c r="D27" s="99" t="s">
        <v>39</v>
      </c>
      <c r="E27" s="99" t="s">
        <v>1331</v>
      </c>
      <c r="F27" s="99" t="s">
        <v>703</v>
      </c>
      <c r="G27" s="99" t="s">
        <v>1043</v>
      </c>
      <c r="H27" s="99" t="s">
        <v>589</v>
      </c>
      <c r="I27" s="99">
        <v>3</v>
      </c>
      <c r="J27" s="99">
        <v>0.17</v>
      </c>
      <c r="K27" s="489"/>
      <c r="L27" s="556">
        <f t="shared" si="2"/>
        <v>0.20494664672805019</v>
      </c>
      <c r="M27" s="485" t="str">
        <f t="shared" si="3"/>
        <v/>
      </c>
      <c r="O27" s="557">
        <f t="shared" si="4"/>
        <v>0.20494664672805019</v>
      </c>
      <c r="R27" s="556" t="e" cm="1">
        <f t="array" ref="R27">IF(H27="LO",INDEX($Z$23:$Z$47,MATCH(AC27,$AD$23:$AD$47,0),0),INDEX($AA$23:$AA$47,MATCH(AC27,$AD$23:$AD$47,0),0))</f>
        <v>#REF!</v>
      </c>
      <c r="X27" s="490" t="s">
        <v>178</v>
      </c>
      <c r="Y27" s="99" t="s">
        <v>39</v>
      </c>
      <c r="Z27" s="592" t="e">
        <f>SUMIFS('I&amp;S SATIM input'!#REF!,'I&amp;S SATIM input'!#REF!,$X27,'I&amp;S SATIM input'!#REF!,$Y27)</f>
        <v>#REF!</v>
      </c>
      <c r="AA27" s="592" t="e">
        <f>SUMIFS('I&amp;S SATIM input'!#REF!,'I&amp;S SATIM input'!#REF!,$X27,'I&amp;S SATIM input'!#REF!,$Y27)</f>
        <v>#REF!</v>
      </c>
      <c r="AB27" s="489"/>
      <c r="AC27" s="485" t="str">
        <f t="shared" si="5"/>
        <v>IISBFBOF-EIISCOA</v>
      </c>
      <c r="AD27" s="485" t="str">
        <f t="shared" si="1"/>
        <v>IISOTHEAF-EIISCOA</v>
      </c>
      <c r="AE27" s="490" t="s">
        <v>180</v>
      </c>
      <c r="AF27" s="485">
        <f>'[19]SATIM input'!D16</f>
        <v>1.7200000000000002</v>
      </c>
      <c r="AG27" s="485">
        <f>'[19]SATIM input'!E16</f>
        <v>1.7200000000000002</v>
      </c>
      <c r="AH27" s="485">
        <f>'[19]SATIM input'!F16</f>
        <v>1.7200000000000002</v>
      </c>
      <c r="AI27" s="485">
        <f>'[19]SATIM input'!G16</f>
        <v>1.7200000000000002</v>
      </c>
      <c r="AJ27" s="485">
        <f>'[19]SATIM input'!H16</f>
        <v>1.3200000000000003</v>
      </c>
      <c r="AK27" s="485">
        <f>'[19]SATIM input'!I16</f>
        <v>1.3200000000000003</v>
      </c>
      <c r="AL27" s="485">
        <f>'[19]SATIM input'!J16</f>
        <v>1.3200000000000003</v>
      </c>
      <c r="AM27" s="485">
        <f>'[19]SATIM input'!K16</f>
        <v>1.3200000000000003</v>
      </c>
      <c r="AN27" s="485">
        <f>'[19]SATIM input'!L16</f>
        <v>1.3200000000000003</v>
      </c>
      <c r="AO27" s="485">
        <f>'[19]SATIM input'!M16</f>
        <v>1.3200000000000003</v>
      </c>
      <c r="AP27" s="485">
        <f>'[19]SATIM input'!N16</f>
        <v>1.3200000000000003</v>
      </c>
      <c r="AQ27" s="485">
        <f>'[19]SATIM input'!O16</f>
        <v>1.3200000000000003</v>
      </c>
      <c r="AR27" s="485">
        <f>'[19]SATIM input'!P16</f>
        <v>1.3200000000000003</v>
      </c>
      <c r="AS27" s="485">
        <f>'[19]SATIM input'!Q16</f>
        <v>1.3200000000000003</v>
      </c>
      <c r="AT27" s="485">
        <f>'[19]SATIM input'!R16</f>
        <v>1.3200000000000003</v>
      </c>
      <c r="AU27" s="485">
        <f>'[19]SATIM input'!S16</f>
        <v>1.3200000000000003</v>
      </c>
      <c r="AV27" s="485">
        <f>'[19]SATIM input'!T16</f>
        <v>1.3200000000000003</v>
      </c>
      <c r="AW27" s="485">
        <f>'[19]SATIM input'!U16</f>
        <v>1.3200000000000003</v>
      </c>
      <c r="AX27" s="485">
        <f>'[19]SATIM input'!V16</f>
        <v>1.3200000000000003</v>
      </c>
      <c r="AY27" s="485">
        <f>'[19]SATIM input'!W16</f>
        <v>1.3200000000000003</v>
      </c>
      <c r="AZ27" s="485">
        <f>'[19]SATIM input'!X16</f>
        <v>1.3200000000000003</v>
      </c>
      <c r="BA27" s="485">
        <f>'[19]SATIM input'!Y16</f>
        <v>1.3200000000000003</v>
      </c>
      <c r="BB27" s="485">
        <f>'[19]SATIM input'!Z16</f>
        <v>1.3200000000000003</v>
      </c>
      <c r="BC27" s="485">
        <f>'[19]SATIM input'!AA16</f>
        <v>1.3200000000000003</v>
      </c>
      <c r="BD27" s="485">
        <f>'[19]SATIM input'!AB16</f>
        <v>1.3200000000000003</v>
      </c>
      <c r="BE27" s="485">
        <f>'[19]SATIM input'!AC16</f>
        <v>0</v>
      </c>
      <c r="BF27" s="485">
        <f>'[19]SATIM input'!AD16</f>
        <v>0</v>
      </c>
      <c r="BG27" s="485">
        <f>'[19]SATIM input'!AE16</f>
        <v>0</v>
      </c>
      <c r="BH27" s="485">
        <f>'[19]SATIM input'!AF16</f>
        <v>0</v>
      </c>
      <c r="BI27" s="485">
        <f>'[19]SATIM input'!AG16</f>
        <v>0</v>
      </c>
      <c r="BJ27" s="485">
        <f>'[19]SATIM input'!AH16</f>
        <v>0</v>
      </c>
      <c r="BK27" s="485">
        <f>'[19]SATIM input'!AI16</f>
        <v>0</v>
      </c>
      <c r="BL27" s="485">
        <f>'[19]SATIM input'!AJ16</f>
        <v>0</v>
      </c>
      <c r="BM27" s="485">
        <f>'[19]SATIM input'!AK16</f>
        <v>0</v>
      </c>
      <c r="BN27" s="485">
        <f>'[19]SATIM input'!AL16</f>
        <v>0</v>
      </c>
      <c r="BO27" s="485">
        <f>'[19]SATIM input'!AM16</f>
        <v>0</v>
      </c>
    </row>
    <row r="28" spans="1:67" ht="15" x14ac:dyDescent="0.25">
      <c r="A28" s="490"/>
      <c r="B28" s="99" t="s">
        <v>169</v>
      </c>
      <c r="D28" s="99" t="s">
        <v>39</v>
      </c>
      <c r="E28" s="99" t="s">
        <v>1331</v>
      </c>
      <c r="F28" s="99" t="s">
        <v>703</v>
      </c>
      <c r="G28" s="99" t="s">
        <v>1043</v>
      </c>
      <c r="H28" s="99" t="s">
        <v>590</v>
      </c>
      <c r="I28" s="99">
        <v>3</v>
      </c>
      <c r="J28" s="99">
        <v>0.17</v>
      </c>
      <c r="K28" s="489"/>
      <c r="L28" s="556">
        <f t="shared" si="2"/>
        <v>0.20494664672805019</v>
      </c>
      <c r="M28" s="485" t="str">
        <f t="shared" si="3"/>
        <v/>
      </c>
      <c r="O28" s="557">
        <f t="shared" si="4"/>
        <v>0.20494664672805019</v>
      </c>
      <c r="R28" s="556" t="e" cm="1">
        <f t="array" ref="R28">IF(H28="LO",INDEX($Z$23:$Z$47,MATCH(AC28,$AD$23:$AD$47,0),0),INDEX($AA$23:$AA$47,MATCH(AC28,$AD$23:$AD$47,0),0))</f>
        <v>#REF!</v>
      </c>
      <c r="X28" s="490" t="s">
        <v>169</v>
      </c>
      <c r="Y28" s="99" t="s">
        <v>38</v>
      </c>
      <c r="Z28" s="592" t="e">
        <f>SUMIFS('I&amp;S SATIM input'!#REF!,'I&amp;S SATIM input'!#REF!,$X28,'I&amp;S SATIM input'!#REF!,$Y28)</f>
        <v>#REF!</v>
      </c>
      <c r="AA28" s="592" t="e">
        <f>SUMIFS('I&amp;S SATIM input'!#REF!,'I&amp;S SATIM input'!#REF!,$X28,'I&amp;S SATIM input'!#REF!,$Y28)</f>
        <v>#REF!</v>
      </c>
      <c r="AB28" s="489"/>
      <c r="AC28" s="485" t="str">
        <f t="shared" si="5"/>
        <v>IISBFBOF-EIISCOA</v>
      </c>
      <c r="AD28" s="485" t="str">
        <f t="shared" si="1"/>
        <v>IISBFBOF-EIISELC</v>
      </c>
    </row>
    <row r="29" spans="1:67" ht="15" x14ac:dyDescent="0.25">
      <c r="A29" s="490"/>
      <c r="B29" s="99" t="s">
        <v>169</v>
      </c>
      <c r="D29" s="99" t="s">
        <v>38</v>
      </c>
      <c r="E29" s="99" t="s">
        <v>1331</v>
      </c>
      <c r="F29" s="99" t="s">
        <v>703</v>
      </c>
      <c r="G29" s="99" t="s">
        <v>1043</v>
      </c>
      <c r="H29" s="99" t="s">
        <v>589</v>
      </c>
      <c r="I29" s="99">
        <v>3</v>
      </c>
      <c r="J29" s="99">
        <v>0.23</v>
      </c>
      <c r="K29" s="489"/>
      <c r="L29" s="556">
        <f t="shared" si="2"/>
        <v>0.13801851523202419</v>
      </c>
      <c r="M29" s="485" t="str">
        <f t="shared" si="3"/>
        <v/>
      </c>
      <c r="O29" s="557">
        <f t="shared" si="4"/>
        <v>0.13801851523202419</v>
      </c>
      <c r="R29" s="556" t="e" cm="1">
        <f t="array" ref="R29">IF(H29="LO",INDEX($Z$23:$Z$47,MATCH(AC29,$AD$23:$AD$47,0),0),INDEX($AA$23:$AA$47,MATCH(AC29,$AD$23:$AD$47,0),0))</f>
        <v>#REF!</v>
      </c>
      <c r="X29" s="490" t="s">
        <v>174</v>
      </c>
      <c r="Y29" s="99" t="s">
        <v>38</v>
      </c>
      <c r="Z29" s="592" t="e">
        <f>SUMIFS('I&amp;S SATIM input'!#REF!,'I&amp;S SATIM input'!#REF!,$X29,'I&amp;S SATIM input'!#REF!,$Y29)</f>
        <v>#REF!</v>
      </c>
      <c r="AA29" s="592" t="e">
        <f>SUMIFS('I&amp;S SATIM input'!#REF!,'I&amp;S SATIM input'!#REF!,$X29,'I&amp;S SATIM input'!#REF!,$Y29)</f>
        <v>#REF!</v>
      </c>
      <c r="AB29" s="489"/>
      <c r="AC29" s="485" t="str">
        <f t="shared" si="5"/>
        <v>IISBFBOF-EIISELC</v>
      </c>
      <c r="AD29" s="485" t="str">
        <f t="shared" si="1"/>
        <v>IISDRIEAF-EIISELC</v>
      </c>
    </row>
    <row r="30" spans="1:67" ht="15" x14ac:dyDescent="0.25">
      <c r="A30" s="490"/>
      <c r="B30" s="99" t="s">
        <v>169</v>
      </c>
      <c r="D30" s="99" t="s">
        <v>588</v>
      </c>
      <c r="E30" s="99" t="s">
        <v>1331</v>
      </c>
      <c r="F30" s="99" t="s">
        <v>703</v>
      </c>
      <c r="G30" s="99" t="s">
        <v>1043</v>
      </c>
      <c r="H30" s="99" t="s">
        <v>589</v>
      </c>
      <c r="I30" s="99">
        <v>3</v>
      </c>
      <c r="J30" s="99">
        <v>0.245</v>
      </c>
      <c r="K30" s="489"/>
      <c r="L30" s="556">
        <f t="shared" si="2"/>
        <v>0.23508585948217525</v>
      </c>
      <c r="M30" s="485" t="str">
        <f t="shared" si="3"/>
        <v/>
      </c>
      <c r="O30" s="557">
        <f t="shared" si="4"/>
        <v>0.23508585948217525</v>
      </c>
      <c r="R30" s="556" t="e" cm="1">
        <f t="array" ref="R30">IF(H30="LO",INDEX($Z$23:$Z$47,MATCH(AC30,$AD$23:$AD$47,0),0),INDEX($AA$23:$AA$47,MATCH(AC30,$AD$23:$AD$47,0),0))</f>
        <v>#REF!</v>
      </c>
      <c r="X30" s="490" t="s">
        <v>180</v>
      </c>
      <c r="Y30" s="99" t="s">
        <v>38</v>
      </c>
      <c r="Z30" s="592" t="e">
        <f>SUMIFS('I&amp;S SATIM input'!#REF!,'I&amp;S SATIM input'!#REF!,$X30,'I&amp;S SATIM input'!#REF!,$Y30)</f>
        <v>#REF!</v>
      </c>
      <c r="AA30" s="592" t="e">
        <f>SUMIFS('I&amp;S SATIM input'!#REF!,'I&amp;S SATIM input'!#REF!,$X30,'I&amp;S SATIM input'!#REF!,$Y30)</f>
        <v>#REF!</v>
      </c>
      <c r="AB30" s="489"/>
      <c r="AC30" s="485" t="str">
        <f t="shared" si="5"/>
        <v>IISBFBOF-EIISGAS</v>
      </c>
      <c r="AD30" s="485" t="str">
        <f t="shared" si="1"/>
        <v>IISSCREAF-EIISELC</v>
      </c>
      <c r="AE30" s="497" t="s">
        <v>529</v>
      </c>
    </row>
    <row r="31" spans="1:67" ht="15" x14ac:dyDescent="0.25">
      <c r="A31" s="490"/>
      <c r="B31" s="99" t="s">
        <v>169</v>
      </c>
      <c r="D31" s="99" t="s">
        <v>588</v>
      </c>
      <c r="E31" s="99" t="s">
        <v>1331</v>
      </c>
      <c r="F31" s="99" t="s">
        <v>703</v>
      </c>
      <c r="G31" s="99" t="s">
        <v>1043</v>
      </c>
      <c r="H31" s="99" t="s">
        <v>590</v>
      </c>
      <c r="I31" s="99">
        <v>3</v>
      </c>
      <c r="J31" s="99">
        <v>0.245</v>
      </c>
      <c r="K31" s="489"/>
      <c r="L31" s="556">
        <f t="shared" si="2"/>
        <v>0.23508585948217525</v>
      </c>
      <c r="M31" s="485" t="str">
        <f t="shared" si="3"/>
        <v/>
      </c>
      <c r="O31" s="557">
        <f t="shared" si="4"/>
        <v>0.23508585948217525</v>
      </c>
      <c r="R31" s="556" t="e" cm="1">
        <f t="array" ref="R31">IF(H31="LO",INDEX($Z$23:$Z$47,MATCH(AC31,$AD$23:$AD$47,0),0),INDEX($AA$23:$AA$47,MATCH(AC31,$AD$23:$AD$47,0),0))</f>
        <v>#REF!</v>
      </c>
      <c r="X31" s="490" t="s">
        <v>171</v>
      </c>
      <c r="Y31" s="99" t="s">
        <v>38</v>
      </c>
      <c r="Z31" s="592" t="e">
        <f>SUMIFS('I&amp;S SATIM input'!#REF!,'I&amp;S SATIM input'!#REF!,$X31,'I&amp;S SATIM input'!#REF!,$Y31)</f>
        <v>#REF!</v>
      </c>
      <c r="AA31" s="592" t="e">
        <f>SUMIFS('I&amp;S SATIM input'!#REF!,'I&amp;S SATIM input'!#REF!,$X31,'I&amp;S SATIM input'!#REF!,$Y31)</f>
        <v>#REF!</v>
      </c>
      <c r="AB31" s="489"/>
      <c r="AC31" s="485" t="str">
        <f t="shared" si="5"/>
        <v>IISBFBOF-EIISGAS</v>
      </c>
      <c r="AD31" s="485" t="str">
        <f t="shared" si="1"/>
        <v>IISCOREAF-EIISELC</v>
      </c>
      <c r="AE31" s="497" t="s">
        <v>533</v>
      </c>
      <c r="AF31" s="485" t="str">
        <f>'[19]SATIM input'!D29</f>
        <v>-0.126</v>
      </c>
      <c r="AG31" s="485" t="str">
        <f>'[19]SATIM input'!E29</f>
        <v>-0.126</v>
      </c>
      <c r="AH31" s="485" t="str">
        <f>'[19]SATIM input'!F29</f>
        <v>-0.126</v>
      </c>
      <c r="AI31" s="485" t="str">
        <f>'[19]SATIM input'!G29</f>
        <v>-0.217</v>
      </c>
      <c r="AJ31" s="485" t="str">
        <f>'[19]SATIM input'!H29</f>
        <v>-0.221</v>
      </c>
      <c r="AK31" s="485" t="str">
        <f>'[19]SATIM input'!I29</f>
        <v>-0.216</v>
      </c>
      <c r="AL31" s="485" t="str">
        <f>'[19]SATIM input'!J29</f>
        <v>-0.196</v>
      </c>
      <c r="AM31" s="485" t="str">
        <f>'[19]SATIM input'!K29</f>
        <v>-0.201</v>
      </c>
      <c r="AN31" s="485" t="str">
        <f>'[19]SATIM input'!L29</f>
        <v>-0.246</v>
      </c>
    </row>
    <row r="32" spans="1:67" ht="15" x14ac:dyDescent="0.25">
      <c r="A32" s="490"/>
      <c r="B32" s="99" t="s">
        <v>169</v>
      </c>
      <c r="D32" s="99" t="s">
        <v>1276</v>
      </c>
      <c r="E32" s="99" t="s">
        <v>1331</v>
      </c>
      <c r="F32" s="99" t="s">
        <v>703</v>
      </c>
      <c r="G32" s="99" t="s">
        <v>1043</v>
      </c>
      <c r="H32" s="99" t="s">
        <v>589</v>
      </c>
      <c r="I32" s="99">
        <v>3</v>
      </c>
      <c r="J32" s="99">
        <v>5.0000000000000001E-3</v>
      </c>
      <c r="K32" s="489"/>
      <c r="M32" s="485" t="str">
        <f t="shared" si="3"/>
        <v/>
      </c>
      <c r="N32" s="556">
        <f>IF(H32="UP",J32,0)</f>
        <v>0</v>
      </c>
      <c r="O32" s="557">
        <f t="shared" si="4"/>
        <v>0</v>
      </c>
      <c r="R32" s="556"/>
      <c r="X32" s="490" t="s">
        <v>178</v>
      </c>
      <c r="Y32" s="99" t="s">
        <v>38</v>
      </c>
      <c r="Z32" s="592" t="e">
        <f>SUMIFS('I&amp;S SATIM input'!#REF!,'I&amp;S SATIM input'!#REF!,$X32,'I&amp;S SATIM input'!#REF!,$Y32)</f>
        <v>#REF!</v>
      </c>
      <c r="AA32" s="592" t="e">
        <f>SUMIFS('I&amp;S SATIM input'!#REF!,'I&amp;S SATIM input'!#REF!,$X32,'I&amp;S SATIM input'!#REF!,$Y32)</f>
        <v>#REF!</v>
      </c>
      <c r="AB32" s="489"/>
      <c r="AC32" s="485" t="str">
        <f t="shared" si="5"/>
        <v>IISBFBOF-EIISOIL</v>
      </c>
      <c r="AD32" s="485" t="str">
        <f t="shared" si="1"/>
        <v>IISOTHEAF-EIISELC</v>
      </c>
      <c r="AE32" s="497" t="s">
        <v>787</v>
      </c>
      <c r="AF32" s="485" t="str">
        <f>'[19]SATIM input'!D30</f>
        <v>-0.121</v>
      </c>
      <c r="AG32" s="485" t="str">
        <f>'[19]SATIM input'!E30</f>
        <v>-0.121</v>
      </c>
      <c r="AH32" s="485" t="str">
        <f>'[19]SATIM input'!F30</f>
        <v>-0.121</v>
      </c>
      <c r="AI32" s="485" t="str">
        <f>'[19]SATIM input'!G30</f>
        <v>-0.209</v>
      </c>
      <c r="AJ32" s="485" t="str">
        <f>'[19]SATIM input'!H30</f>
        <v>-0.212</v>
      </c>
      <c r="AK32" s="485" t="str">
        <f>'[19]SATIM input'!I30</f>
        <v>-0.208</v>
      </c>
      <c r="AL32" s="485" t="str">
        <f>'[19]SATIM input'!J30</f>
        <v>-0.188</v>
      </c>
      <c r="AM32" s="485" t="str">
        <f>'[19]SATIM input'!K30</f>
        <v>-0.193</v>
      </c>
      <c r="AN32" s="485" t="str">
        <f>'[19]SATIM input'!L30</f>
        <v>-0.237</v>
      </c>
    </row>
    <row r="33" spans="1:30" ht="15" x14ac:dyDescent="0.25">
      <c r="A33" s="490"/>
      <c r="B33" s="404" t="s">
        <v>169</v>
      </c>
      <c r="C33" s="487"/>
      <c r="D33" s="404" t="s">
        <v>1276</v>
      </c>
      <c r="E33" s="404" t="s">
        <v>1331</v>
      </c>
      <c r="F33" s="404" t="s">
        <v>703</v>
      </c>
      <c r="G33" s="404" t="s">
        <v>1043</v>
      </c>
      <c r="H33" s="404" t="s">
        <v>590</v>
      </c>
      <c r="I33" s="404">
        <v>3</v>
      </c>
      <c r="J33" s="404">
        <v>5.0000000000000001E-3</v>
      </c>
      <c r="K33" s="489"/>
      <c r="M33" s="487" t="str">
        <f t="shared" si="3"/>
        <v/>
      </c>
      <c r="N33" s="558">
        <f>IF(H33="UP",J33,0)</f>
        <v>5.0000000000000001E-3</v>
      </c>
      <c r="O33" s="559">
        <f t="shared" si="4"/>
        <v>5.0000000000000001E-3</v>
      </c>
      <c r="P33" s="487"/>
      <c r="Q33" s="487"/>
      <c r="R33" s="558"/>
      <c r="X33" s="490" t="s">
        <v>169</v>
      </c>
      <c r="Y33" s="99" t="s">
        <v>42</v>
      </c>
      <c r="Z33" s="592" t="e">
        <f>SUMIFS('I&amp;S SATIM input'!#REF!,'I&amp;S SATIM input'!#REF!,$X33,'I&amp;S SATIM input'!#REF!,$Y33)</f>
        <v>#REF!</v>
      </c>
      <c r="AA33" s="592" t="e">
        <f>SUMIFS('I&amp;S SATIM input'!#REF!,'I&amp;S SATIM input'!#REF!,$X33,'I&amp;S SATIM input'!#REF!,$Y33)</f>
        <v>#REF!</v>
      </c>
      <c r="AB33" s="489"/>
      <c r="AC33" s="485" t="str">
        <f t="shared" si="5"/>
        <v>IISBFBOF-EIISOIL</v>
      </c>
      <c r="AD33" s="485" t="str">
        <f t="shared" si="1"/>
        <v>IISBFBOF-EIISCKE</v>
      </c>
    </row>
    <row r="34" spans="1:30" ht="15" x14ac:dyDescent="0.25">
      <c r="A34" s="490"/>
      <c r="B34" s="99" t="s">
        <v>538</v>
      </c>
      <c r="D34" s="99" t="s">
        <v>42</v>
      </c>
      <c r="E34" s="99" t="s">
        <v>1327</v>
      </c>
      <c r="F34" s="99" t="s">
        <v>703</v>
      </c>
      <c r="G34" s="99" t="s">
        <v>1043</v>
      </c>
      <c r="H34" s="99" t="s">
        <v>589</v>
      </c>
      <c r="I34" s="99">
        <v>3</v>
      </c>
      <c r="J34" s="99">
        <v>0.25</v>
      </c>
      <c r="K34" s="489"/>
      <c r="M34" s="485">
        <f t="shared" si="3"/>
        <v>0.25</v>
      </c>
      <c r="O34" s="557">
        <f t="shared" si="4"/>
        <v>0.25</v>
      </c>
      <c r="R34" s="556" t="e">
        <f t="shared" ref="R34:R42" si="6">R25</f>
        <v>#REF!</v>
      </c>
      <c r="X34" s="490" t="s">
        <v>174</v>
      </c>
      <c r="Y34" s="99" t="s">
        <v>42</v>
      </c>
      <c r="Z34" s="592" t="e">
        <f>SUMIFS('I&amp;S SATIM input'!#REF!,'I&amp;S SATIM input'!#REF!,$X34,'I&amp;S SATIM input'!#REF!,$Y34)</f>
        <v>#REF!</v>
      </c>
      <c r="AA34" s="592" t="e">
        <f>SUMIFS('I&amp;S SATIM input'!#REF!,'I&amp;S SATIM input'!#REF!,$X34,'I&amp;S SATIM input'!#REF!,$Y34)</f>
        <v>#REF!</v>
      </c>
      <c r="AB34" s="489"/>
      <c r="AC34" s="485" t="str">
        <f t="shared" si="5"/>
        <v>IISBFBOF-NIISCKE</v>
      </c>
      <c r="AD34" s="485" t="str">
        <f t="shared" si="1"/>
        <v>IISDRIEAF-EIISCKE</v>
      </c>
    </row>
    <row r="35" spans="1:30" ht="15" x14ac:dyDescent="0.25">
      <c r="A35" s="490"/>
      <c r="B35" s="99" t="s">
        <v>538</v>
      </c>
      <c r="D35" s="99" t="s">
        <v>42</v>
      </c>
      <c r="E35" s="99" t="s">
        <v>1327</v>
      </c>
      <c r="F35" s="99" t="s">
        <v>703</v>
      </c>
      <c r="G35" s="99" t="s">
        <v>1043</v>
      </c>
      <c r="H35" s="99" t="s">
        <v>590</v>
      </c>
      <c r="I35" s="99">
        <v>3</v>
      </c>
      <c r="J35" s="99">
        <v>0.35</v>
      </c>
      <c r="K35" s="489"/>
      <c r="M35" s="485">
        <f t="shared" si="3"/>
        <v>0.35</v>
      </c>
      <c r="O35" s="557">
        <f t="shared" si="4"/>
        <v>0.35</v>
      </c>
      <c r="R35" s="556" t="e">
        <f t="shared" si="6"/>
        <v>#REF!</v>
      </c>
      <c r="X35" s="490" t="s">
        <v>180</v>
      </c>
      <c r="Y35" s="99" t="s">
        <v>42</v>
      </c>
      <c r="Z35" s="592" t="e">
        <f>SUMIFS('I&amp;S SATIM input'!#REF!,'I&amp;S SATIM input'!#REF!,$X35,'I&amp;S SATIM input'!#REF!,$Y35)</f>
        <v>#REF!</v>
      </c>
      <c r="AA35" s="592" t="e">
        <f>SUMIFS('I&amp;S SATIM input'!#REF!,'I&amp;S SATIM input'!#REF!,$X35,'I&amp;S SATIM input'!#REF!,$Y35)</f>
        <v>#REF!</v>
      </c>
      <c r="AB35" s="489"/>
      <c r="AC35" s="485" t="str">
        <f t="shared" si="5"/>
        <v>IISBFBOF-NIISCKE</v>
      </c>
      <c r="AD35" s="485" t="str">
        <f t="shared" si="1"/>
        <v>IISSCREAF-EIISCKE</v>
      </c>
    </row>
    <row r="36" spans="1:30" ht="15" x14ac:dyDescent="0.25">
      <c r="A36" s="490"/>
      <c r="B36" s="99" t="s">
        <v>538</v>
      </c>
      <c r="D36" s="99" t="s">
        <v>39</v>
      </c>
      <c r="E36" s="99" t="s">
        <v>1327</v>
      </c>
      <c r="F36" s="99" t="s">
        <v>703</v>
      </c>
      <c r="G36" s="99" t="s">
        <v>1043</v>
      </c>
      <c r="H36" s="99" t="s">
        <v>589</v>
      </c>
      <c r="I36" s="99">
        <v>3</v>
      </c>
      <c r="J36" s="99">
        <v>0.15</v>
      </c>
      <c r="K36" s="489"/>
      <c r="M36" s="485">
        <f t="shared" si="3"/>
        <v>0.15</v>
      </c>
      <c r="O36" s="557">
        <f t="shared" si="4"/>
        <v>0.15</v>
      </c>
      <c r="R36" s="556" t="e">
        <f t="shared" si="6"/>
        <v>#REF!</v>
      </c>
      <c r="X36" s="490" t="s">
        <v>171</v>
      </c>
      <c r="Y36" s="99" t="s">
        <v>42</v>
      </c>
      <c r="Z36" s="592" t="e">
        <f>SUMIFS('I&amp;S SATIM input'!#REF!,'I&amp;S SATIM input'!#REF!,$X36,'I&amp;S SATIM input'!#REF!,$Y36)</f>
        <v>#REF!</v>
      </c>
      <c r="AA36" s="592" t="e">
        <f>SUMIFS('I&amp;S SATIM input'!#REF!,'I&amp;S SATIM input'!#REF!,$X36,'I&amp;S SATIM input'!#REF!,$Y36)</f>
        <v>#REF!</v>
      </c>
      <c r="AB36" s="489"/>
      <c r="AC36" s="485" t="str">
        <f t="shared" si="5"/>
        <v>IISBFBOF-NIISCOA</v>
      </c>
      <c r="AD36" s="485" t="str">
        <f t="shared" si="1"/>
        <v>IISCOREAF-EIISCKE</v>
      </c>
    </row>
    <row r="37" spans="1:30" ht="15" x14ac:dyDescent="0.25">
      <c r="A37" s="490"/>
      <c r="B37" s="99" t="s">
        <v>538</v>
      </c>
      <c r="D37" s="99" t="s">
        <v>39</v>
      </c>
      <c r="E37" s="99" t="s">
        <v>1327</v>
      </c>
      <c r="F37" s="99" t="s">
        <v>703</v>
      </c>
      <c r="G37" s="99" t="s">
        <v>1043</v>
      </c>
      <c r="H37" s="99" t="s">
        <v>590</v>
      </c>
      <c r="I37" s="99">
        <v>3</v>
      </c>
      <c r="J37" s="99">
        <v>0.17100000000000001</v>
      </c>
      <c r="K37" s="489"/>
      <c r="M37" s="485">
        <f t="shared" si="3"/>
        <v>0.17100000000000001</v>
      </c>
      <c r="O37" s="557">
        <f t="shared" si="4"/>
        <v>0.17100000000000001</v>
      </c>
      <c r="R37" s="556" t="e">
        <f t="shared" si="6"/>
        <v>#REF!</v>
      </c>
      <c r="X37" s="490" t="s">
        <v>178</v>
      </c>
      <c r="Y37" s="99" t="s">
        <v>42</v>
      </c>
      <c r="Z37" s="592" t="e">
        <f>SUMIFS('I&amp;S SATIM input'!#REF!,'I&amp;S SATIM input'!#REF!,$X37,'I&amp;S SATIM input'!#REF!,$Y37)</f>
        <v>#REF!</v>
      </c>
      <c r="AA37" s="592" t="e">
        <f>SUMIFS('I&amp;S SATIM input'!#REF!,'I&amp;S SATIM input'!#REF!,$X37,'I&amp;S SATIM input'!#REF!,$Y37)</f>
        <v>#REF!</v>
      </c>
      <c r="AB37" s="489"/>
      <c r="AC37" s="485" t="str">
        <f t="shared" si="5"/>
        <v>IISBFBOF-NIISCOA</v>
      </c>
      <c r="AD37" s="485" t="str">
        <f t="shared" si="1"/>
        <v>IISOTHEAF-EIISCKE</v>
      </c>
    </row>
    <row r="38" spans="1:30" ht="15" x14ac:dyDescent="0.25">
      <c r="A38" s="490"/>
      <c r="B38" s="99" t="s">
        <v>538</v>
      </c>
      <c r="D38" s="99" t="s">
        <v>38</v>
      </c>
      <c r="E38" s="99" t="s">
        <v>1327</v>
      </c>
      <c r="F38" s="99" t="s">
        <v>703</v>
      </c>
      <c r="G38" s="99" t="s">
        <v>1043</v>
      </c>
      <c r="H38" s="99" t="s">
        <v>1044</v>
      </c>
      <c r="I38" s="99">
        <v>3</v>
      </c>
      <c r="J38" s="99">
        <v>0.23</v>
      </c>
      <c r="K38" s="489"/>
      <c r="M38" s="485">
        <f t="shared" si="3"/>
        <v>0.23</v>
      </c>
      <c r="O38" s="557">
        <f t="shared" si="4"/>
        <v>0.23</v>
      </c>
      <c r="R38" s="556" t="e">
        <f t="shared" si="6"/>
        <v>#REF!</v>
      </c>
      <c r="X38" s="490" t="s">
        <v>169</v>
      </c>
      <c r="Y38" s="485" t="s">
        <v>591</v>
      </c>
      <c r="Z38" s="592" t="e">
        <f>SUMIFS('I&amp;S SATIM input'!#REF!,'I&amp;S SATIM input'!#REF!,$X38,'I&amp;S SATIM input'!#REF!,$Y38)</f>
        <v>#REF!</v>
      </c>
      <c r="AA38" s="592" t="e">
        <f>SUMIFS('I&amp;S SATIM input'!#REF!,'I&amp;S SATIM input'!#REF!,$X38,'I&amp;S SATIM input'!#REF!,$Y38)</f>
        <v>#REF!</v>
      </c>
      <c r="AB38" s="489"/>
      <c r="AC38" s="485" t="str">
        <f t="shared" si="5"/>
        <v>IISBFBOF-NIISELC</v>
      </c>
      <c r="AD38" s="485" t="str">
        <f t="shared" si="1"/>
        <v>IISBFBOF-EIISOLP</v>
      </c>
    </row>
    <row r="39" spans="1:30" ht="15" x14ac:dyDescent="0.25">
      <c r="A39" s="490"/>
      <c r="B39" s="99" t="s">
        <v>538</v>
      </c>
      <c r="D39" s="99" t="s">
        <v>588</v>
      </c>
      <c r="E39" s="99" t="s">
        <v>1327</v>
      </c>
      <c r="F39" s="99" t="s">
        <v>703</v>
      </c>
      <c r="G39" s="99" t="s">
        <v>1043</v>
      </c>
      <c r="H39" s="99" t="s">
        <v>589</v>
      </c>
      <c r="I39" s="99">
        <v>3</v>
      </c>
      <c r="J39" s="99">
        <v>7.4999999999999997E-2</v>
      </c>
      <c r="K39" s="489"/>
      <c r="M39" s="485">
        <f t="shared" si="3"/>
        <v>7.4999999999999997E-2</v>
      </c>
      <c r="O39" s="557">
        <f t="shared" si="4"/>
        <v>7.4999999999999997E-2</v>
      </c>
      <c r="R39" s="556" t="e">
        <f t="shared" si="6"/>
        <v>#REF!</v>
      </c>
      <c r="X39" s="490" t="s">
        <v>174</v>
      </c>
      <c r="Y39" s="485" t="s">
        <v>591</v>
      </c>
      <c r="Z39" s="592" t="e">
        <f>SUMIFS('I&amp;S SATIM input'!#REF!,'I&amp;S SATIM input'!#REF!,$X39,'I&amp;S SATIM input'!#REF!,$Y39)</f>
        <v>#REF!</v>
      </c>
      <c r="AA39" s="592" t="e">
        <f>SUMIFS('I&amp;S SATIM input'!#REF!,'I&amp;S SATIM input'!#REF!,$X39,'I&amp;S SATIM input'!#REF!,$Y39)</f>
        <v>#REF!</v>
      </c>
      <c r="AB39" s="489"/>
      <c r="AC39" s="485" t="str">
        <f t="shared" si="5"/>
        <v>IISBFBOF-NIISGAS</v>
      </c>
      <c r="AD39" s="485" t="str">
        <f t="shared" si="1"/>
        <v>IISDRIEAF-EIISOLP</v>
      </c>
    </row>
    <row r="40" spans="1:30" ht="15" x14ac:dyDescent="0.25">
      <c r="A40" s="490"/>
      <c r="B40" s="99" t="s">
        <v>538</v>
      </c>
      <c r="D40" s="99" t="s">
        <v>588</v>
      </c>
      <c r="E40" s="99" t="s">
        <v>1327</v>
      </c>
      <c r="F40" s="99" t="s">
        <v>703</v>
      </c>
      <c r="G40" s="99" t="s">
        <v>1043</v>
      </c>
      <c r="H40" s="99" t="s">
        <v>590</v>
      </c>
      <c r="I40" s="99">
        <v>3</v>
      </c>
      <c r="J40" s="99">
        <v>0.245</v>
      </c>
      <c r="K40" s="489"/>
      <c r="M40" s="485">
        <f t="shared" si="3"/>
        <v>0.245</v>
      </c>
      <c r="O40" s="557">
        <f t="shared" si="4"/>
        <v>0.245</v>
      </c>
      <c r="R40" s="556" t="e">
        <f t="shared" si="6"/>
        <v>#REF!</v>
      </c>
      <c r="X40" s="490" t="s">
        <v>180</v>
      </c>
      <c r="Y40" s="485" t="s">
        <v>591</v>
      </c>
      <c r="Z40" s="592" t="e">
        <f>SUMIFS('I&amp;S SATIM input'!#REF!,'I&amp;S SATIM input'!#REF!,$X40,'I&amp;S SATIM input'!#REF!,$Y40)</f>
        <v>#REF!</v>
      </c>
      <c r="AA40" s="592" t="e">
        <f>SUMIFS('I&amp;S SATIM input'!#REF!,'I&amp;S SATIM input'!#REF!,$X40,'I&amp;S SATIM input'!#REF!,$Y40)</f>
        <v>#REF!</v>
      </c>
      <c r="AB40" s="489"/>
      <c r="AC40" s="485" t="str">
        <f t="shared" si="5"/>
        <v>IISBFBOF-NIISGAS</v>
      </c>
      <c r="AD40" s="485" t="str">
        <f t="shared" si="1"/>
        <v>IISSCREAF-EIISOLP</v>
      </c>
    </row>
    <row r="41" spans="1:30" ht="15" x14ac:dyDescent="0.25">
      <c r="A41" s="490"/>
      <c r="B41" s="99" t="s">
        <v>538</v>
      </c>
      <c r="D41" s="99" t="s">
        <v>1276</v>
      </c>
      <c r="E41" s="99" t="s">
        <v>1327</v>
      </c>
      <c r="F41" s="99" t="s">
        <v>703</v>
      </c>
      <c r="G41" s="99" t="s">
        <v>1043</v>
      </c>
      <c r="H41" s="99" t="s">
        <v>589</v>
      </c>
      <c r="I41" s="99">
        <v>3</v>
      </c>
      <c r="J41" s="99">
        <v>5.0000000000000001E-3</v>
      </c>
      <c r="K41" s="489"/>
      <c r="M41" s="485">
        <f t="shared" si="3"/>
        <v>5.0000000000000001E-3</v>
      </c>
      <c r="O41" s="557">
        <f t="shared" si="4"/>
        <v>5.0000000000000001E-3</v>
      </c>
      <c r="R41" s="556">
        <f t="shared" si="6"/>
        <v>0</v>
      </c>
      <c r="X41" s="490" t="s">
        <v>171</v>
      </c>
      <c r="Y41" s="485" t="s">
        <v>591</v>
      </c>
      <c r="Z41" s="592" t="e">
        <f>SUMIFS('I&amp;S SATIM input'!#REF!,'I&amp;S SATIM input'!#REF!,$X41,'I&amp;S SATIM input'!#REF!,$Y41)</f>
        <v>#REF!</v>
      </c>
      <c r="AA41" s="592" t="e">
        <f>SUMIFS('I&amp;S SATIM input'!#REF!,'I&amp;S SATIM input'!#REF!,$X41,'I&amp;S SATIM input'!#REF!,$Y41)</f>
        <v>#REF!</v>
      </c>
      <c r="AB41" s="489"/>
      <c r="AC41" s="485" t="str">
        <f t="shared" si="5"/>
        <v>IISBFBOF-NIISOIL</v>
      </c>
      <c r="AD41" s="485" t="str">
        <f t="shared" si="1"/>
        <v>IISCOREAF-EIISOLP</v>
      </c>
    </row>
    <row r="42" spans="1:30" ht="15" x14ac:dyDescent="0.25">
      <c r="A42" s="490"/>
      <c r="B42" s="404" t="s">
        <v>538</v>
      </c>
      <c r="C42" s="487"/>
      <c r="D42" s="404" t="s">
        <v>1276</v>
      </c>
      <c r="E42" s="404" t="s">
        <v>1327</v>
      </c>
      <c r="F42" s="404" t="s">
        <v>703</v>
      </c>
      <c r="G42" s="404" t="s">
        <v>1043</v>
      </c>
      <c r="H42" s="404" t="s">
        <v>590</v>
      </c>
      <c r="I42" s="404">
        <v>3</v>
      </c>
      <c r="J42" s="404">
        <v>0.15</v>
      </c>
      <c r="K42" s="489"/>
      <c r="M42" s="487">
        <f t="shared" si="3"/>
        <v>0.15</v>
      </c>
      <c r="N42" s="487"/>
      <c r="O42" s="559">
        <f t="shared" si="4"/>
        <v>0.15</v>
      </c>
      <c r="P42" s="487"/>
      <c r="Q42" s="487"/>
      <c r="R42" s="558">
        <f t="shared" si="6"/>
        <v>0</v>
      </c>
      <c r="X42" s="490" t="s">
        <v>178</v>
      </c>
      <c r="Y42" s="485" t="s">
        <v>591</v>
      </c>
      <c r="Z42" s="592" t="e">
        <f>SUMIFS('I&amp;S SATIM input'!#REF!,'I&amp;S SATIM input'!#REF!,$X42,'I&amp;S SATIM input'!#REF!,$Y42)</f>
        <v>#REF!</v>
      </c>
      <c r="AA42" s="592" t="e">
        <f>SUMIFS('I&amp;S SATIM input'!#REF!,'I&amp;S SATIM input'!#REF!,$X42,'I&amp;S SATIM input'!#REF!,$Y42)</f>
        <v>#REF!</v>
      </c>
      <c r="AB42" s="489"/>
      <c r="AC42" s="485" t="str">
        <f t="shared" si="5"/>
        <v>IISBFBOF-NIISOIL</v>
      </c>
      <c r="AD42" s="485" t="str">
        <f t="shared" si="1"/>
        <v>IISOTHEAF-EIISOLP</v>
      </c>
    </row>
    <row r="43" spans="1:30" ht="15" x14ac:dyDescent="0.25">
      <c r="A43" s="490"/>
      <c r="B43" s="99" t="s">
        <v>171</v>
      </c>
      <c r="D43" s="99" t="s">
        <v>42</v>
      </c>
      <c r="E43" s="99" t="s">
        <v>1323</v>
      </c>
      <c r="F43" s="99" t="s">
        <v>703</v>
      </c>
      <c r="G43" s="99" t="s">
        <v>1043</v>
      </c>
      <c r="H43" s="99" t="s">
        <v>1044</v>
      </c>
      <c r="I43" s="99">
        <v>3</v>
      </c>
      <c r="J43" s="99">
        <v>0.17</v>
      </c>
      <c r="K43" s="489"/>
      <c r="L43" s="556">
        <f>IF(OR(H43="LO",H43="FX"),INDEX($E$13:$H$17,MATCH(B43,$L$13:$L$17,0),MATCH(D43,$E$21:$H$21,0)),L42)</f>
        <v>0.20544199552900064</v>
      </c>
      <c r="M43" s="485" t="str">
        <f t="shared" si="3"/>
        <v/>
      </c>
      <c r="O43" s="557">
        <f t="shared" si="4"/>
        <v>0.20544199552900064</v>
      </c>
      <c r="R43" s="556" t="e" cm="1">
        <f t="array" ref="R43">IF(H43="LO",INDEX($Z$23:$Z$47,MATCH(AC43,$AD$23:$AD$47,0),0),INDEX($AA$23:$AA$47,MATCH(AC43,$AD$23:$AD$47,0),0))</f>
        <v>#REF!</v>
      </c>
      <c r="X43" s="490" t="s">
        <v>169</v>
      </c>
      <c r="Y43" s="99" t="s">
        <v>588</v>
      </c>
      <c r="Z43" s="592" t="e">
        <f>SUMIFS('I&amp;S SATIM input'!#REF!,'I&amp;S SATIM input'!#REF!,$X43,'I&amp;S SATIM input'!#REF!,$Y43)</f>
        <v>#REF!</v>
      </c>
      <c r="AA43" s="592" t="e">
        <f>SUMIFS('I&amp;S SATIM input'!#REF!,'I&amp;S SATIM input'!#REF!,$X43,'I&amp;S SATIM input'!#REF!,$Y43)</f>
        <v>#REF!</v>
      </c>
      <c r="AB43" s="489"/>
      <c r="AC43" s="485" t="str">
        <f t="shared" si="5"/>
        <v>IISCOREAF-EIISCKE</v>
      </c>
      <c r="AD43" s="485" t="str">
        <f t="shared" si="1"/>
        <v>IISBFBOF-EIISGAS</v>
      </c>
    </row>
    <row r="44" spans="1:30" ht="15" x14ac:dyDescent="0.25">
      <c r="A44" s="490"/>
      <c r="B44" s="99" t="s">
        <v>171</v>
      </c>
      <c r="D44" s="99" t="s">
        <v>39</v>
      </c>
      <c r="E44" s="99" t="s">
        <v>1323</v>
      </c>
      <c r="F44" s="99" t="s">
        <v>703</v>
      </c>
      <c r="G44" s="99" t="s">
        <v>1043</v>
      </c>
      <c r="H44" s="99" t="s">
        <v>1044</v>
      </c>
      <c r="I44" s="99">
        <v>3</v>
      </c>
      <c r="J44" s="99">
        <v>0.44</v>
      </c>
      <c r="K44" s="489"/>
      <c r="L44" s="556">
        <f>IF(OR(H44="LO",H44="FX"),INDEX($E$13:$H$17,MATCH(B44,$L$13:$L$17,0),MATCH(D44,$E$21:$H$21,0)),L43)</f>
        <v>0.53173222372211926</v>
      </c>
      <c r="M44" s="485" t="str">
        <f t="shared" si="3"/>
        <v/>
      </c>
      <c r="O44" s="557">
        <f t="shared" si="4"/>
        <v>0.53173222372211926</v>
      </c>
      <c r="R44" s="556" t="e" cm="1">
        <f t="array" ref="R44">IF(H44="LO",INDEX($Z$23:$Z$47,MATCH(AC44,$AD$23:$AD$47,0),0),INDEX($AA$23:$AA$47,MATCH(AC44,$AD$23:$AD$47,0),0))</f>
        <v>#REF!</v>
      </c>
      <c r="X44" s="490" t="s">
        <v>174</v>
      </c>
      <c r="Y44" s="99" t="s">
        <v>588</v>
      </c>
      <c r="Z44" s="592" t="e">
        <f>SUMIFS('I&amp;S SATIM input'!#REF!,'I&amp;S SATIM input'!#REF!,$X44,'I&amp;S SATIM input'!#REF!,$Y44)</f>
        <v>#REF!</v>
      </c>
      <c r="AA44" s="592" t="e">
        <f>SUMIFS('I&amp;S SATIM input'!#REF!,'I&amp;S SATIM input'!#REF!,$X44,'I&amp;S SATIM input'!#REF!,$Y44)</f>
        <v>#REF!</v>
      </c>
      <c r="AB44" s="489"/>
      <c r="AC44" s="485" t="str">
        <f t="shared" si="5"/>
        <v>IISCOREAF-EIISCOA</v>
      </c>
      <c r="AD44" s="485" t="str">
        <f t="shared" si="1"/>
        <v>IISDRIEAF-EIISGAS</v>
      </c>
    </row>
    <row r="45" spans="1:30" ht="15" x14ac:dyDescent="0.25">
      <c r="A45" s="490"/>
      <c r="B45" s="99" t="s">
        <v>171</v>
      </c>
      <c r="D45" s="99" t="s">
        <v>38</v>
      </c>
      <c r="E45" s="99" t="s">
        <v>1323</v>
      </c>
      <c r="F45" s="99" t="s">
        <v>703</v>
      </c>
      <c r="G45" s="99" t="s">
        <v>1043</v>
      </c>
      <c r="H45" s="99" t="s">
        <v>1044</v>
      </c>
      <c r="I45" s="99">
        <v>3</v>
      </c>
      <c r="J45" s="99">
        <v>0.33300000000000002</v>
      </c>
      <c r="K45" s="489"/>
      <c r="L45" s="556">
        <f>IF(OR(H45="LO",H45="FX"),INDEX($E$13:$H$17,MATCH(B45,$L$13:$L$17,0),MATCH(D45,$E$21:$H$21,0)),L44)</f>
        <v>0.26282578074888002</v>
      </c>
      <c r="M45" s="485" t="str">
        <f t="shared" si="3"/>
        <v/>
      </c>
      <c r="O45" s="557">
        <f t="shared" si="4"/>
        <v>0.26282578074888002</v>
      </c>
      <c r="R45" s="556" t="e" cm="1">
        <f t="array" ref="R45">IF(H45="LO",INDEX($Z$23:$Z$47,MATCH(AC45,$AD$23:$AD$47,0),0),INDEX($AA$23:$AA$47,MATCH(AC45,$AD$23:$AD$47,0),0))</f>
        <v>#REF!</v>
      </c>
      <c r="X45" s="490" t="s">
        <v>180</v>
      </c>
      <c r="Y45" s="99" t="s">
        <v>588</v>
      </c>
      <c r="Z45" s="592" t="e">
        <f>SUMIFS('I&amp;S SATIM input'!#REF!,'I&amp;S SATIM input'!#REF!,$X45,'I&amp;S SATIM input'!#REF!,$Y45)</f>
        <v>#REF!</v>
      </c>
      <c r="AA45" s="592" t="e">
        <f>SUMIFS('I&amp;S SATIM input'!#REF!,'I&amp;S SATIM input'!#REF!,$X45,'I&amp;S SATIM input'!#REF!,$Y45)</f>
        <v>#REF!</v>
      </c>
      <c r="AB45" s="489"/>
      <c r="AC45" s="485" t="str">
        <f t="shared" si="5"/>
        <v>IISCOREAF-EIISELC</v>
      </c>
      <c r="AD45" s="485" t="str">
        <f t="shared" si="1"/>
        <v>IISSCREAF-EIISGAS</v>
      </c>
    </row>
    <row r="46" spans="1:30" ht="15" x14ac:dyDescent="0.25">
      <c r="A46" s="490"/>
      <c r="B46" s="99" t="s">
        <v>171</v>
      </c>
      <c r="D46" s="99" t="s">
        <v>588</v>
      </c>
      <c r="E46" s="99" t="s">
        <v>1323</v>
      </c>
      <c r="F46" s="99" t="s">
        <v>703</v>
      </c>
      <c r="G46" s="99" t="s">
        <v>1043</v>
      </c>
      <c r="H46" s="99" t="s">
        <v>1044</v>
      </c>
      <c r="I46" s="99">
        <v>3</v>
      </c>
      <c r="J46" s="99">
        <v>0</v>
      </c>
      <c r="K46" s="489"/>
      <c r="L46" s="556">
        <f>IF(OR(H46="LO",H46="FX"),INDEX($E$13:$H$17,MATCH(B46,$L$13:$L$17,0),MATCH(D46,$E$21:$H$21,0)),L45)</f>
        <v>0</v>
      </c>
      <c r="M46" s="485" t="str">
        <f t="shared" si="3"/>
        <v/>
      </c>
      <c r="O46" s="557">
        <f t="shared" si="4"/>
        <v>0</v>
      </c>
      <c r="R46" s="556" t="e" cm="1">
        <f t="array" ref="R46">IF(H46="LO",INDEX($Z$23:$Z$47,MATCH(AC46,$AD$23:$AD$47,0),0),INDEX($AA$23:$AA$47,MATCH(AC46,$AD$23:$AD$47,0),0))</f>
        <v>#REF!</v>
      </c>
      <c r="X46" s="490" t="s">
        <v>171</v>
      </c>
      <c r="Y46" s="99" t="s">
        <v>588</v>
      </c>
      <c r="Z46" s="592" t="e">
        <f>SUMIFS('I&amp;S SATIM input'!#REF!,'I&amp;S SATIM input'!#REF!,$X46,'I&amp;S SATIM input'!#REF!,$Y46)</f>
        <v>#REF!</v>
      </c>
      <c r="AA46" s="592" t="e">
        <f>SUMIFS('I&amp;S SATIM input'!#REF!,'I&amp;S SATIM input'!#REF!,$X46,'I&amp;S SATIM input'!#REF!,$Y46)</f>
        <v>#REF!</v>
      </c>
      <c r="AB46" s="489"/>
      <c r="AC46" s="485" t="str">
        <f t="shared" si="5"/>
        <v>IISCOREAF-EIISGAS</v>
      </c>
      <c r="AD46" s="485" t="str">
        <f t="shared" si="1"/>
        <v>IISCOREAF-EIISGAS</v>
      </c>
    </row>
    <row r="47" spans="1:30" ht="15" x14ac:dyDescent="0.25">
      <c r="A47" s="490"/>
      <c r="B47" s="404" t="s">
        <v>171</v>
      </c>
      <c r="C47" s="487"/>
      <c r="D47" s="404" t="s">
        <v>591</v>
      </c>
      <c r="E47" s="404" t="s">
        <v>1323</v>
      </c>
      <c r="F47" s="404" t="s">
        <v>703</v>
      </c>
      <c r="G47" s="404" t="s">
        <v>1043</v>
      </c>
      <c r="H47" s="404" t="s">
        <v>1044</v>
      </c>
      <c r="I47" s="404">
        <v>3</v>
      </c>
      <c r="J47" s="404">
        <v>5.7000000000000002E-2</v>
      </c>
      <c r="K47" s="489"/>
      <c r="L47" s="556"/>
      <c r="M47" s="487" t="str">
        <f t="shared" si="3"/>
        <v/>
      </c>
      <c r="N47" s="487">
        <f>J47</f>
        <v>5.7000000000000002E-2</v>
      </c>
      <c r="O47" s="559">
        <f t="shared" si="4"/>
        <v>5.7000000000000002E-2</v>
      </c>
      <c r="P47" s="487"/>
      <c r="Q47" s="487"/>
      <c r="R47" s="556" t="e" cm="1">
        <f t="array" ref="R47">IF(H47="LO",INDEX($Z$23:$Z$47,MATCH(AC47,$AD$23:$AD$47,0),0),INDEX($AA$23:$AA$47,MATCH(AC47,$AD$23:$AD$47,0),0))</f>
        <v>#REF!</v>
      </c>
      <c r="X47" s="490" t="s">
        <v>178</v>
      </c>
      <c r="Y47" s="99" t="s">
        <v>588</v>
      </c>
      <c r="Z47" s="592" t="e">
        <f>SUMIFS('I&amp;S SATIM input'!#REF!,'I&amp;S SATIM input'!#REF!,$X47,'I&amp;S SATIM input'!#REF!,$Y47)</f>
        <v>#REF!</v>
      </c>
      <c r="AA47" s="592" t="e">
        <f>SUMIFS('I&amp;S SATIM input'!#REF!,'I&amp;S SATIM input'!#REF!,$X47,'I&amp;S SATIM input'!#REF!,$Y47)</f>
        <v>#REF!</v>
      </c>
      <c r="AB47" s="489"/>
      <c r="AC47" s="485" t="str">
        <f t="shared" si="5"/>
        <v>IISCOREAF-EIISOLP</v>
      </c>
      <c r="AD47" s="485" t="str">
        <f t="shared" si="1"/>
        <v>IISOTHEAF-EIISGAS</v>
      </c>
    </row>
    <row r="48" spans="1:30" ht="15" x14ac:dyDescent="0.25">
      <c r="A48" s="490"/>
      <c r="B48" s="99" t="s">
        <v>174</v>
      </c>
      <c r="D48" s="99" t="s">
        <v>39</v>
      </c>
      <c r="E48" s="99" t="s">
        <v>1319</v>
      </c>
      <c r="F48" s="99" t="s">
        <v>703</v>
      </c>
      <c r="G48" s="99" t="s">
        <v>1043</v>
      </c>
      <c r="H48" s="99" t="s">
        <v>589</v>
      </c>
      <c r="I48" s="99">
        <v>3</v>
      </c>
      <c r="J48" s="99">
        <v>0.55000000000000004</v>
      </c>
      <c r="K48" s="489"/>
      <c r="L48" s="556">
        <f>IF(OR(H48="LO",H48="FX"),INDEX($E$13:$H$17,MATCH(B48,$L$13:$L$17,0),MATCH(D48,$E$21:$H$21,0)),L47)</f>
        <v>0.66708375644280071</v>
      </c>
      <c r="M48" s="485" t="str">
        <f t="shared" si="3"/>
        <v/>
      </c>
      <c r="O48" s="557">
        <f t="shared" si="4"/>
        <v>0.66708375644280071</v>
      </c>
      <c r="R48" s="556" t="e" cm="1">
        <f t="array" ref="R48">IF(H48="LO",INDEX($Z$23:$Z$47,MATCH(AC48,$AD$23:$AD$47,0),0),INDEX($AA$23:$AA$47,MATCH(AC48,$AD$23:$AD$47,0),0))</f>
        <v>#REF!</v>
      </c>
      <c r="X48" s="488"/>
      <c r="Y48" s="487"/>
      <c r="Z48" s="487"/>
      <c r="AA48" s="487"/>
      <c r="AB48" s="486"/>
      <c r="AC48" s="485" t="str">
        <f t="shared" si="5"/>
        <v>IISDRIEAF-EIISCOA</v>
      </c>
    </row>
    <row r="49" spans="1:29" ht="15" x14ac:dyDescent="0.25">
      <c r="A49" s="490"/>
      <c r="B49" s="99" t="s">
        <v>174</v>
      </c>
      <c r="D49" s="99" t="s">
        <v>39</v>
      </c>
      <c r="E49" s="99" t="s">
        <v>1319</v>
      </c>
      <c r="F49" s="99" t="s">
        <v>703</v>
      </c>
      <c r="G49" s="99" t="s">
        <v>1043</v>
      </c>
      <c r="H49" s="99" t="s">
        <v>590</v>
      </c>
      <c r="I49" s="99">
        <v>3</v>
      </c>
      <c r="J49" s="99">
        <v>0.55000000000000004</v>
      </c>
      <c r="K49" s="489"/>
      <c r="L49" s="556">
        <f>IF(OR(H49="LO",H49="FX"),INDEX($E$13:$H$17,MATCH(B49,$L$13:$L$17,0),MATCH(D49,$E$21:$H$21,0)),L48)</f>
        <v>0.66708375644280071</v>
      </c>
      <c r="M49" s="485" t="str">
        <f t="shared" si="3"/>
        <v/>
      </c>
      <c r="O49" s="557">
        <f t="shared" si="4"/>
        <v>0.66708375644280071</v>
      </c>
      <c r="R49" s="556" t="e" cm="1">
        <f t="array" ref="R49">IF(H49="LO",INDEX($Z$23:$Z$47,MATCH(AC49,$AD$23:$AD$47,0),0),INDEX($AA$23:$AA$47,MATCH(AC49,$AD$23:$AD$47,0),0))</f>
        <v>#REF!</v>
      </c>
      <c r="AC49" s="485" t="str">
        <f t="shared" si="5"/>
        <v>IISDRIEAF-EIISCOA</v>
      </c>
    </row>
    <row r="50" spans="1:29" ht="15" x14ac:dyDescent="0.25">
      <c r="A50" s="490"/>
      <c r="B50" s="99" t="s">
        <v>174</v>
      </c>
      <c r="D50" s="99" t="s">
        <v>38</v>
      </c>
      <c r="E50" s="99" t="s">
        <v>1319</v>
      </c>
      <c r="F50" s="99" t="s">
        <v>703</v>
      </c>
      <c r="G50" s="99" t="s">
        <v>1043</v>
      </c>
      <c r="H50" s="99" t="s">
        <v>1044</v>
      </c>
      <c r="I50" s="99">
        <v>3</v>
      </c>
      <c r="J50" s="99">
        <v>0.38</v>
      </c>
      <c r="K50" s="489"/>
      <c r="L50" s="556">
        <f>IF(OR(H50="LO",H50="FX"),INDEX($E$13:$H$17,MATCH(B50,$L$13:$L$17,0),MATCH(D50,$E$21:$H$21,0)),L49)</f>
        <v>0.32078744798551195</v>
      </c>
      <c r="M50" s="485" t="str">
        <f t="shared" si="3"/>
        <v/>
      </c>
      <c r="O50" s="557">
        <f t="shared" si="4"/>
        <v>0.32078744798551195</v>
      </c>
      <c r="R50" s="556" t="e" cm="1">
        <f t="array" ref="R50">IF(H50="LO",INDEX($Z$23:$Z$47,MATCH(AC50,$AD$23:$AD$47,0),0),INDEX($AA$23:$AA$47,MATCH(AC50,$AD$23:$AD$47,0),0))</f>
        <v>#REF!</v>
      </c>
      <c r="AC50" s="485" t="str">
        <f t="shared" si="5"/>
        <v>IISDRIEAF-EIISELC</v>
      </c>
    </row>
    <row r="51" spans="1:29" ht="15" x14ac:dyDescent="0.25">
      <c r="A51" s="490"/>
      <c r="B51" s="99" t="s">
        <v>174</v>
      </c>
      <c r="D51" s="99" t="s">
        <v>588</v>
      </c>
      <c r="E51" s="99" t="s">
        <v>1319</v>
      </c>
      <c r="F51" s="99" t="s">
        <v>703</v>
      </c>
      <c r="G51" s="99" t="s">
        <v>1043</v>
      </c>
      <c r="H51" s="99" t="s">
        <v>589</v>
      </c>
      <c r="I51" s="99">
        <v>3</v>
      </c>
      <c r="J51" s="99">
        <v>0.06</v>
      </c>
      <c r="K51" s="489"/>
      <c r="L51" s="556">
        <f>IF(OR(H51="LO",H51="FX"),INDEX($E$13:$H$17,MATCH(B51,$L$13:$L$17,0),MATCH(D51,$E$21:$H$21,0)),L50)</f>
        <v>1.2128795571687277E-2</v>
      </c>
      <c r="M51" s="485" t="str">
        <f t="shared" si="3"/>
        <v/>
      </c>
      <c r="O51" s="557">
        <f t="shared" si="4"/>
        <v>1.2128795571687277E-2</v>
      </c>
      <c r="R51" s="556" t="e" cm="1">
        <f t="array" ref="R51">IF(H51="LO",INDEX($Z$23:$Z$47,MATCH(AC51,$AD$23:$AD$47,0),0),INDEX($AA$23:$AA$47,MATCH(AC51,$AD$23:$AD$47,0),0))</f>
        <v>#REF!</v>
      </c>
      <c r="AC51" s="485" t="str">
        <f t="shared" si="5"/>
        <v>IISDRIEAF-EIISGAS</v>
      </c>
    </row>
    <row r="52" spans="1:29" ht="15" x14ac:dyDescent="0.25">
      <c r="A52" s="490"/>
      <c r="B52" s="99" t="s">
        <v>174</v>
      </c>
      <c r="D52" s="99" t="s">
        <v>588</v>
      </c>
      <c r="E52" s="99" t="s">
        <v>1319</v>
      </c>
      <c r="F52" s="99" t="s">
        <v>703</v>
      </c>
      <c r="G52" s="99" t="s">
        <v>1043</v>
      </c>
      <c r="H52" s="99" t="s">
        <v>590</v>
      </c>
      <c r="I52" s="99">
        <v>3</v>
      </c>
      <c r="J52" s="99">
        <v>0.06</v>
      </c>
      <c r="K52" s="489"/>
      <c r="L52" s="556">
        <f>IF(OR(H52="LO",H52="FX"),INDEX($E$13:$H$17,MATCH(B52,$L$13:$L$17,0),MATCH(D52,$E$21:$H$21,0)),L51)</f>
        <v>1.2128795571687277E-2</v>
      </c>
      <c r="M52" s="485" t="str">
        <f t="shared" si="3"/>
        <v/>
      </c>
      <c r="O52" s="557">
        <f t="shared" si="4"/>
        <v>1.2128795571687277E-2</v>
      </c>
      <c r="R52" s="556" t="e" cm="1">
        <f t="array" ref="R52">IF(H52="LO",INDEX($Z$23:$Z$47,MATCH(AC52,$AD$23:$AD$47,0),0),INDEX($AA$23:$AA$47,MATCH(AC52,$AD$23:$AD$47,0),0))</f>
        <v>#REF!</v>
      </c>
      <c r="AC52" s="485" t="str">
        <f t="shared" si="5"/>
        <v>IISDRIEAF-EIISGAS</v>
      </c>
    </row>
    <row r="53" spans="1:29" ht="15" x14ac:dyDescent="0.25">
      <c r="A53" s="490"/>
      <c r="B53" s="99" t="s">
        <v>174</v>
      </c>
      <c r="D53" s="99" t="s">
        <v>1276</v>
      </c>
      <c r="E53" s="99" t="s">
        <v>1319</v>
      </c>
      <c r="F53" s="99" t="s">
        <v>703</v>
      </c>
      <c r="G53" s="99" t="s">
        <v>1043</v>
      </c>
      <c r="H53" s="99" t="s">
        <v>589</v>
      </c>
      <c r="I53" s="99">
        <v>3</v>
      </c>
      <c r="J53" s="99">
        <v>0.01</v>
      </c>
      <c r="K53" s="489"/>
      <c r="L53" s="556"/>
      <c r="M53" s="485" t="str">
        <f t="shared" si="3"/>
        <v/>
      </c>
      <c r="N53" s="556">
        <f>IF(H53="UP",J53,0)</f>
        <v>0</v>
      </c>
      <c r="O53" s="557">
        <f t="shared" si="4"/>
        <v>0</v>
      </c>
      <c r="R53" s="556"/>
      <c r="AC53" s="485" t="str">
        <f t="shared" si="5"/>
        <v>IISDRIEAF-EIISOIL</v>
      </c>
    </row>
    <row r="54" spans="1:29" ht="15" x14ac:dyDescent="0.25">
      <c r="A54" s="490"/>
      <c r="B54" s="404" t="s">
        <v>174</v>
      </c>
      <c r="C54" s="487"/>
      <c r="D54" s="404" t="s">
        <v>1276</v>
      </c>
      <c r="E54" s="404" t="s">
        <v>1319</v>
      </c>
      <c r="F54" s="404" t="s">
        <v>703</v>
      </c>
      <c r="G54" s="404" t="s">
        <v>1043</v>
      </c>
      <c r="H54" s="404" t="s">
        <v>590</v>
      </c>
      <c r="I54" s="404">
        <v>3</v>
      </c>
      <c r="J54" s="404">
        <v>0.01</v>
      </c>
      <c r="K54" s="489"/>
      <c r="L54" s="556"/>
      <c r="M54" s="487" t="str">
        <f t="shared" si="3"/>
        <v/>
      </c>
      <c r="N54" s="558">
        <f>IF(H54="UP",J54,0)</f>
        <v>0.01</v>
      </c>
      <c r="O54" s="559">
        <f t="shared" si="4"/>
        <v>0.01</v>
      </c>
      <c r="P54" s="487"/>
      <c r="Q54" s="487"/>
      <c r="R54" s="558"/>
      <c r="AC54" s="485" t="str">
        <f t="shared" si="5"/>
        <v>IISDRIEAF-EIISOIL</v>
      </c>
    </row>
    <row r="55" spans="1:29" ht="15" x14ac:dyDescent="0.25">
      <c r="A55" s="490"/>
      <c r="B55" s="99" t="s">
        <v>539</v>
      </c>
      <c r="D55" s="99" t="s">
        <v>39</v>
      </c>
      <c r="E55" s="99" t="s">
        <v>1311</v>
      </c>
      <c r="F55" s="99" t="s">
        <v>703</v>
      </c>
      <c r="G55" s="99" t="s">
        <v>1043</v>
      </c>
      <c r="H55" s="99" t="s">
        <v>589</v>
      </c>
      <c r="I55" s="99">
        <v>3</v>
      </c>
      <c r="J55" s="99">
        <v>0.45</v>
      </c>
      <c r="K55" s="489"/>
      <c r="L55" s="556"/>
      <c r="M55" s="485">
        <f t="shared" ref="M55:M64" si="7">J55</f>
        <v>0.45</v>
      </c>
      <c r="O55" s="557">
        <f t="shared" si="4"/>
        <v>0.45</v>
      </c>
      <c r="R55" s="556" t="e">
        <f t="shared" ref="R55:R61" si="8">R48</f>
        <v>#REF!</v>
      </c>
      <c r="AC55" s="485" t="str">
        <f t="shared" si="5"/>
        <v>IISDRIEAF-NCIISCOA</v>
      </c>
    </row>
    <row r="56" spans="1:29" ht="15" x14ac:dyDescent="0.25">
      <c r="A56" s="490"/>
      <c r="B56" s="99" t="s">
        <v>539</v>
      </c>
      <c r="D56" s="99" t="s">
        <v>39</v>
      </c>
      <c r="E56" s="99" t="s">
        <v>1311</v>
      </c>
      <c r="F56" s="99" t="s">
        <v>703</v>
      </c>
      <c r="G56" s="99" t="s">
        <v>1043</v>
      </c>
      <c r="H56" s="99" t="s">
        <v>590</v>
      </c>
      <c r="I56" s="99">
        <v>3</v>
      </c>
      <c r="J56" s="99">
        <v>0.55000000000000004</v>
      </c>
      <c r="K56" s="489"/>
      <c r="L56" s="556"/>
      <c r="M56" s="485">
        <f t="shared" si="7"/>
        <v>0.55000000000000004</v>
      </c>
      <c r="O56" s="557">
        <f t="shared" si="4"/>
        <v>0.55000000000000004</v>
      </c>
      <c r="R56" s="556" t="e">
        <f t="shared" si="8"/>
        <v>#REF!</v>
      </c>
      <c r="AC56" s="485" t="str">
        <f t="shared" si="5"/>
        <v>IISDRIEAF-NCIISCOA</v>
      </c>
    </row>
    <row r="57" spans="1:29" ht="15" x14ac:dyDescent="0.25">
      <c r="A57" s="490"/>
      <c r="B57" s="99" t="s">
        <v>539</v>
      </c>
      <c r="D57" s="99" t="s">
        <v>38</v>
      </c>
      <c r="E57" s="99" t="s">
        <v>1311</v>
      </c>
      <c r="F57" s="99" t="s">
        <v>703</v>
      </c>
      <c r="G57" s="99" t="s">
        <v>1043</v>
      </c>
      <c r="H57" s="99" t="s">
        <v>1044</v>
      </c>
      <c r="I57" s="99">
        <v>3</v>
      </c>
      <c r="J57" s="99">
        <v>0.38</v>
      </c>
      <c r="K57" s="489"/>
      <c r="L57" s="556"/>
      <c r="M57" s="485">
        <f t="shared" si="7"/>
        <v>0.38</v>
      </c>
      <c r="O57" s="557">
        <f t="shared" ref="O57:O83" si="9">SUM(L57:N57)</f>
        <v>0.38</v>
      </c>
      <c r="R57" s="556" t="e">
        <f t="shared" si="8"/>
        <v>#REF!</v>
      </c>
      <c r="AC57" s="485" t="str">
        <f t="shared" ref="AC57:AC83" si="10">B57&amp;D57</f>
        <v>IISDRIEAF-NCIISELC</v>
      </c>
    </row>
    <row r="58" spans="1:29" ht="15" x14ac:dyDescent="0.25">
      <c r="A58" s="490"/>
      <c r="B58" s="99" t="s">
        <v>539</v>
      </c>
      <c r="D58" s="99" t="s">
        <v>588</v>
      </c>
      <c r="E58" s="99" t="s">
        <v>1311</v>
      </c>
      <c r="F58" s="99" t="s">
        <v>703</v>
      </c>
      <c r="G58" s="99" t="s">
        <v>1043</v>
      </c>
      <c r="H58" s="99" t="s">
        <v>589</v>
      </c>
      <c r="I58" s="99">
        <v>3</v>
      </c>
      <c r="J58" s="99">
        <v>0.06</v>
      </c>
      <c r="K58" s="489"/>
      <c r="L58" s="556"/>
      <c r="M58" s="485">
        <f t="shared" si="7"/>
        <v>0.06</v>
      </c>
      <c r="O58" s="557">
        <f t="shared" si="9"/>
        <v>0.06</v>
      </c>
      <c r="R58" s="556" t="e">
        <f t="shared" si="8"/>
        <v>#REF!</v>
      </c>
      <c r="AC58" s="485" t="str">
        <f t="shared" si="10"/>
        <v>IISDRIEAF-NCIISGAS</v>
      </c>
    </row>
    <row r="59" spans="1:29" ht="15" x14ac:dyDescent="0.25">
      <c r="A59" s="490"/>
      <c r="B59" s="99" t="s">
        <v>539</v>
      </c>
      <c r="D59" s="99" t="s">
        <v>588</v>
      </c>
      <c r="E59" s="99" t="s">
        <v>1311</v>
      </c>
      <c r="F59" s="99" t="s">
        <v>703</v>
      </c>
      <c r="G59" s="99" t="s">
        <v>1043</v>
      </c>
      <c r="H59" s="99" t="s">
        <v>590</v>
      </c>
      <c r="I59" s="99">
        <v>3</v>
      </c>
      <c r="J59" s="99">
        <v>0.2</v>
      </c>
      <c r="K59" s="489"/>
      <c r="L59" s="556"/>
      <c r="M59" s="485">
        <f t="shared" si="7"/>
        <v>0.2</v>
      </c>
      <c r="O59" s="557">
        <f t="shared" si="9"/>
        <v>0.2</v>
      </c>
      <c r="R59" s="556" t="e">
        <f t="shared" si="8"/>
        <v>#REF!</v>
      </c>
      <c r="AC59" s="485" t="str">
        <f t="shared" si="10"/>
        <v>IISDRIEAF-NCIISGAS</v>
      </c>
    </row>
    <row r="60" spans="1:29" ht="15" x14ac:dyDescent="0.25">
      <c r="A60" s="490"/>
      <c r="B60" s="99" t="s">
        <v>539</v>
      </c>
      <c r="D60" s="99" t="s">
        <v>1276</v>
      </c>
      <c r="E60" s="99" t="s">
        <v>1311</v>
      </c>
      <c r="F60" s="99" t="s">
        <v>703</v>
      </c>
      <c r="G60" s="99" t="s">
        <v>1043</v>
      </c>
      <c r="H60" s="99" t="s">
        <v>589</v>
      </c>
      <c r="I60" s="99">
        <v>3</v>
      </c>
      <c r="J60" s="99">
        <v>0.01</v>
      </c>
      <c r="K60" s="489"/>
      <c r="L60" s="556"/>
      <c r="M60" s="485">
        <f t="shared" si="7"/>
        <v>0.01</v>
      </c>
      <c r="O60" s="557">
        <f t="shared" si="9"/>
        <v>0.01</v>
      </c>
      <c r="R60" s="556">
        <f t="shared" si="8"/>
        <v>0</v>
      </c>
      <c r="AC60" s="485" t="str">
        <f t="shared" si="10"/>
        <v>IISDRIEAF-NCIISOIL</v>
      </c>
    </row>
    <row r="61" spans="1:29" ht="15" x14ac:dyDescent="0.25">
      <c r="A61" s="490"/>
      <c r="B61" s="404" t="s">
        <v>539</v>
      </c>
      <c r="C61" s="487"/>
      <c r="D61" s="404" t="s">
        <v>1276</v>
      </c>
      <c r="E61" s="404" t="s">
        <v>1311</v>
      </c>
      <c r="F61" s="404" t="s">
        <v>703</v>
      </c>
      <c r="G61" s="404" t="s">
        <v>1043</v>
      </c>
      <c r="H61" s="404" t="s">
        <v>590</v>
      </c>
      <c r="I61" s="404">
        <v>3</v>
      </c>
      <c r="J61" s="404">
        <v>0.15</v>
      </c>
      <c r="K61" s="489"/>
      <c r="L61" s="556"/>
      <c r="M61" s="487">
        <f t="shared" si="7"/>
        <v>0.15</v>
      </c>
      <c r="N61" s="487"/>
      <c r="O61" s="559">
        <f t="shared" si="9"/>
        <v>0.15</v>
      </c>
      <c r="P61" s="487"/>
      <c r="Q61" s="487"/>
      <c r="R61" s="558">
        <f t="shared" si="8"/>
        <v>0</v>
      </c>
      <c r="AC61" s="485" t="str">
        <f t="shared" si="10"/>
        <v>IISDRIEAF-NCIISOIL</v>
      </c>
    </row>
    <row r="62" spans="1:29" ht="15" x14ac:dyDescent="0.25">
      <c r="A62" s="490"/>
      <c r="B62" s="99" t="s">
        <v>540</v>
      </c>
      <c r="D62" s="99" t="s">
        <v>38</v>
      </c>
      <c r="E62" s="99" t="s">
        <v>1315</v>
      </c>
      <c r="F62" s="99" t="s">
        <v>703</v>
      </c>
      <c r="G62" s="99" t="s">
        <v>1043</v>
      </c>
      <c r="H62" s="99" t="s">
        <v>1044</v>
      </c>
      <c r="I62" s="99">
        <v>3</v>
      </c>
      <c r="J62" s="99">
        <v>0.38</v>
      </c>
      <c r="K62" s="489"/>
      <c r="M62" s="485">
        <f t="shared" si="7"/>
        <v>0.38</v>
      </c>
      <c r="O62" s="557">
        <f t="shared" si="9"/>
        <v>0.38</v>
      </c>
      <c r="R62" s="556">
        <f>O62</f>
        <v>0.38</v>
      </c>
      <c r="AC62" s="485" t="str">
        <f t="shared" si="10"/>
        <v>IISDRIEAF-NGIISELC</v>
      </c>
    </row>
    <row r="63" spans="1:29" ht="15" x14ac:dyDescent="0.25">
      <c r="A63" s="490"/>
      <c r="B63" s="99" t="s">
        <v>540</v>
      </c>
      <c r="D63" s="99" t="s">
        <v>588</v>
      </c>
      <c r="E63" s="99" t="s">
        <v>1315</v>
      </c>
      <c r="F63" s="99" t="s">
        <v>703</v>
      </c>
      <c r="G63" s="99" t="s">
        <v>1043</v>
      </c>
      <c r="H63" s="99" t="s">
        <v>1044</v>
      </c>
      <c r="I63" s="99">
        <v>3</v>
      </c>
      <c r="J63" s="99">
        <v>0.61</v>
      </c>
      <c r="K63" s="489"/>
      <c r="M63" s="485">
        <f t="shared" si="7"/>
        <v>0.61</v>
      </c>
      <c r="O63" s="557">
        <f t="shared" si="9"/>
        <v>0.61</v>
      </c>
      <c r="R63" s="556">
        <f>O63</f>
        <v>0.61</v>
      </c>
      <c r="AC63" s="485" t="str">
        <f t="shared" si="10"/>
        <v>IISDRIEAF-NGIISGAS</v>
      </c>
    </row>
    <row r="64" spans="1:29" ht="15" x14ac:dyDescent="0.25">
      <c r="A64" s="490"/>
      <c r="B64" s="404" t="s">
        <v>540</v>
      </c>
      <c r="C64" s="487"/>
      <c r="D64" s="404" t="s">
        <v>1276</v>
      </c>
      <c r="E64" s="404" t="s">
        <v>1315</v>
      </c>
      <c r="F64" s="404" t="s">
        <v>703</v>
      </c>
      <c r="G64" s="404" t="s">
        <v>1043</v>
      </c>
      <c r="H64" s="404" t="s">
        <v>1044</v>
      </c>
      <c r="I64" s="404">
        <v>3</v>
      </c>
      <c r="J64" s="404">
        <v>0.01</v>
      </c>
      <c r="K64" s="489"/>
      <c r="M64" s="487">
        <f t="shared" si="7"/>
        <v>0.01</v>
      </c>
      <c r="N64" s="487"/>
      <c r="O64" s="559">
        <f t="shared" si="9"/>
        <v>0.01</v>
      </c>
      <c r="P64" s="487"/>
      <c r="Q64" s="487"/>
      <c r="R64" s="558">
        <f>O64</f>
        <v>0.01</v>
      </c>
      <c r="AC64" s="485" t="str">
        <f t="shared" si="10"/>
        <v>IISDRIEAF-NGIISOIL</v>
      </c>
    </row>
    <row r="65" spans="1:29" ht="15" x14ac:dyDescent="0.25">
      <c r="A65" s="490"/>
      <c r="B65" s="99" t="s">
        <v>178</v>
      </c>
      <c r="D65" s="99" t="s">
        <v>1287</v>
      </c>
      <c r="E65" s="99" t="s">
        <v>1307</v>
      </c>
      <c r="F65" s="99" t="s">
        <v>703</v>
      </c>
      <c r="G65" s="99" t="s">
        <v>1043</v>
      </c>
      <c r="H65" s="99" t="s">
        <v>1044</v>
      </c>
      <c r="I65" s="99">
        <v>3</v>
      </c>
      <c r="J65" s="99">
        <v>0</v>
      </c>
      <c r="K65" s="489"/>
      <c r="L65" s="556"/>
      <c r="M65" s="485" t="str">
        <f t="shared" ref="M65:M83" si="11">IF(RIGHT(B65,1)="N",J65,"")</f>
        <v/>
      </c>
      <c r="N65" s="485">
        <f>J65</f>
        <v>0</v>
      </c>
      <c r="O65" s="557">
        <f t="shared" si="9"/>
        <v>0</v>
      </c>
      <c r="R65" s="556">
        <v>0</v>
      </c>
      <c r="AC65" s="485" t="str">
        <f t="shared" si="10"/>
        <v>IISOTHEAF-EIISCKC</v>
      </c>
    </row>
    <row r="66" spans="1:29" ht="15" x14ac:dyDescent="0.25">
      <c r="A66" s="490"/>
      <c r="B66" s="99" t="s">
        <v>178</v>
      </c>
      <c r="D66" s="99" t="s">
        <v>39</v>
      </c>
      <c r="E66" s="99" t="s">
        <v>1307</v>
      </c>
      <c r="F66" s="99" t="s">
        <v>703</v>
      </c>
      <c r="G66" s="99" t="s">
        <v>1043</v>
      </c>
      <c r="H66" s="99" t="s">
        <v>1044</v>
      </c>
      <c r="I66" s="99">
        <v>3</v>
      </c>
      <c r="J66" s="99">
        <v>0.45</v>
      </c>
      <c r="K66" s="489"/>
      <c r="L66" s="556">
        <f>IF(OR(H66="LO",H66="FX"),INDEX($E$13:$H$17,MATCH(B66,$L$13:$L$17,0),MATCH(D66,$E$21:$H$21,0)),L65)</f>
        <v>0.55590957104118222</v>
      </c>
      <c r="M66" s="485" t="str">
        <f t="shared" si="11"/>
        <v/>
      </c>
      <c r="O66" s="557">
        <f t="shared" si="9"/>
        <v>0.55590957104118222</v>
      </c>
      <c r="R66" s="556" t="e" cm="1">
        <f t="array" ref="R66">IF(H66="LO",INDEX($Z$23:$Z$47,MATCH(AC66,$AD$23:$AD$47,0),0),INDEX($AA$23:$AA$47,MATCH(AC66,$AD$23:$AD$47,0),0))</f>
        <v>#REF!</v>
      </c>
      <c r="AC66" s="485" t="str">
        <f t="shared" si="10"/>
        <v>IISOTHEAF-EIISCOA</v>
      </c>
    </row>
    <row r="67" spans="1:29" ht="15" x14ac:dyDescent="0.25">
      <c r="A67" s="490"/>
      <c r="B67" s="99" t="s">
        <v>178</v>
      </c>
      <c r="D67" s="99" t="s">
        <v>38</v>
      </c>
      <c r="E67" s="99" t="s">
        <v>1307</v>
      </c>
      <c r="F67" s="99" t="s">
        <v>703</v>
      </c>
      <c r="G67" s="99" t="s">
        <v>1043</v>
      </c>
      <c r="H67" s="99" t="s">
        <v>1044</v>
      </c>
      <c r="I67" s="99">
        <v>3</v>
      </c>
      <c r="J67" s="99">
        <v>0.45</v>
      </c>
      <c r="K67" s="489"/>
      <c r="L67" s="556">
        <f>IF(OR(H67="LO",H67="FX"),INDEX($E$13:$H$17,MATCH(B67,$L$13:$L$17,0),MATCH(D67,$E$21:$H$21,0)),L66)</f>
        <v>0.41320656390097438</v>
      </c>
      <c r="M67" s="485" t="str">
        <f t="shared" si="11"/>
        <v/>
      </c>
      <c r="O67" s="557">
        <f t="shared" si="9"/>
        <v>0.41320656390097438</v>
      </c>
      <c r="R67" s="556" t="e" cm="1">
        <f t="array" ref="R67">IF(H67="LO",INDEX($Z$23:$Z$47,MATCH(AC67,$AD$23:$AD$47,0),0),INDEX($AA$23:$AA$47,MATCH(AC67,$AD$23:$AD$47,0),0))</f>
        <v>#REF!</v>
      </c>
      <c r="AC67" s="485" t="str">
        <f t="shared" si="10"/>
        <v>IISOTHEAF-EIISELC</v>
      </c>
    </row>
    <row r="68" spans="1:29" ht="15" x14ac:dyDescent="0.25">
      <c r="A68" s="490"/>
      <c r="B68" s="99" t="s">
        <v>178</v>
      </c>
      <c r="D68" s="99" t="s">
        <v>588</v>
      </c>
      <c r="E68" s="99" t="s">
        <v>1307</v>
      </c>
      <c r="F68" s="99" t="s">
        <v>703</v>
      </c>
      <c r="G68" s="99" t="s">
        <v>1043</v>
      </c>
      <c r="H68" s="99" t="s">
        <v>1044</v>
      </c>
      <c r="I68" s="99">
        <v>3</v>
      </c>
      <c r="J68" s="99">
        <v>7.4999999999999997E-2</v>
      </c>
      <c r="K68" s="489"/>
      <c r="L68" s="556">
        <f>IF(OR(H68="LO",H68="FX"),INDEX($E$13:$H$17,MATCH(B68,$L$13:$L$17,0),MATCH(D68,$E$21:$H$21,0)),L67)</f>
        <v>3.0883865057843445E-2</v>
      </c>
      <c r="M68" s="485" t="str">
        <f t="shared" si="11"/>
        <v/>
      </c>
      <c r="O68" s="557">
        <f t="shared" si="9"/>
        <v>3.0883865057843445E-2</v>
      </c>
      <c r="R68" s="556" t="e" cm="1">
        <f t="array" ref="R68">IF(H68="LO",INDEX($Z$23:$Z$47,MATCH(AC68,$AD$23:$AD$47,0),0),INDEX($AA$23:$AA$47,MATCH(AC68,$AD$23:$AD$47,0),0))</f>
        <v>#REF!</v>
      </c>
      <c r="AC68" s="485" t="str">
        <f t="shared" si="10"/>
        <v>IISOTHEAF-EIISGAS</v>
      </c>
    </row>
    <row r="69" spans="1:29" ht="15" x14ac:dyDescent="0.25">
      <c r="A69" s="490"/>
      <c r="B69" s="404" t="s">
        <v>178</v>
      </c>
      <c r="C69" s="487"/>
      <c r="D69" s="404" t="s">
        <v>1276</v>
      </c>
      <c r="E69" s="404" t="s">
        <v>1307</v>
      </c>
      <c r="F69" s="404" t="s">
        <v>703</v>
      </c>
      <c r="G69" s="404" t="s">
        <v>1043</v>
      </c>
      <c r="H69" s="404" t="s">
        <v>1044</v>
      </c>
      <c r="I69" s="404">
        <v>3</v>
      </c>
      <c r="J69" s="404">
        <v>2.5000000000000001E-2</v>
      </c>
      <c r="K69" s="489"/>
      <c r="L69" s="556"/>
      <c r="M69" s="487" t="str">
        <f t="shared" si="11"/>
        <v/>
      </c>
      <c r="N69" s="558">
        <f>IF(H69="UP",J69,0)</f>
        <v>0</v>
      </c>
      <c r="O69" s="559">
        <f t="shared" si="9"/>
        <v>0</v>
      </c>
      <c r="P69" s="487"/>
      <c r="Q69" s="487"/>
      <c r="R69" s="558"/>
      <c r="AC69" s="485" t="str">
        <f t="shared" si="10"/>
        <v>IISOTHEAF-EIISOIL</v>
      </c>
    </row>
    <row r="70" spans="1:29" ht="15" x14ac:dyDescent="0.25">
      <c r="A70" s="490"/>
      <c r="B70" s="99" t="s">
        <v>180</v>
      </c>
      <c r="D70" s="99" t="s">
        <v>39</v>
      </c>
      <c r="E70" s="99" t="s">
        <v>1299</v>
      </c>
      <c r="F70" s="99" t="s">
        <v>703</v>
      </c>
      <c r="G70" s="99" t="s">
        <v>1043</v>
      </c>
      <c r="H70" s="99" t="s">
        <v>589</v>
      </c>
      <c r="I70" s="99">
        <v>3</v>
      </c>
      <c r="J70" s="99">
        <v>0.25</v>
      </c>
      <c r="K70" s="489"/>
      <c r="L70" s="556">
        <f>IF(OR(H70="LO",H70="FX"),INDEX($E$13:$H$17,MATCH(B70,$L$13:$L$17,0),MATCH(D70,$E$21:$H$21,0)),L69)</f>
        <v>0.25</v>
      </c>
      <c r="M70" s="485" t="str">
        <f t="shared" si="11"/>
        <v/>
      </c>
      <c r="O70" s="557">
        <f t="shared" si="9"/>
        <v>0.25</v>
      </c>
      <c r="R70" s="556" t="e" cm="1">
        <f t="array" ref="R70">IF(H70="LO",INDEX($Z$23:$Z$47,MATCH(AC70,$AD$23:$AD$47,0),0),INDEX($AA$23:$AA$47,MATCH(AC70,$AD$23:$AD$47,0),0))</f>
        <v>#REF!</v>
      </c>
      <c r="AC70" s="485" t="str">
        <f t="shared" si="10"/>
        <v>IISSCREAF-EIISCOA</v>
      </c>
    </row>
    <row r="71" spans="1:29" ht="15" x14ac:dyDescent="0.25">
      <c r="A71" s="490"/>
      <c r="B71" s="99" t="s">
        <v>180</v>
      </c>
      <c r="D71" s="99" t="s">
        <v>39</v>
      </c>
      <c r="E71" s="99" t="s">
        <v>1299</v>
      </c>
      <c r="F71" s="99" t="s">
        <v>703</v>
      </c>
      <c r="G71" s="99" t="s">
        <v>1043</v>
      </c>
      <c r="H71" s="99" t="s">
        <v>590</v>
      </c>
      <c r="I71" s="99">
        <v>3</v>
      </c>
      <c r="J71" s="99">
        <v>0.25</v>
      </c>
      <c r="K71" s="489"/>
      <c r="L71" s="556">
        <f>IF(OR(H71="LO",H71="FX"),INDEX($E$13:$H$17,MATCH(B71,$L$13:$L$17,0),MATCH(D71,$E$21:$H$21,0)),L70)</f>
        <v>0.25</v>
      </c>
      <c r="M71" s="485" t="str">
        <f t="shared" si="11"/>
        <v/>
      </c>
      <c r="O71" s="557">
        <f t="shared" si="9"/>
        <v>0.25</v>
      </c>
      <c r="R71" s="556" t="e" cm="1">
        <f t="array" ref="R71">IF(H71="LO",INDEX($Z$23:$Z$47,MATCH(AC71,$AD$23:$AD$47,0),0),INDEX($AA$23:$AA$47,MATCH(AC71,$AD$23:$AD$47,0),0))</f>
        <v>#REF!</v>
      </c>
      <c r="AC71" s="485" t="str">
        <f t="shared" si="10"/>
        <v>IISSCREAF-EIISCOA</v>
      </c>
    </row>
    <row r="72" spans="1:29" ht="15" x14ac:dyDescent="0.25">
      <c r="A72" s="490"/>
      <c r="B72" s="99" t="s">
        <v>180</v>
      </c>
      <c r="D72" s="99" t="s">
        <v>38</v>
      </c>
      <c r="E72" s="99" t="s">
        <v>1299</v>
      </c>
      <c r="F72" s="99" t="s">
        <v>703</v>
      </c>
      <c r="G72" s="99" t="s">
        <v>1043</v>
      </c>
      <c r="H72" s="99" t="s">
        <v>1044</v>
      </c>
      <c r="I72" s="99">
        <v>3</v>
      </c>
      <c r="J72" s="99">
        <v>0.75</v>
      </c>
      <c r="K72" s="489"/>
      <c r="L72" s="556">
        <f>IF(OR(H72="LO",H72="FX"),INDEX($E$13:$H$17,MATCH(B72,$L$13:$L$17,0),MATCH(D72,$E$21:$H$21,0)),L71)</f>
        <v>0.75</v>
      </c>
      <c r="M72" s="485" t="str">
        <f t="shared" si="11"/>
        <v/>
      </c>
      <c r="O72" s="557">
        <f t="shared" si="9"/>
        <v>0.75</v>
      </c>
      <c r="R72" s="556" t="e" cm="1">
        <f t="array" ref="R72">IF(H72="LO",INDEX($Z$23:$Z$47,MATCH(AC72,$AD$23:$AD$47,0),0),INDEX($AA$23:$AA$47,MATCH(AC72,$AD$23:$AD$47,0),0))</f>
        <v>#REF!</v>
      </c>
      <c r="AC72" s="485" t="str">
        <f t="shared" si="10"/>
        <v>IISSCREAF-EIISELC</v>
      </c>
    </row>
    <row r="73" spans="1:29" ht="15" x14ac:dyDescent="0.25">
      <c r="A73" s="490"/>
      <c r="B73" s="99" t="s">
        <v>180</v>
      </c>
      <c r="D73" s="99" t="s">
        <v>588</v>
      </c>
      <c r="E73" s="99" t="s">
        <v>1299</v>
      </c>
      <c r="F73" s="99" t="s">
        <v>703</v>
      </c>
      <c r="G73" s="99" t="s">
        <v>1043</v>
      </c>
      <c r="H73" s="99" t="s">
        <v>589</v>
      </c>
      <c r="I73" s="99">
        <v>3</v>
      </c>
      <c r="J73" s="99">
        <v>0</v>
      </c>
      <c r="K73" s="489"/>
      <c r="L73" s="556">
        <f>IF(OR(H73="LO",H73="FX"),INDEX($E$13:$H$17,MATCH(B73,$L$13:$L$17,0),MATCH(D73,$E$21:$H$21,0)),L72)</f>
        <v>0</v>
      </c>
      <c r="M73" s="485" t="str">
        <f t="shared" si="11"/>
        <v/>
      </c>
      <c r="O73" s="557">
        <f t="shared" si="9"/>
        <v>0</v>
      </c>
      <c r="R73" s="556" t="e" cm="1">
        <f t="array" ref="R73">IF(H73="LO",INDEX($Z$23:$Z$47,MATCH(AC73,$AD$23:$AD$47,0),0),INDEX($AA$23:$AA$47,MATCH(AC73,$AD$23:$AD$47,0),0))</f>
        <v>#REF!</v>
      </c>
      <c r="AC73" s="485" t="str">
        <f t="shared" si="10"/>
        <v>IISSCREAF-EIISGAS</v>
      </c>
    </row>
    <row r="74" spans="1:29" ht="15" x14ac:dyDescent="0.25">
      <c r="A74" s="490"/>
      <c r="B74" s="99" t="s">
        <v>180</v>
      </c>
      <c r="D74" s="99" t="s">
        <v>588</v>
      </c>
      <c r="E74" s="99" t="s">
        <v>1299</v>
      </c>
      <c r="F74" s="99" t="s">
        <v>703</v>
      </c>
      <c r="G74" s="99" t="s">
        <v>1043</v>
      </c>
      <c r="H74" s="99" t="s">
        <v>590</v>
      </c>
      <c r="I74" s="99">
        <v>3</v>
      </c>
      <c r="J74" s="99">
        <v>0</v>
      </c>
      <c r="K74" s="489"/>
      <c r="L74" s="556">
        <f>IF(OR(H74="LO",H74="FX"),INDEX($E$13:$H$17,MATCH(B74,$L$13:$L$17,0),MATCH(D74,$E$21:$H$21,0)),L73)</f>
        <v>0</v>
      </c>
      <c r="M74" s="485" t="str">
        <f t="shared" si="11"/>
        <v/>
      </c>
      <c r="O74" s="557">
        <f t="shared" si="9"/>
        <v>0</v>
      </c>
      <c r="R74" s="556" t="e" cm="1">
        <f t="array" ref="R74">IF(H74="LO",INDEX($Z$23:$Z$47,MATCH(AC74,$AD$23:$AD$47,0),0),INDEX($AA$23:$AA$47,MATCH(AC74,$AD$23:$AD$47,0),0))</f>
        <v>#REF!</v>
      </c>
      <c r="AC74" s="485" t="str">
        <f t="shared" si="10"/>
        <v>IISSCREAF-EIISGAS</v>
      </c>
    </row>
    <row r="75" spans="1:29" ht="15" x14ac:dyDescent="0.25">
      <c r="A75" s="490"/>
      <c r="B75" s="99" t="s">
        <v>180</v>
      </c>
      <c r="D75" s="99" t="s">
        <v>1276</v>
      </c>
      <c r="E75" s="99" t="s">
        <v>1299</v>
      </c>
      <c r="F75" s="99" t="s">
        <v>703</v>
      </c>
      <c r="G75" s="99" t="s">
        <v>1043</v>
      </c>
      <c r="H75" s="99" t="s">
        <v>589</v>
      </c>
      <c r="I75" s="99">
        <v>3</v>
      </c>
      <c r="J75" s="99">
        <v>0</v>
      </c>
      <c r="K75" s="489"/>
      <c r="L75" s="556"/>
      <c r="M75" s="485" t="str">
        <f t="shared" si="11"/>
        <v/>
      </c>
      <c r="N75" s="556">
        <f>IF(H75="UP",J75,0)</f>
        <v>0</v>
      </c>
      <c r="O75" s="557">
        <f t="shared" si="9"/>
        <v>0</v>
      </c>
      <c r="R75" s="556"/>
      <c r="AC75" s="485" t="str">
        <f t="shared" si="10"/>
        <v>IISSCREAF-EIISOIL</v>
      </c>
    </row>
    <row r="76" spans="1:29" ht="15" x14ac:dyDescent="0.25">
      <c r="A76" s="490"/>
      <c r="B76" s="404" t="s">
        <v>180</v>
      </c>
      <c r="C76" s="487"/>
      <c r="D76" s="404" t="s">
        <v>1276</v>
      </c>
      <c r="E76" s="404" t="s">
        <v>1299</v>
      </c>
      <c r="F76" s="404" t="s">
        <v>703</v>
      </c>
      <c r="G76" s="404" t="s">
        <v>1043</v>
      </c>
      <c r="H76" s="404" t="s">
        <v>590</v>
      </c>
      <c r="I76" s="404">
        <v>3</v>
      </c>
      <c r="J76" s="404">
        <v>0</v>
      </c>
      <c r="K76" s="489"/>
      <c r="L76" s="556"/>
      <c r="M76" s="487" t="str">
        <f t="shared" si="11"/>
        <v/>
      </c>
      <c r="N76" s="558">
        <f>IF(H76="UP",J76,0)</f>
        <v>0</v>
      </c>
      <c r="O76" s="559">
        <f t="shared" si="9"/>
        <v>0</v>
      </c>
      <c r="P76" s="487"/>
      <c r="Q76" s="487"/>
      <c r="R76" s="558"/>
      <c r="AC76" s="485" t="str">
        <f t="shared" si="10"/>
        <v>IISSCREAF-EIISOIL</v>
      </c>
    </row>
    <row r="77" spans="1:29" ht="15" x14ac:dyDescent="0.25">
      <c r="A77" s="490"/>
      <c r="B77" s="99" t="s">
        <v>541</v>
      </c>
      <c r="D77" s="99" t="s">
        <v>39</v>
      </c>
      <c r="E77" s="99" t="s">
        <v>1295</v>
      </c>
      <c r="F77" s="99" t="s">
        <v>703</v>
      </c>
      <c r="G77" s="99" t="s">
        <v>1043</v>
      </c>
      <c r="H77" s="99" t="s">
        <v>589</v>
      </c>
      <c r="I77" s="99">
        <v>3</v>
      </c>
      <c r="J77" s="99">
        <v>0.05</v>
      </c>
      <c r="K77" s="489"/>
      <c r="M77" s="485">
        <f t="shared" si="11"/>
        <v>0.05</v>
      </c>
      <c r="O77" s="557">
        <f t="shared" si="9"/>
        <v>0.05</v>
      </c>
      <c r="R77" s="556" t="e">
        <f t="shared" ref="R77:R83" si="12">R70</f>
        <v>#REF!</v>
      </c>
      <c r="AC77" s="485" t="str">
        <f t="shared" si="10"/>
        <v>IISSCREAF-NIISCOA</v>
      </c>
    </row>
    <row r="78" spans="1:29" ht="15" x14ac:dyDescent="0.25">
      <c r="A78" s="490"/>
      <c r="B78" s="99" t="s">
        <v>541</v>
      </c>
      <c r="D78" s="99" t="s">
        <v>39</v>
      </c>
      <c r="E78" s="99" t="s">
        <v>1295</v>
      </c>
      <c r="F78" s="99" t="s">
        <v>703</v>
      </c>
      <c r="G78" s="99" t="s">
        <v>1043</v>
      </c>
      <c r="H78" s="99" t="s">
        <v>590</v>
      </c>
      <c r="I78" s="99">
        <v>3</v>
      </c>
      <c r="J78" s="99">
        <v>0.25</v>
      </c>
      <c r="K78" s="489"/>
      <c r="M78" s="485">
        <f t="shared" si="11"/>
        <v>0.25</v>
      </c>
      <c r="O78" s="557">
        <f t="shared" si="9"/>
        <v>0.25</v>
      </c>
      <c r="R78" s="556" t="e">
        <f t="shared" si="12"/>
        <v>#REF!</v>
      </c>
      <c r="AC78" s="485" t="str">
        <f t="shared" si="10"/>
        <v>IISSCREAF-NIISCOA</v>
      </c>
    </row>
    <row r="79" spans="1:29" ht="15" x14ac:dyDescent="0.25">
      <c r="A79" s="490"/>
      <c r="B79" s="99" t="s">
        <v>541</v>
      </c>
      <c r="D79" s="99" t="s">
        <v>38</v>
      </c>
      <c r="E79" s="99" t="s">
        <v>1295</v>
      </c>
      <c r="F79" s="99" t="s">
        <v>703</v>
      </c>
      <c r="G79" s="99" t="s">
        <v>1043</v>
      </c>
      <c r="H79" s="99" t="s">
        <v>1044</v>
      </c>
      <c r="I79" s="99">
        <v>3</v>
      </c>
      <c r="J79" s="99">
        <v>0.75</v>
      </c>
      <c r="K79" s="489"/>
      <c r="M79" s="485">
        <f t="shared" si="11"/>
        <v>0.75</v>
      </c>
      <c r="O79" s="557">
        <f t="shared" si="9"/>
        <v>0.75</v>
      </c>
      <c r="R79" s="556" t="e">
        <f t="shared" si="12"/>
        <v>#REF!</v>
      </c>
      <c r="AC79" s="485" t="str">
        <f t="shared" si="10"/>
        <v>IISSCREAF-NIISELC</v>
      </c>
    </row>
    <row r="80" spans="1:29" ht="15" x14ac:dyDescent="0.25">
      <c r="A80" s="490"/>
      <c r="B80" s="99" t="s">
        <v>541</v>
      </c>
      <c r="D80" s="99" t="s">
        <v>588</v>
      </c>
      <c r="E80" s="99" t="s">
        <v>1295</v>
      </c>
      <c r="F80" s="99" t="s">
        <v>703</v>
      </c>
      <c r="G80" s="99" t="s">
        <v>1043</v>
      </c>
      <c r="H80" s="99" t="s">
        <v>589</v>
      </c>
      <c r="I80" s="99">
        <v>3</v>
      </c>
      <c r="J80" s="99">
        <v>0</v>
      </c>
      <c r="K80" s="489"/>
      <c r="M80" s="485">
        <f t="shared" si="11"/>
        <v>0</v>
      </c>
      <c r="O80" s="557">
        <f t="shared" si="9"/>
        <v>0</v>
      </c>
      <c r="R80" s="556" t="e">
        <f t="shared" si="12"/>
        <v>#REF!</v>
      </c>
      <c r="AC80" s="485" t="str">
        <f t="shared" si="10"/>
        <v>IISSCREAF-NIISGAS</v>
      </c>
    </row>
    <row r="81" spans="1:29" ht="15" x14ac:dyDescent="0.25">
      <c r="A81" s="490"/>
      <c r="B81" s="99" t="s">
        <v>541</v>
      </c>
      <c r="D81" s="99" t="s">
        <v>588</v>
      </c>
      <c r="E81" s="99" t="s">
        <v>1295</v>
      </c>
      <c r="F81" s="99" t="s">
        <v>703</v>
      </c>
      <c r="G81" s="99" t="s">
        <v>1043</v>
      </c>
      <c r="H81" s="99" t="s">
        <v>590</v>
      </c>
      <c r="I81" s="99">
        <v>3</v>
      </c>
      <c r="J81" s="99">
        <v>0.2</v>
      </c>
      <c r="K81" s="489"/>
      <c r="M81" s="485">
        <f t="shared" si="11"/>
        <v>0.2</v>
      </c>
      <c r="O81" s="557">
        <f t="shared" si="9"/>
        <v>0.2</v>
      </c>
      <c r="R81" s="556" t="e">
        <f t="shared" si="12"/>
        <v>#REF!</v>
      </c>
      <c r="AC81" s="485" t="str">
        <f t="shared" si="10"/>
        <v>IISSCREAF-NIISGAS</v>
      </c>
    </row>
    <row r="82" spans="1:29" ht="15" x14ac:dyDescent="0.25">
      <c r="A82" s="490"/>
      <c r="B82" s="99" t="s">
        <v>541</v>
      </c>
      <c r="D82" s="99" t="s">
        <v>1276</v>
      </c>
      <c r="E82" s="99" t="s">
        <v>1295</v>
      </c>
      <c r="F82" s="99" t="s">
        <v>703</v>
      </c>
      <c r="G82" s="99" t="s">
        <v>1043</v>
      </c>
      <c r="H82" s="99" t="s">
        <v>589</v>
      </c>
      <c r="I82" s="99">
        <v>3</v>
      </c>
      <c r="J82" s="99">
        <v>0</v>
      </c>
      <c r="K82" s="489"/>
      <c r="M82" s="485">
        <f t="shared" si="11"/>
        <v>0</v>
      </c>
      <c r="O82" s="557">
        <f t="shared" si="9"/>
        <v>0</v>
      </c>
      <c r="R82" s="556">
        <f t="shared" si="12"/>
        <v>0</v>
      </c>
      <c r="AC82" s="485" t="str">
        <f t="shared" si="10"/>
        <v>IISSCREAF-NIISOIL</v>
      </c>
    </row>
    <row r="83" spans="1:29" ht="15" x14ac:dyDescent="0.25">
      <c r="A83" s="490"/>
      <c r="B83" s="99" t="s">
        <v>541</v>
      </c>
      <c r="D83" s="99" t="s">
        <v>1276</v>
      </c>
      <c r="E83" s="99" t="s">
        <v>1295</v>
      </c>
      <c r="F83" s="99" t="s">
        <v>703</v>
      </c>
      <c r="G83" s="99" t="s">
        <v>1043</v>
      </c>
      <c r="H83" s="99" t="s">
        <v>590</v>
      </c>
      <c r="I83" s="99">
        <v>3</v>
      </c>
      <c r="J83" s="99">
        <v>0.2</v>
      </c>
      <c r="K83" s="489"/>
      <c r="M83" s="485">
        <f t="shared" si="11"/>
        <v>0.2</v>
      </c>
      <c r="O83" s="557">
        <f t="shared" si="9"/>
        <v>0.2</v>
      </c>
      <c r="R83" s="556">
        <f t="shared" si="12"/>
        <v>0</v>
      </c>
      <c r="AC83" s="485" t="str">
        <f t="shared" si="10"/>
        <v>IISSCREAF-NIISOIL</v>
      </c>
    </row>
    <row r="84" spans="1:29" x14ac:dyDescent="0.2">
      <c r="A84" s="488"/>
      <c r="B84" s="487"/>
      <c r="C84" s="487"/>
      <c r="D84" s="487"/>
      <c r="E84" s="487"/>
      <c r="F84" s="487"/>
      <c r="G84" s="487"/>
      <c r="H84" s="487"/>
      <c r="I84" s="487"/>
      <c r="J84" s="487"/>
      <c r="K84" s="486"/>
    </row>
    <row r="87" spans="1:29" x14ac:dyDescent="0.2">
      <c r="B87" s="502" t="s">
        <v>1424</v>
      </c>
    </row>
    <row r="88" spans="1:29" x14ac:dyDescent="0.2">
      <c r="A88" s="500"/>
      <c r="B88" s="499"/>
      <c r="C88" s="499"/>
      <c r="D88" s="499"/>
      <c r="E88" s="499"/>
      <c r="F88" s="499"/>
      <c r="G88" s="499"/>
      <c r="H88" s="499"/>
      <c r="I88" s="499"/>
      <c r="J88" s="499"/>
      <c r="K88" s="498"/>
    </row>
    <row r="89" spans="1:29" ht="15" x14ac:dyDescent="0.25">
      <c r="A89" s="490"/>
      <c r="B89" s="99" t="s">
        <v>910</v>
      </c>
      <c r="C89" s="99" t="s">
        <v>169</v>
      </c>
      <c r="D89" s="99">
        <v>2414</v>
      </c>
      <c r="K89" s="489"/>
      <c r="O89" s="485">
        <f t="shared" ref="O89:O109" si="13">D89*$Q$89</f>
        <v>3160.9164837865528</v>
      </c>
      <c r="Q89" s="485">
        <f>zar.2010</f>
        <v>1.3094103081137336</v>
      </c>
      <c r="R89" s="502" t="s">
        <v>1423</v>
      </c>
    </row>
    <row r="90" spans="1:29" ht="15" x14ac:dyDescent="0.25">
      <c r="A90" s="490"/>
      <c r="B90" s="99" t="s">
        <v>910</v>
      </c>
      <c r="C90" s="99" t="s">
        <v>1245</v>
      </c>
      <c r="D90" s="99">
        <v>2414</v>
      </c>
      <c r="K90" s="489"/>
      <c r="O90" s="485">
        <f t="shared" si="13"/>
        <v>3160.9164837865528</v>
      </c>
    </row>
    <row r="91" spans="1:29" ht="15" x14ac:dyDescent="0.25">
      <c r="A91" s="490"/>
      <c r="B91" s="99" t="s">
        <v>910</v>
      </c>
      <c r="C91" s="99" t="s">
        <v>1243</v>
      </c>
      <c r="D91" s="99">
        <v>2414</v>
      </c>
      <c r="K91" s="489"/>
      <c r="O91" s="485">
        <f t="shared" si="13"/>
        <v>3160.9164837865528</v>
      </c>
    </row>
    <row r="92" spans="1:29" ht="15" x14ac:dyDescent="0.25">
      <c r="A92" s="490"/>
      <c r="B92" s="99" t="s">
        <v>910</v>
      </c>
      <c r="C92" s="99" t="s">
        <v>538</v>
      </c>
      <c r="D92" s="99">
        <v>2414</v>
      </c>
      <c r="K92" s="489"/>
      <c r="O92" s="485">
        <f t="shared" si="13"/>
        <v>3160.9164837865528</v>
      </c>
    </row>
    <row r="93" spans="1:29" ht="15" x14ac:dyDescent="0.25">
      <c r="A93" s="490"/>
      <c r="B93" s="99" t="s">
        <v>910</v>
      </c>
      <c r="C93" s="99" t="s">
        <v>171</v>
      </c>
      <c r="D93" s="99">
        <v>3078</v>
      </c>
      <c r="K93" s="489"/>
      <c r="O93" s="485">
        <f t="shared" si="13"/>
        <v>4030.364928374072</v>
      </c>
    </row>
    <row r="94" spans="1:29" ht="15" x14ac:dyDescent="0.25">
      <c r="A94" s="490"/>
      <c r="B94" s="99" t="s">
        <v>910</v>
      </c>
      <c r="C94" s="99" t="s">
        <v>1239</v>
      </c>
      <c r="D94" s="99">
        <v>3078</v>
      </c>
      <c r="K94" s="489"/>
      <c r="O94" s="485">
        <f t="shared" si="13"/>
        <v>4030.364928374072</v>
      </c>
    </row>
    <row r="95" spans="1:29" ht="15" x14ac:dyDescent="0.25">
      <c r="A95" s="490"/>
      <c r="B95" s="99" t="s">
        <v>910</v>
      </c>
      <c r="C95" s="99" t="s">
        <v>1237</v>
      </c>
      <c r="D95" s="99">
        <v>3078</v>
      </c>
      <c r="K95" s="489"/>
      <c r="O95" s="485">
        <f t="shared" si="13"/>
        <v>4030.364928374072</v>
      </c>
    </row>
    <row r="96" spans="1:29" ht="15" x14ac:dyDescent="0.25">
      <c r="A96" s="490"/>
      <c r="B96" s="99" t="s">
        <v>910</v>
      </c>
      <c r="C96" s="99" t="s">
        <v>1235</v>
      </c>
      <c r="D96" s="99">
        <v>46.875</v>
      </c>
      <c r="K96" s="489"/>
      <c r="O96" s="550">
        <f t="shared" si="13"/>
        <v>61.378608192831265</v>
      </c>
    </row>
    <row r="97" spans="1:19" ht="15" x14ac:dyDescent="0.25">
      <c r="A97" s="490"/>
      <c r="B97" s="99" t="s">
        <v>910</v>
      </c>
      <c r="C97" s="99" t="s">
        <v>174</v>
      </c>
      <c r="D97" s="99">
        <v>3078</v>
      </c>
      <c r="K97" s="489"/>
      <c r="O97" s="485">
        <f t="shared" si="13"/>
        <v>4030.364928374072</v>
      </c>
    </row>
    <row r="98" spans="1:19" ht="15" x14ac:dyDescent="0.25">
      <c r="A98" s="490"/>
      <c r="B98" s="99" t="s">
        <v>910</v>
      </c>
      <c r="C98" s="99" t="s">
        <v>1232</v>
      </c>
      <c r="D98" s="99">
        <v>3078</v>
      </c>
      <c r="K98" s="489"/>
      <c r="O98" s="485">
        <f t="shared" si="13"/>
        <v>4030.364928374072</v>
      </c>
    </row>
    <row r="99" spans="1:19" ht="15" x14ac:dyDescent="0.25">
      <c r="A99" s="490"/>
      <c r="B99" s="99" t="s">
        <v>910</v>
      </c>
      <c r="C99" s="99" t="s">
        <v>1230</v>
      </c>
      <c r="D99" s="99">
        <v>3078</v>
      </c>
      <c r="K99" s="489"/>
      <c r="O99" s="485">
        <f t="shared" si="13"/>
        <v>4030.364928374072</v>
      </c>
    </row>
    <row r="100" spans="1:19" ht="15" x14ac:dyDescent="0.25">
      <c r="A100" s="490"/>
      <c r="B100" s="99" t="s">
        <v>910</v>
      </c>
      <c r="C100" s="99" t="s">
        <v>539</v>
      </c>
      <c r="D100" s="99">
        <v>3078</v>
      </c>
      <c r="K100" s="489"/>
      <c r="O100" s="485">
        <f t="shared" si="13"/>
        <v>4030.364928374072</v>
      </c>
    </row>
    <row r="101" spans="1:19" ht="15" x14ac:dyDescent="0.25">
      <c r="A101" s="490"/>
      <c r="B101" s="99" t="s">
        <v>910</v>
      </c>
      <c r="C101" s="99" t="s">
        <v>540</v>
      </c>
      <c r="D101" s="99">
        <v>3613</v>
      </c>
      <c r="K101" s="489"/>
      <c r="O101" s="485">
        <f t="shared" si="13"/>
        <v>4730.8994432149193</v>
      </c>
    </row>
    <row r="102" spans="1:19" ht="15" x14ac:dyDescent="0.25">
      <c r="A102" s="490"/>
      <c r="B102" s="99" t="s">
        <v>910</v>
      </c>
      <c r="C102" s="99" t="s">
        <v>178</v>
      </c>
      <c r="D102" s="99">
        <v>3078</v>
      </c>
      <c r="K102" s="489"/>
      <c r="O102" s="485">
        <f t="shared" si="13"/>
        <v>4030.364928374072</v>
      </c>
    </row>
    <row r="103" spans="1:19" ht="15" x14ac:dyDescent="0.25">
      <c r="A103" s="490"/>
      <c r="B103" s="99" t="s">
        <v>910</v>
      </c>
      <c r="C103" s="99" t="s">
        <v>1225</v>
      </c>
      <c r="D103" s="99">
        <v>3078</v>
      </c>
      <c r="K103" s="489"/>
      <c r="O103" s="485">
        <f t="shared" si="13"/>
        <v>4030.364928374072</v>
      </c>
    </row>
    <row r="104" spans="1:19" ht="15" x14ac:dyDescent="0.25">
      <c r="A104" s="490"/>
      <c r="B104" s="99" t="s">
        <v>910</v>
      </c>
      <c r="C104" s="99" t="s">
        <v>1223</v>
      </c>
      <c r="D104" s="99">
        <v>3078</v>
      </c>
      <c r="K104" s="489"/>
      <c r="O104" s="485">
        <f t="shared" si="13"/>
        <v>4030.364928374072</v>
      </c>
    </row>
    <row r="105" spans="1:19" ht="15" x14ac:dyDescent="0.25">
      <c r="A105" s="490"/>
      <c r="B105" s="99" t="s">
        <v>910</v>
      </c>
      <c r="C105" s="99" t="s">
        <v>180</v>
      </c>
      <c r="D105" s="99">
        <v>3324</v>
      </c>
      <c r="K105" s="489"/>
      <c r="O105" s="485">
        <f t="shared" si="13"/>
        <v>4352.4798641700509</v>
      </c>
    </row>
    <row r="106" spans="1:19" ht="15" x14ac:dyDescent="0.25">
      <c r="A106" s="490"/>
      <c r="B106" s="99" t="s">
        <v>910</v>
      </c>
      <c r="C106" s="99" t="s">
        <v>1220</v>
      </c>
      <c r="D106" s="99">
        <v>3324</v>
      </c>
      <c r="K106" s="489"/>
      <c r="O106" s="485">
        <f t="shared" si="13"/>
        <v>4352.4798641700509</v>
      </c>
    </row>
    <row r="107" spans="1:19" ht="15" x14ac:dyDescent="0.25">
      <c r="A107" s="490"/>
      <c r="B107" s="99" t="s">
        <v>910</v>
      </c>
      <c r="C107" s="99" t="s">
        <v>1218</v>
      </c>
      <c r="D107" s="99">
        <v>3324</v>
      </c>
      <c r="K107" s="489"/>
      <c r="O107" s="485">
        <f t="shared" si="13"/>
        <v>4352.4798641700509</v>
      </c>
    </row>
    <row r="108" spans="1:19" ht="15" x14ac:dyDescent="0.25">
      <c r="A108" s="490"/>
      <c r="B108" s="99" t="s">
        <v>910</v>
      </c>
      <c r="C108" s="99" t="s">
        <v>541</v>
      </c>
      <c r="D108" s="99">
        <v>3324</v>
      </c>
      <c r="K108" s="489"/>
      <c r="O108" s="485">
        <f t="shared" si="13"/>
        <v>4352.4798641700509</v>
      </c>
    </row>
    <row r="109" spans="1:19" ht="15" x14ac:dyDescent="0.25">
      <c r="A109" s="490"/>
      <c r="B109" s="99" t="s">
        <v>910</v>
      </c>
      <c r="C109" s="99" t="s">
        <v>1203</v>
      </c>
      <c r="D109" s="99">
        <v>0</v>
      </c>
      <c r="K109" s="489"/>
      <c r="O109" s="485">
        <f t="shared" si="13"/>
        <v>0</v>
      </c>
      <c r="R109" s="485" t="s">
        <v>1422</v>
      </c>
    </row>
    <row r="110" spans="1:19" x14ac:dyDescent="0.2">
      <c r="A110" s="490"/>
      <c r="K110" s="489"/>
      <c r="R110" s="485">
        <v>15000</v>
      </c>
      <c r="S110" s="485" t="s">
        <v>1421</v>
      </c>
    </row>
    <row r="111" spans="1:19" x14ac:dyDescent="0.2">
      <c r="A111" s="490"/>
      <c r="K111" s="489"/>
    </row>
    <row r="112" spans="1:19" ht="15" x14ac:dyDescent="0.25">
      <c r="A112" s="490"/>
      <c r="B112" s="99" t="s">
        <v>1030</v>
      </c>
      <c r="C112" s="99" t="s">
        <v>1245</v>
      </c>
      <c r="D112" s="99">
        <v>39</v>
      </c>
      <c r="K112" s="489"/>
      <c r="O112" s="485">
        <f t="shared" ref="O112:O125" si="14">D112*$Q$89</f>
        <v>51.067002016435609</v>
      </c>
    </row>
    <row r="113" spans="1:15" ht="15" x14ac:dyDescent="0.25">
      <c r="A113" s="490"/>
      <c r="B113" s="99" t="s">
        <v>1030</v>
      </c>
      <c r="C113" s="99" t="s">
        <v>1243</v>
      </c>
      <c r="D113" s="99">
        <v>395</v>
      </c>
      <c r="K113" s="489"/>
      <c r="O113" s="485">
        <f t="shared" si="14"/>
        <v>517.21707170492482</v>
      </c>
    </row>
    <row r="114" spans="1:15" ht="15" x14ac:dyDescent="0.25">
      <c r="A114" s="490"/>
      <c r="B114" s="99" t="s">
        <v>1030</v>
      </c>
      <c r="C114" s="99" t="s">
        <v>538</v>
      </c>
      <c r="D114" s="99">
        <v>2261</v>
      </c>
      <c r="K114" s="489"/>
      <c r="O114" s="485">
        <f t="shared" si="14"/>
        <v>2960.5767066451517</v>
      </c>
    </row>
    <row r="115" spans="1:15" ht="15" x14ac:dyDescent="0.25">
      <c r="A115" s="490"/>
      <c r="B115" s="99" t="s">
        <v>1030</v>
      </c>
      <c r="C115" s="99" t="s">
        <v>1239</v>
      </c>
      <c r="D115" s="99">
        <v>18</v>
      </c>
      <c r="K115" s="489"/>
      <c r="O115" s="485">
        <f t="shared" si="14"/>
        <v>23.569385546047204</v>
      </c>
    </row>
    <row r="116" spans="1:15" ht="15" x14ac:dyDescent="0.25">
      <c r="A116" s="490"/>
      <c r="B116" s="99" t="s">
        <v>1030</v>
      </c>
      <c r="C116" s="99" t="s">
        <v>1237</v>
      </c>
      <c r="D116" s="99">
        <v>134</v>
      </c>
      <c r="K116" s="489"/>
      <c r="O116" s="485">
        <f t="shared" si="14"/>
        <v>175.46098128724032</v>
      </c>
    </row>
    <row r="117" spans="1:15" ht="15" x14ac:dyDescent="0.25">
      <c r="A117" s="490"/>
      <c r="B117" s="99" t="s">
        <v>1030</v>
      </c>
      <c r="C117" s="99" t="s">
        <v>1232</v>
      </c>
      <c r="D117" s="99">
        <v>31</v>
      </c>
      <c r="K117" s="489"/>
      <c r="O117" s="485">
        <f t="shared" si="14"/>
        <v>40.591719551525742</v>
      </c>
    </row>
    <row r="118" spans="1:15" ht="15" x14ac:dyDescent="0.25">
      <c r="A118" s="490"/>
      <c r="B118" s="99" t="s">
        <v>1030</v>
      </c>
      <c r="C118" s="99" t="s">
        <v>1230</v>
      </c>
      <c r="D118" s="99">
        <v>134</v>
      </c>
      <c r="K118" s="489"/>
      <c r="O118" s="485">
        <f t="shared" si="14"/>
        <v>175.46098128724032</v>
      </c>
    </row>
    <row r="119" spans="1:15" ht="15" x14ac:dyDescent="0.25">
      <c r="A119" s="490"/>
      <c r="B119" s="99" t="s">
        <v>1030</v>
      </c>
      <c r="C119" s="99" t="s">
        <v>539</v>
      </c>
      <c r="D119" s="99">
        <v>2254</v>
      </c>
      <c r="K119" s="489"/>
      <c r="O119" s="485">
        <f t="shared" si="14"/>
        <v>2951.4108344883557</v>
      </c>
    </row>
    <row r="120" spans="1:15" ht="15" x14ac:dyDescent="0.25">
      <c r="A120" s="490"/>
      <c r="B120" s="99" t="s">
        <v>1030</v>
      </c>
      <c r="C120" s="99" t="s">
        <v>540</v>
      </c>
      <c r="D120" s="99">
        <v>1878</v>
      </c>
      <c r="K120" s="489"/>
      <c r="O120" s="485">
        <f t="shared" si="14"/>
        <v>2459.0725586375916</v>
      </c>
    </row>
    <row r="121" spans="1:15" ht="15" x14ac:dyDescent="0.25">
      <c r="A121" s="490"/>
      <c r="B121" s="99" t="s">
        <v>1030</v>
      </c>
      <c r="C121" s="99" t="s">
        <v>1225</v>
      </c>
      <c r="D121" s="99">
        <v>18</v>
      </c>
      <c r="K121" s="489"/>
      <c r="O121" s="485">
        <f t="shared" si="14"/>
        <v>23.569385546047204</v>
      </c>
    </row>
    <row r="122" spans="1:15" ht="15" x14ac:dyDescent="0.25">
      <c r="A122" s="490"/>
      <c r="B122" s="99" t="s">
        <v>1030</v>
      </c>
      <c r="C122" s="99" t="s">
        <v>1223</v>
      </c>
      <c r="D122" s="99">
        <v>134</v>
      </c>
      <c r="K122" s="489"/>
      <c r="O122" s="485">
        <f t="shared" si="14"/>
        <v>175.46098128724032</v>
      </c>
    </row>
    <row r="123" spans="1:15" ht="15" x14ac:dyDescent="0.25">
      <c r="A123" s="490"/>
      <c r="B123" s="99" t="s">
        <v>1030</v>
      </c>
      <c r="C123" s="99" t="s">
        <v>1220</v>
      </c>
      <c r="D123" s="99">
        <v>18</v>
      </c>
      <c r="K123" s="489"/>
      <c r="O123" s="485">
        <f t="shared" si="14"/>
        <v>23.569385546047204</v>
      </c>
    </row>
    <row r="124" spans="1:15" ht="15" x14ac:dyDescent="0.25">
      <c r="A124" s="490"/>
      <c r="B124" s="99" t="s">
        <v>1030</v>
      </c>
      <c r="C124" s="99" t="s">
        <v>1218</v>
      </c>
      <c r="D124" s="99">
        <v>134</v>
      </c>
      <c r="K124" s="489"/>
      <c r="O124" s="485">
        <f t="shared" si="14"/>
        <v>175.46098128724032</v>
      </c>
    </row>
    <row r="125" spans="1:15" ht="15" x14ac:dyDescent="0.25">
      <c r="A125" s="490"/>
      <c r="B125" s="99" t="s">
        <v>1030</v>
      </c>
      <c r="C125" s="99" t="s">
        <v>541</v>
      </c>
      <c r="D125" s="99">
        <v>1384</v>
      </c>
      <c r="K125" s="489"/>
      <c r="O125" s="485">
        <f t="shared" si="14"/>
        <v>1812.2238664294073</v>
      </c>
    </row>
    <row r="126" spans="1:15" ht="15" x14ac:dyDescent="0.25">
      <c r="A126" s="490"/>
      <c r="B126" s="99" t="s">
        <v>1030</v>
      </c>
      <c r="C126" s="99" t="s">
        <v>1215</v>
      </c>
      <c r="D126" s="99">
        <v>1E-4</v>
      </c>
      <c r="K126" s="489"/>
      <c r="O126" s="485">
        <f>D126</f>
        <v>1E-4</v>
      </c>
    </row>
    <row r="127" spans="1:15" ht="15" x14ac:dyDescent="0.25">
      <c r="A127" s="490"/>
      <c r="B127" s="99" t="s">
        <v>1030</v>
      </c>
      <c r="C127" s="99" t="s">
        <v>1209</v>
      </c>
      <c r="D127" s="99">
        <v>1E-4</v>
      </c>
      <c r="K127" s="489"/>
      <c r="O127" s="485">
        <f>D127</f>
        <v>1E-4</v>
      </c>
    </row>
    <row r="128" spans="1:15" ht="15" x14ac:dyDescent="0.25">
      <c r="A128" s="490"/>
      <c r="B128" s="99" t="s">
        <v>1030</v>
      </c>
      <c r="C128" s="99" t="s">
        <v>1207</v>
      </c>
      <c r="D128" s="99">
        <v>1E-4</v>
      </c>
      <c r="K128" s="489"/>
      <c r="O128" s="485">
        <f>D128</f>
        <v>1E-4</v>
      </c>
    </row>
    <row r="129" spans="1:15" ht="15" x14ac:dyDescent="0.25">
      <c r="A129" s="490"/>
      <c r="B129" s="99" t="s">
        <v>1030</v>
      </c>
      <c r="C129" s="99" t="s">
        <v>1205</v>
      </c>
      <c r="D129" s="99">
        <v>1E-4</v>
      </c>
      <c r="K129" s="489"/>
      <c r="O129" s="485">
        <f>D129</f>
        <v>1E-4</v>
      </c>
    </row>
    <row r="130" spans="1:15" ht="15" x14ac:dyDescent="0.25">
      <c r="A130" s="490"/>
      <c r="B130" s="99" t="s">
        <v>1030</v>
      </c>
      <c r="C130" s="99" t="s">
        <v>1201</v>
      </c>
      <c r="D130" s="99">
        <v>1E-4</v>
      </c>
      <c r="K130" s="489"/>
      <c r="O130" s="485">
        <f>D130</f>
        <v>1E-4</v>
      </c>
    </row>
    <row r="131" spans="1:15" x14ac:dyDescent="0.2">
      <c r="A131" s="488"/>
      <c r="B131" s="487"/>
      <c r="C131" s="487"/>
      <c r="D131" s="487"/>
      <c r="E131" s="487"/>
      <c r="F131" s="487"/>
      <c r="G131" s="487"/>
      <c r="H131" s="487"/>
      <c r="I131" s="487"/>
      <c r="J131" s="487"/>
      <c r="K131" s="486"/>
    </row>
    <row r="135" spans="1:15" x14ac:dyDescent="0.2">
      <c r="B135" s="485" t="s">
        <v>1420</v>
      </c>
    </row>
    <row r="136" spans="1:15" x14ac:dyDescent="0.2">
      <c r="B136" s="500"/>
      <c r="C136" s="499"/>
      <c r="D136" s="499"/>
      <c r="E136" s="499"/>
      <c r="F136" s="499"/>
      <c r="G136" s="499"/>
      <c r="H136" s="499"/>
      <c r="I136" s="499"/>
      <c r="J136" s="499"/>
      <c r="K136" s="498"/>
    </row>
    <row r="137" spans="1:15" ht="15" x14ac:dyDescent="0.25">
      <c r="B137" s="555" t="s">
        <v>899</v>
      </c>
      <c r="C137" s="99" t="s">
        <v>538</v>
      </c>
      <c r="D137" s="99" t="s">
        <v>703</v>
      </c>
      <c r="E137" s="99" t="s">
        <v>1325</v>
      </c>
      <c r="F137" s="99" t="s">
        <v>1327</v>
      </c>
      <c r="G137" s="99" t="s">
        <v>1043</v>
      </c>
      <c r="H137" s="99" t="s">
        <v>703</v>
      </c>
      <c r="I137" s="99">
        <v>0</v>
      </c>
      <c r="J137" s="99">
        <v>19.7</v>
      </c>
      <c r="K137" s="489"/>
    </row>
    <row r="138" spans="1:15" ht="15" x14ac:dyDescent="0.25">
      <c r="B138" s="555" t="s">
        <v>899</v>
      </c>
      <c r="C138" s="99" t="s">
        <v>539</v>
      </c>
      <c r="D138" s="99" t="s">
        <v>703</v>
      </c>
      <c r="E138" s="99" t="s">
        <v>1309</v>
      </c>
      <c r="F138" s="99" t="s">
        <v>1311</v>
      </c>
      <c r="G138" s="99" t="s">
        <v>1043</v>
      </c>
      <c r="H138" s="99" t="s">
        <v>703</v>
      </c>
      <c r="I138" s="99">
        <v>0</v>
      </c>
      <c r="J138" s="99">
        <v>20.3</v>
      </c>
      <c r="K138" s="489"/>
    </row>
    <row r="139" spans="1:15" ht="15" x14ac:dyDescent="0.25">
      <c r="B139" s="555" t="s">
        <v>899</v>
      </c>
      <c r="C139" s="99" t="s">
        <v>540</v>
      </c>
      <c r="D139" s="99" t="s">
        <v>703</v>
      </c>
      <c r="E139" s="99" t="s">
        <v>1313</v>
      </c>
      <c r="F139" s="99" t="s">
        <v>1315</v>
      </c>
      <c r="G139" s="99" t="s">
        <v>1043</v>
      </c>
      <c r="H139" s="99" t="s">
        <v>703</v>
      </c>
      <c r="I139" s="99">
        <v>0</v>
      </c>
      <c r="J139" s="99">
        <v>14.6</v>
      </c>
      <c r="K139" s="489"/>
    </row>
    <row r="140" spans="1:15" ht="15" x14ac:dyDescent="0.25">
      <c r="B140" s="555" t="s">
        <v>899</v>
      </c>
      <c r="C140" s="99" t="s">
        <v>541</v>
      </c>
      <c r="D140" s="99" t="s">
        <v>703</v>
      </c>
      <c r="E140" s="99" t="s">
        <v>1293</v>
      </c>
      <c r="F140" s="99" t="s">
        <v>1295</v>
      </c>
      <c r="G140" s="99" t="s">
        <v>1043</v>
      </c>
      <c r="H140" s="99" t="s">
        <v>703</v>
      </c>
      <c r="I140" s="99">
        <v>0</v>
      </c>
      <c r="J140" s="99">
        <v>6.6</v>
      </c>
      <c r="K140" s="489"/>
    </row>
    <row r="141" spans="1:15" x14ac:dyDescent="0.2">
      <c r="B141" s="490"/>
      <c r="K141" s="489"/>
    </row>
    <row r="142" spans="1:15" x14ac:dyDescent="0.2">
      <c r="B142" s="490"/>
      <c r="K142" s="489"/>
    </row>
    <row r="143" spans="1:15" x14ac:dyDescent="0.2">
      <c r="B143" s="490"/>
      <c r="K143" s="489"/>
    </row>
    <row r="144" spans="1:15" x14ac:dyDescent="0.2">
      <c r="B144" s="490"/>
      <c r="K144" s="489"/>
    </row>
    <row r="145" spans="2:11" x14ac:dyDescent="0.2">
      <c r="B145" s="488"/>
      <c r="C145" s="487"/>
      <c r="D145" s="487"/>
      <c r="E145" s="487"/>
      <c r="F145" s="487"/>
      <c r="G145" s="487"/>
      <c r="H145" s="487"/>
      <c r="I145" s="487"/>
      <c r="J145" s="487"/>
      <c r="K145" s="486"/>
    </row>
    <row r="150" spans="2:11" x14ac:dyDescent="0.2">
      <c r="B150" s="485" t="s">
        <v>1419</v>
      </c>
      <c r="D150" s="485">
        <v>-0.3</v>
      </c>
      <c r="E150" s="502" t="s">
        <v>1418</v>
      </c>
    </row>
    <row r="151" spans="2:11" x14ac:dyDescent="0.2">
      <c r="E151" s="502"/>
    </row>
    <row r="154" spans="2:11" ht="15" x14ac:dyDescent="0.2">
      <c r="D154" s="552"/>
      <c r="E154" s="552"/>
      <c r="F154" s="554">
        <v>2010</v>
      </c>
      <c r="G154" s="554">
        <v>2015</v>
      </c>
      <c r="H154" s="554">
        <v>2020</v>
      </c>
      <c r="I154" s="554">
        <v>2030</v>
      </c>
      <c r="J154" s="554">
        <v>2040</v>
      </c>
      <c r="K154" s="554">
        <v>2050</v>
      </c>
    </row>
    <row r="155" spans="2:11" ht="15" x14ac:dyDescent="0.2">
      <c r="D155" s="552" t="s">
        <v>1417</v>
      </c>
      <c r="E155" s="553" t="s">
        <v>1409</v>
      </c>
      <c r="F155" s="552" t="s">
        <v>1416</v>
      </c>
      <c r="G155" s="552" t="s">
        <v>1415</v>
      </c>
      <c r="H155" s="552" t="s">
        <v>1414</v>
      </c>
      <c r="I155" s="552" t="s">
        <v>1413</v>
      </c>
      <c r="J155" s="552" t="s">
        <v>1412</v>
      </c>
      <c r="K155" s="552" t="s">
        <v>1411</v>
      </c>
    </row>
    <row r="156" spans="2:11" ht="15" x14ac:dyDescent="0.2">
      <c r="D156" s="552" t="s">
        <v>1410</v>
      </c>
      <c r="E156" s="553" t="s">
        <v>1409</v>
      </c>
      <c r="F156" s="552" t="s">
        <v>1408</v>
      </c>
      <c r="G156" s="552" t="s">
        <v>1407</v>
      </c>
      <c r="H156" s="552" t="s">
        <v>1406</v>
      </c>
      <c r="I156" s="552" t="s">
        <v>1405</v>
      </c>
      <c r="J156" s="552" t="s">
        <v>1404</v>
      </c>
      <c r="K156" s="552" t="s">
        <v>1403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86B7-A3BB-4725-8D43-5CE40CE5AF3A}">
  <dimension ref="A3:S43"/>
  <sheetViews>
    <sheetView workbookViewId="0">
      <selection activeCell="G49" sqref="G49"/>
    </sheetView>
  </sheetViews>
  <sheetFormatPr defaultRowHeight="15" x14ac:dyDescent="0.25"/>
  <cols>
    <col min="2" max="2" width="21.5703125" customWidth="1"/>
    <col min="3" max="3" width="38.42578125" customWidth="1"/>
    <col min="4" max="4" width="13.5703125" customWidth="1"/>
    <col min="5" max="5" width="15.140625" customWidth="1"/>
    <col min="6" max="6" width="9.140625" customWidth="1"/>
    <col min="18" max="18" width="24" customWidth="1"/>
  </cols>
  <sheetData>
    <row r="3" spans="1:13" ht="18.75" x14ac:dyDescent="0.3">
      <c r="A3" s="112" t="s">
        <v>1530</v>
      </c>
    </row>
    <row r="5" spans="1:13" x14ac:dyDescent="0.25">
      <c r="B5" s="107" t="s">
        <v>161</v>
      </c>
      <c r="C5" s="105" t="s">
        <v>162</v>
      </c>
      <c r="D5" s="105" t="s">
        <v>163</v>
      </c>
      <c r="E5" s="105" t="s">
        <v>164</v>
      </c>
      <c r="F5" s="105" t="s">
        <v>1520</v>
      </c>
      <c r="I5" s="13"/>
      <c r="M5" t="s">
        <v>1521</v>
      </c>
    </row>
    <row r="6" spans="1:13" x14ac:dyDescent="0.25">
      <c r="B6" s="108" t="s">
        <v>166</v>
      </c>
      <c r="C6" s="106"/>
      <c r="D6" s="106"/>
      <c r="E6" s="106"/>
      <c r="G6" s="666" t="s">
        <v>611</v>
      </c>
      <c r="H6" s="666"/>
      <c r="I6" s="666"/>
      <c r="J6" s="666"/>
    </row>
    <row r="7" spans="1:13" x14ac:dyDescent="0.25">
      <c r="B7" s="109" t="s">
        <v>167</v>
      </c>
      <c r="C7" s="100" t="s">
        <v>168</v>
      </c>
      <c r="D7" s="100" t="s">
        <v>16</v>
      </c>
      <c r="E7" s="100" t="s">
        <v>24</v>
      </c>
      <c r="F7" t="s">
        <v>7</v>
      </c>
      <c r="G7" s="357" t="s">
        <v>499</v>
      </c>
      <c r="H7" s="410">
        <f>(110+150)*12/1000</f>
        <v>3.12</v>
      </c>
      <c r="I7" s="413" t="s">
        <v>500</v>
      </c>
      <c r="J7" s="412">
        <f>250*12/1000</f>
        <v>3</v>
      </c>
      <c r="K7" s="13" t="s">
        <v>519</v>
      </c>
      <c r="M7" s="99" t="s">
        <v>169</v>
      </c>
    </row>
    <row r="8" spans="1:13" x14ac:dyDescent="0.25">
      <c r="B8" s="109" t="s">
        <v>167</v>
      </c>
      <c r="C8" s="100" t="s">
        <v>168</v>
      </c>
      <c r="D8" s="100" t="s">
        <v>170</v>
      </c>
      <c r="E8" s="100" t="s">
        <v>1</v>
      </c>
      <c r="F8" t="s">
        <v>9</v>
      </c>
      <c r="G8" s="358" t="s">
        <v>523</v>
      </c>
      <c r="H8" s="411">
        <f>(87.5+29.2)*12/1000</f>
        <v>1.4004000000000001</v>
      </c>
      <c r="I8" s="413" t="s">
        <v>501</v>
      </c>
      <c r="J8" s="410">
        <f>120*12/1000</f>
        <v>1.44</v>
      </c>
      <c r="K8" s="13" t="s">
        <v>519</v>
      </c>
      <c r="M8" s="99" t="s">
        <v>174</v>
      </c>
    </row>
    <row r="9" spans="1:13" x14ac:dyDescent="0.25">
      <c r="B9" s="109" t="s">
        <v>167</v>
      </c>
      <c r="C9" s="100" t="s">
        <v>173</v>
      </c>
      <c r="D9" s="100" t="s">
        <v>16</v>
      </c>
      <c r="E9" s="100" t="s">
        <v>24</v>
      </c>
      <c r="F9" t="s">
        <v>7</v>
      </c>
      <c r="G9" s="357" t="s">
        <v>502</v>
      </c>
      <c r="I9" s="357" t="s">
        <v>500</v>
      </c>
      <c r="K9" s="13" t="s">
        <v>518</v>
      </c>
      <c r="M9" s="99" t="s">
        <v>169</v>
      </c>
    </row>
    <row r="10" spans="1:13" x14ac:dyDescent="0.25">
      <c r="B10" s="109" t="s">
        <v>167</v>
      </c>
      <c r="C10" s="100" t="s">
        <v>176</v>
      </c>
      <c r="D10" s="100" t="s">
        <v>177</v>
      </c>
      <c r="E10" s="100" t="s">
        <v>1</v>
      </c>
      <c r="F10" t="s">
        <v>8</v>
      </c>
      <c r="K10" s="13" t="s">
        <v>518</v>
      </c>
      <c r="M10" s="99" t="s">
        <v>180</v>
      </c>
    </row>
    <row r="11" spans="1:13" x14ac:dyDescent="0.25">
      <c r="B11" s="109" t="s">
        <v>167</v>
      </c>
      <c r="C11" s="100" t="s">
        <v>179</v>
      </c>
      <c r="D11" s="100" t="s">
        <v>95</v>
      </c>
      <c r="E11" s="100" t="s">
        <v>97</v>
      </c>
      <c r="F11" s="116" t="s">
        <v>172</v>
      </c>
      <c r="K11" s="13" t="s">
        <v>519</v>
      </c>
      <c r="M11" s="99" t="s">
        <v>171</v>
      </c>
    </row>
    <row r="12" spans="1:13" x14ac:dyDescent="0.25">
      <c r="B12" s="109" t="s">
        <v>167</v>
      </c>
      <c r="C12" s="100" t="s">
        <v>179</v>
      </c>
      <c r="D12" s="100" t="s">
        <v>170</v>
      </c>
      <c r="E12" s="101" t="s">
        <v>97</v>
      </c>
      <c r="F12" s="116" t="s">
        <v>172</v>
      </c>
      <c r="K12" s="13" t="s">
        <v>519</v>
      </c>
      <c r="M12" s="99" t="s">
        <v>171</v>
      </c>
    </row>
    <row r="13" spans="1:13" x14ac:dyDescent="0.25">
      <c r="B13" s="109" t="s">
        <v>181</v>
      </c>
      <c r="C13" s="100" t="s">
        <v>182</v>
      </c>
      <c r="D13" s="100" t="s">
        <v>17</v>
      </c>
      <c r="E13" s="100" t="s">
        <v>24</v>
      </c>
      <c r="F13" t="s">
        <v>10</v>
      </c>
      <c r="I13" s="13"/>
      <c r="M13" s="99" t="s">
        <v>178</v>
      </c>
    </row>
    <row r="14" spans="1:13" x14ac:dyDescent="0.25">
      <c r="B14" s="109" t="s">
        <v>183</v>
      </c>
      <c r="C14" s="100"/>
      <c r="D14" s="100" t="s">
        <v>177</v>
      </c>
      <c r="E14" s="100" t="s">
        <v>1</v>
      </c>
      <c r="F14" t="s">
        <v>8</v>
      </c>
      <c r="I14" s="13"/>
      <c r="M14" s="99" t="s">
        <v>180</v>
      </c>
    </row>
    <row r="24" spans="10:19" x14ac:dyDescent="0.25">
      <c r="J24" t="s">
        <v>0</v>
      </c>
    </row>
    <row r="25" spans="10:19" x14ac:dyDescent="0.25">
      <c r="J25" t="s">
        <v>1525</v>
      </c>
      <c r="S25" s="99" t="s">
        <v>1246</v>
      </c>
    </row>
    <row r="26" spans="10:19" x14ac:dyDescent="0.25">
      <c r="J26" t="s">
        <v>1524</v>
      </c>
      <c r="R26" s="99" t="s">
        <v>1245</v>
      </c>
      <c r="S26" s="99" t="s">
        <v>1244</v>
      </c>
    </row>
    <row r="27" spans="10:19" x14ac:dyDescent="0.25">
      <c r="J27" t="s">
        <v>1523</v>
      </c>
      <c r="R27" s="99" t="s">
        <v>1243</v>
      </c>
      <c r="S27" s="99" t="s">
        <v>1242</v>
      </c>
    </row>
    <row r="28" spans="10:19" x14ac:dyDescent="0.25">
      <c r="J28" t="s">
        <v>1522</v>
      </c>
    </row>
    <row r="29" spans="10:19" x14ac:dyDescent="0.25">
      <c r="S29" s="99" t="s">
        <v>1240</v>
      </c>
    </row>
    <row r="30" spans="10:19" x14ac:dyDescent="0.25">
      <c r="R30" s="99" t="s">
        <v>1239</v>
      </c>
      <c r="S30" s="99" t="s">
        <v>1238</v>
      </c>
    </row>
    <row r="31" spans="10:19" x14ac:dyDescent="0.25">
      <c r="R31" s="99" t="s">
        <v>1237</v>
      </c>
      <c r="S31" s="99" t="s">
        <v>1236</v>
      </c>
    </row>
    <row r="33" spans="18:19" x14ac:dyDescent="0.25">
      <c r="S33" s="99" t="s">
        <v>1233</v>
      </c>
    </row>
    <row r="34" spans="18:19" x14ac:dyDescent="0.25">
      <c r="R34" s="99" t="s">
        <v>1232</v>
      </c>
      <c r="S34" s="99" t="s">
        <v>1231</v>
      </c>
    </row>
    <row r="35" spans="18:19" x14ac:dyDescent="0.25">
      <c r="R35" s="99" t="s">
        <v>1230</v>
      </c>
      <c r="S35" s="99" t="s">
        <v>1229</v>
      </c>
    </row>
    <row r="38" spans="18:19" x14ac:dyDescent="0.25">
      <c r="S38" s="99" t="s">
        <v>1226</v>
      </c>
    </row>
    <row r="39" spans="18:19" x14ac:dyDescent="0.25">
      <c r="R39" s="99" t="s">
        <v>1225</v>
      </c>
      <c r="S39" s="99" t="s">
        <v>1224</v>
      </c>
    </row>
    <row r="40" spans="18:19" x14ac:dyDescent="0.25">
      <c r="R40" s="99" t="s">
        <v>1223</v>
      </c>
      <c r="S40" s="99" t="s">
        <v>1222</v>
      </c>
    </row>
    <row r="41" spans="18:19" x14ac:dyDescent="0.25">
      <c r="S41" s="99" t="s">
        <v>1221</v>
      </c>
    </row>
    <row r="42" spans="18:19" x14ac:dyDescent="0.25">
      <c r="R42" s="99" t="s">
        <v>1220</v>
      </c>
      <c r="S42" s="99" t="s">
        <v>1219</v>
      </c>
    </row>
    <row r="43" spans="18:19" x14ac:dyDescent="0.25">
      <c r="R43" s="99" t="s">
        <v>1218</v>
      </c>
      <c r="S43" s="99" t="s">
        <v>1217</v>
      </c>
    </row>
  </sheetData>
  <mergeCells count="1">
    <mergeCell ref="G6:J6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77"/>
  <sheetViews>
    <sheetView tabSelected="1" topLeftCell="A123" workbookViewId="0">
      <selection activeCell="O156" sqref="O156"/>
    </sheetView>
  </sheetViews>
  <sheetFormatPr defaultRowHeight="15" x14ac:dyDescent="0.25"/>
  <cols>
    <col min="1" max="1" width="11.28515625" customWidth="1"/>
    <col min="2" max="2" width="22.85546875" customWidth="1"/>
    <col min="3" max="3" width="12.85546875" customWidth="1"/>
    <col min="13" max="13" width="14.42578125" customWidth="1"/>
    <col min="27" max="27" width="16.28515625" customWidth="1"/>
  </cols>
  <sheetData>
    <row r="1" spans="1:52" x14ac:dyDescent="0.25">
      <c r="D1" s="18">
        <v>2012</v>
      </c>
      <c r="E1" s="18">
        <v>2013</v>
      </c>
      <c r="F1" s="18">
        <v>2014</v>
      </c>
      <c r="G1" s="18">
        <v>2015</v>
      </c>
      <c r="H1" s="18">
        <v>2016</v>
      </c>
      <c r="I1" s="18">
        <v>2017</v>
      </c>
      <c r="J1" s="18">
        <v>2018</v>
      </c>
      <c r="K1" s="18">
        <v>2019</v>
      </c>
      <c r="L1" s="18">
        <v>2020</v>
      </c>
      <c r="M1" s="18">
        <v>2021</v>
      </c>
      <c r="N1" s="18">
        <v>2022</v>
      </c>
      <c r="O1" s="18">
        <v>2023</v>
      </c>
      <c r="P1" s="18">
        <v>2024</v>
      </c>
      <c r="Q1" s="18">
        <v>2025</v>
      </c>
      <c r="R1" s="18">
        <v>2026</v>
      </c>
      <c r="S1" s="18">
        <v>2027</v>
      </c>
      <c r="T1" s="18">
        <v>2028</v>
      </c>
      <c r="U1" s="18">
        <v>2029</v>
      </c>
      <c r="V1" s="18">
        <v>2030</v>
      </c>
      <c r="W1" s="18">
        <v>2031</v>
      </c>
      <c r="X1" s="18">
        <v>2032</v>
      </c>
      <c r="Y1" s="18">
        <v>2033</v>
      </c>
      <c r="Z1" s="18">
        <v>2034</v>
      </c>
      <c r="AA1" s="18">
        <v>2035</v>
      </c>
      <c r="AB1" s="18">
        <v>2036</v>
      </c>
      <c r="AC1" s="18">
        <v>2037</v>
      </c>
      <c r="AD1" s="18">
        <v>2038</v>
      </c>
      <c r="AE1" s="18">
        <v>2039</v>
      </c>
      <c r="AF1" s="18">
        <v>2040</v>
      </c>
      <c r="AG1" s="18">
        <v>2041</v>
      </c>
      <c r="AH1" s="18">
        <v>2042</v>
      </c>
      <c r="AI1" s="18">
        <v>2043</v>
      </c>
      <c r="AJ1" s="18">
        <v>2044</v>
      </c>
      <c r="AK1" s="18">
        <v>2045</v>
      </c>
      <c r="AL1" s="18">
        <v>2046</v>
      </c>
      <c r="AM1" s="18">
        <v>2047</v>
      </c>
      <c r="AN1" s="18">
        <v>2048</v>
      </c>
      <c r="AO1" s="18">
        <v>2049</v>
      </c>
      <c r="AP1" s="18">
        <v>2050</v>
      </c>
      <c r="AQ1" s="18">
        <v>2051</v>
      </c>
      <c r="AR1" s="18">
        <v>2052</v>
      </c>
      <c r="AS1" s="18">
        <v>2053</v>
      </c>
      <c r="AT1" s="18">
        <v>2054</v>
      </c>
      <c r="AU1" s="18">
        <v>2055</v>
      </c>
      <c r="AV1" s="18">
        <v>2056</v>
      </c>
      <c r="AW1" s="18">
        <v>2057</v>
      </c>
      <c r="AX1" s="18">
        <v>2058</v>
      </c>
      <c r="AY1" s="18">
        <v>2059</v>
      </c>
      <c r="AZ1" s="18">
        <v>2060</v>
      </c>
    </row>
    <row r="4" spans="1:52" x14ac:dyDescent="0.25">
      <c r="A4" s="18" t="s">
        <v>524</v>
      </c>
    </row>
    <row r="5" spans="1:52" x14ac:dyDescent="0.25">
      <c r="B5" s="18" t="s">
        <v>7</v>
      </c>
      <c r="D5">
        <f>'Methodology Cap &amp; Prod'!M50</f>
        <v>4.9000000000000004</v>
      </c>
      <c r="E5">
        <f>'Methodology Cap &amp; Prod'!N50</f>
        <v>4.9000000000000004</v>
      </c>
      <c r="F5">
        <f>'Methodology Cap &amp; Prod'!O50</f>
        <v>4.9000000000000004</v>
      </c>
      <c r="G5">
        <f>'Methodology Cap &amp; Prod'!P50</f>
        <v>4.9000000000000004</v>
      </c>
      <c r="H5">
        <f>'Methodology Cap &amp; Prod'!Q50</f>
        <v>4.9000000000000004</v>
      </c>
      <c r="I5">
        <f>'Methodology Cap &amp; Prod'!R50</f>
        <v>4.9000000000000004</v>
      </c>
      <c r="J5">
        <f>'Methodology Cap &amp; Prod'!S50</f>
        <v>4.9000000000000004</v>
      </c>
      <c r="K5">
        <f>'Methodology Cap &amp; Prod'!T50</f>
        <v>4.9000000000000004</v>
      </c>
      <c r="L5">
        <f>'Methodology Cap &amp; Prod'!U50</f>
        <v>4.9000000000000004</v>
      </c>
    </row>
    <row r="6" spans="1:52" x14ac:dyDescent="0.25">
      <c r="B6" s="18" t="s">
        <v>172</v>
      </c>
      <c r="D6">
        <f>'Methodology Cap &amp; Prod'!M51</f>
        <v>1.2400000000000002</v>
      </c>
      <c r="E6">
        <f>'Methodology Cap &amp; Prod'!N51</f>
        <v>1.2400000000000002</v>
      </c>
      <c r="F6">
        <f>'Methodology Cap &amp; Prod'!O51</f>
        <v>1.2400000000000002</v>
      </c>
      <c r="G6">
        <f>'Methodology Cap &amp; Prod'!P51</f>
        <v>1.2400000000000002</v>
      </c>
      <c r="H6">
        <f>'Methodology Cap &amp; Prod'!Q51</f>
        <v>1.2400000000000002</v>
      </c>
      <c r="I6">
        <f>'Methodology Cap &amp; Prod'!R51</f>
        <v>1.2400000000000002</v>
      </c>
      <c r="J6">
        <f>'Methodology Cap &amp; Prod'!S51</f>
        <v>1.2400000000000002</v>
      </c>
      <c r="K6">
        <f>'Methodology Cap &amp; Prod'!T51</f>
        <v>1.2400000000000002</v>
      </c>
      <c r="L6">
        <f>'Methodology Cap &amp; Prod'!U51</f>
        <v>1.2400000000000002</v>
      </c>
    </row>
    <row r="7" spans="1:52" x14ac:dyDescent="0.25">
      <c r="B7" s="18" t="s">
        <v>9</v>
      </c>
      <c r="D7">
        <f>'Methodology Cap &amp; Prod'!M52</f>
        <v>1.44</v>
      </c>
      <c r="E7">
        <f>'Methodology Cap &amp; Prod'!N52</f>
        <v>1.44</v>
      </c>
      <c r="F7">
        <f>'Methodology Cap &amp; Prod'!O52</f>
        <v>1.44</v>
      </c>
      <c r="G7">
        <f>'Methodology Cap &amp; Prod'!P52</f>
        <v>1.44</v>
      </c>
      <c r="H7">
        <f>'Methodology Cap &amp; Prod'!Q52</f>
        <v>1.44</v>
      </c>
      <c r="I7">
        <f>'Methodology Cap &amp; Prod'!R52</f>
        <v>1.44</v>
      </c>
      <c r="J7">
        <f>'Methodology Cap &amp; Prod'!S52</f>
        <v>1.44</v>
      </c>
      <c r="K7">
        <f>'Methodology Cap &amp; Prod'!T52</f>
        <v>1.44</v>
      </c>
      <c r="L7">
        <f>'Methodology Cap &amp; Prod'!U52</f>
        <v>1.44</v>
      </c>
    </row>
    <row r="8" spans="1:52" x14ac:dyDescent="0.25">
      <c r="B8" s="18" t="s">
        <v>10</v>
      </c>
      <c r="D8">
        <f>'Methodology Cap &amp; Prod'!M53</f>
        <v>1</v>
      </c>
      <c r="E8">
        <f>'Methodology Cap &amp; Prod'!N53</f>
        <v>1</v>
      </c>
      <c r="F8">
        <f>'Methodology Cap &amp; Prod'!O53</f>
        <v>1</v>
      </c>
      <c r="G8">
        <f>'Methodology Cap &amp; Prod'!P53</f>
        <v>1</v>
      </c>
      <c r="H8">
        <f>'Methodology Cap &amp; Prod'!Q53</f>
        <v>1</v>
      </c>
      <c r="I8">
        <f>'Methodology Cap &amp; Prod'!R53</f>
        <v>1</v>
      </c>
      <c r="J8">
        <f>'Methodology Cap &amp; Prod'!S53</f>
        <v>1</v>
      </c>
      <c r="K8">
        <f>'Methodology Cap &amp; Prod'!T53</f>
        <v>1</v>
      </c>
      <c r="L8">
        <f>'Methodology Cap &amp; Prod'!U53</f>
        <v>1</v>
      </c>
    </row>
    <row r="9" spans="1:52" x14ac:dyDescent="0.25">
      <c r="B9" s="18" t="s">
        <v>8</v>
      </c>
      <c r="D9">
        <f>'Methodology Cap &amp; Prod'!M54</f>
        <v>1.7200000000000002</v>
      </c>
      <c r="E9">
        <f>'Methodology Cap &amp; Prod'!N54</f>
        <v>1.7200000000000002</v>
      </c>
      <c r="F9">
        <f>'Methodology Cap &amp; Prod'!O54</f>
        <v>1.7200000000000002</v>
      </c>
      <c r="G9">
        <f>'Methodology Cap &amp; Prod'!P54</f>
        <v>1.7200000000000002</v>
      </c>
      <c r="H9">
        <f>'Methodology Cap &amp; Prod'!Q54</f>
        <v>1.7200000000000002</v>
      </c>
      <c r="I9">
        <f>'Methodology Cap &amp; Prod'!R54</f>
        <v>1.7200000000000002</v>
      </c>
      <c r="J9">
        <f>'Methodology Cap &amp; Prod'!S54</f>
        <v>1.7200000000000002</v>
      </c>
      <c r="K9">
        <f>'Methodology Cap &amp; Prod'!T54</f>
        <v>1.7200000000000002</v>
      </c>
      <c r="L9">
        <f>'Methodology Cap &amp; Prod'!U54</f>
        <v>1.7200000000000002</v>
      </c>
    </row>
    <row r="10" spans="1:52" x14ac:dyDescent="0.25">
      <c r="B10" s="18" t="s">
        <v>503</v>
      </c>
      <c r="D10" s="18">
        <f>SUM(D5:D9)</f>
        <v>10.3</v>
      </c>
      <c r="E10" s="18">
        <f t="shared" ref="E10:L10" si="0">SUM(E5:E9)</f>
        <v>10.3</v>
      </c>
      <c r="F10" s="18">
        <f t="shared" si="0"/>
        <v>10.3</v>
      </c>
      <c r="G10" s="18">
        <f t="shared" si="0"/>
        <v>10.3</v>
      </c>
      <c r="H10" s="18">
        <f t="shared" si="0"/>
        <v>10.3</v>
      </c>
      <c r="I10" s="18">
        <f t="shared" si="0"/>
        <v>10.3</v>
      </c>
      <c r="J10" s="18">
        <f t="shared" si="0"/>
        <v>10.3</v>
      </c>
      <c r="K10" s="18">
        <f t="shared" si="0"/>
        <v>10.3</v>
      </c>
      <c r="L10" s="18">
        <f t="shared" si="0"/>
        <v>10.3</v>
      </c>
    </row>
    <row r="11" spans="1:52" x14ac:dyDescent="0.25">
      <c r="B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52" x14ac:dyDescent="0.25">
      <c r="B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52" x14ac:dyDescent="0.25">
      <c r="A13" s="18" t="s">
        <v>525</v>
      </c>
      <c r="B13" s="18"/>
      <c r="C13" s="304" t="s">
        <v>758</v>
      </c>
      <c r="M13" s="18" t="s">
        <v>526</v>
      </c>
    </row>
    <row r="14" spans="1:52" x14ac:dyDescent="0.25">
      <c r="B14" s="18" t="s">
        <v>7</v>
      </c>
      <c r="C14" s="322">
        <f>C83</f>
        <v>2034</v>
      </c>
      <c r="D14">
        <f>D5</f>
        <v>4.9000000000000004</v>
      </c>
      <c r="E14">
        <f t="shared" ref="E14:L14" si="1">E5</f>
        <v>4.9000000000000004</v>
      </c>
      <c r="F14">
        <f t="shared" si="1"/>
        <v>4.9000000000000004</v>
      </c>
      <c r="G14">
        <f t="shared" si="1"/>
        <v>4.9000000000000004</v>
      </c>
      <c r="H14">
        <f t="shared" si="1"/>
        <v>4.9000000000000004</v>
      </c>
      <c r="I14">
        <f t="shared" si="1"/>
        <v>4.9000000000000004</v>
      </c>
      <c r="J14">
        <f t="shared" si="1"/>
        <v>4.9000000000000004</v>
      </c>
      <c r="K14">
        <f t="shared" si="1"/>
        <v>4.9000000000000004</v>
      </c>
      <c r="L14">
        <f t="shared" si="1"/>
        <v>4.9000000000000004</v>
      </c>
      <c r="M14">
        <f>IF(M$1&lt;$C14,L14,0)</f>
        <v>4.9000000000000004</v>
      </c>
      <c r="N14">
        <f t="shared" ref="N14:AZ18" si="2">IF(N$1&lt;$C14,M14,0)</f>
        <v>4.9000000000000004</v>
      </c>
      <c r="O14">
        <f t="shared" si="2"/>
        <v>4.9000000000000004</v>
      </c>
      <c r="P14">
        <f t="shared" si="2"/>
        <v>4.9000000000000004</v>
      </c>
      <c r="Q14">
        <f t="shared" si="2"/>
        <v>4.9000000000000004</v>
      </c>
      <c r="R14">
        <f t="shared" si="2"/>
        <v>4.9000000000000004</v>
      </c>
      <c r="S14">
        <f t="shared" si="2"/>
        <v>4.9000000000000004</v>
      </c>
      <c r="T14">
        <f t="shared" si="2"/>
        <v>4.9000000000000004</v>
      </c>
      <c r="U14">
        <f t="shared" si="2"/>
        <v>4.9000000000000004</v>
      </c>
      <c r="V14">
        <f t="shared" si="2"/>
        <v>4.9000000000000004</v>
      </c>
      <c r="W14">
        <f t="shared" si="2"/>
        <v>4.9000000000000004</v>
      </c>
      <c r="X14">
        <f t="shared" si="2"/>
        <v>4.9000000000000004</v>
      </c>
      <c r="Y14">
        <f t="shared" si="2"/>
        <v>4.9000000000000004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8" t="s">
        <v>172</v>
      </c>
      <c r="C15" s="322">
        <f>C14</f>
        <v>2034</v>
      </c>
      <c r="D15">
        <f t="shared" ref="D15:L15" si="3">D6</f>
        <v>1.2400000000000002</v>
      </c>
      <c r="E15">
        <f t="shared" si="3"/>
        <v>1.2400000000000002</v>
      </c>
      <c r="F15">
        <f t="shared" si="3"/>
        <v>1.2400000000000002</v>
      </c>
      <c r="G15">
        <f t="shared" si="3"/>
        <v>1.2400000000000002</v>
      </c>
      <c r="H15">
        <f t="shared" si="3"/>
        <v>1.2400000000000002</v>
      </c>
      <c r="I15">
        <f t="shared" si="3"/>
        <v>1.2400000000000002</v>
      </c>
      <c r="J15">
        <f t="shared" si="3"/>
        <v>1.2400000000000002</v>
      </c>
      <c r="K15">
        <f t="shared" si="3"/>
        <v>1.2400000000000002</v>
      </c>
      <c r="L15">
        <f t="shared" si="3"/>
        <v>1.2400000000000002</v>
      </c>
      <c r="M15">
        <f>IF(M$1&lt;$C15,L15,0)</f>
        <v>1.2400000000000002</v>
      </c>
      <c r="N15">
        <f t="shared" ref="N15:AB15" si="4">IF(N$1&lt;$C15,M15,0)</f>
        <v>1.2400000000000002</v>
      </c>
      <c r="O15">
        <f t="shared" si="4"/>
        <v>1.2400000000000002</v>
      </c>
      <c r="P15">
        <f t="shared" si="4"/>
        <v>1.2400000000000002</v>
      </c>
      <c r="Q15">
        <f t="shared" si="4"/>
        <v>1.2400000000000002</v>
      </c>
      <c r="R15">
        <f t="shared" si="4"/>
        <v>1.2400000000000002</v>
      </c>
      <c r="S15">
        <f t="shared" si="4"/>
        <v>1.2400000000000002</v>
      </c>
      <c r="T15">
        <f t="shared" si="4"/>
        <v>1.2400000000000002</v>
      </c>
      <c r="U15">
        <f t="shared" si="4"/>
        <v>1.2400000000000002</v>
      </c>
      <c r="V15">
        <f t="shared" si="4"/>
        <v>1.2400000000000002</v>
      </c>
      <c r="W15">
        <f t="shared" si="4"/>
        <v>1.2400000000000002</v>
      </c>
      <c r="X15">
        <f t="shared" si="4"/>
        <v>1.2400000000000002</v>
      </c>
      <c r="Y15">
        <f t="shared" si="4"/>
        <v>1.2400000000000002</v>
      </c>
      <c r="Z15">
        <f t="shared" si="4"/>
        <v>0</v>
      </c>
      <c r="AA15">
        <f t="shared" si="4"/>
        <v>0</v>
      </c>
      <c r="AB15">
        <f t="shared" si="4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8" t="s">
        <v>9</v>
      </c>
      <c r="C16" s="322">
        <f>C14</f>
        <v>2034</v>
      </c>
      <c r="D16">
        <f t="shared" ref="D16:L16" si="5">D7</f>
        <v>1.44</v>
      </c>
      <c r="E16">
        <f t="shared" si="5"/>
        <v>1.44</v>
      </c>
      <c r="F16">
        <f t="shared" si="5"/>
        <v>1.44</v>
      </c>
      <c r="G16">
        <f t="shared" si="5"/>
        <v>1.44</v>
      </c>
      <c r="H16">
        <f t="shared" si="5"/>
        <v>1.44</v>
      </c>
      <c r="I16">
        <f t="shared" si="5"/>
        <v>1.44</v>
      </c>
      <c r="J16">
        <f t="shared" si="5"/>
        <v>1.44</v>
      </c>
      <c r="K16">
        <f t="shared" si="5"/>
        <v>1.44</v>
      </c>
      <c r="L16">
        <f t="shared" si="5"/>
        <v>1.44</v>
      </c>
      <c r="M16">
        <f>IF(M$1&lt;$C16,L16,0)</f>
        <v>1.44</v>
      </c>
      <c r="N16">
        <f t="shared" si="2"/>
        <v>1.44</v>
      </c>
      <c r="O16">
        <f t="shared" si="2"/>
        <v>1.44</v>
      </c>
      <c r="P16">
        <f t="shared" si="2"/>
        <v>1.44</v>
      </c>
      <c r="Q16">
        <f t="shared" si="2"/>
        <v>1.44</v>
      </c>
      <c r="R16">
        <f t="shared" si="2"/>
        <v>1.44</v>
      </c>
      <c r="S16">
        <f t="shared" si="2"/>
        <v>1.44</v>
      </c>
      <c r="T16">
        <f t="shared" si="2"/>
        <v>1.44</v>
      </c>
      <c r="U16">
        <f t="shared" si="2"/>
        <v>1.44</v>
      </c>
      <c r="V16">
        <f t="shared" si="2"/>
        <v>1.44</v>
      </c>
      <c r="W16">
        <f t="shared" si="2"/>
        <v>1.44</v>
      </c>
      <c r="X16">
        <f t="shared" si="2"/>
        <v>1.44</v>
      </c>
      <c r="Y16">
        <f t="shared" si="2"/>
        <v>1.44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52" x14ac:dyDescent="0.25">
      <c r="B17" s="18" t="s">
        <v>10</v>
      </c>
      <c r="C17" s="437">
        <v>2030</v>
      </c>
      <c r="D17" s="301">
        <f t="shared" ref="D17:L17" si="6">D8</f>
        <v>1</v>
      </c>
      <c r="E17" s="301">
        <f t="shared" si="6"/>
        <v>1</v>
      </c>
      <c r="F17" s="301">
        <f t="shared" si="6"/>
        <v>1</v>
      </c>
      <c r="G17" s="301">
        <f t="shared" si="6"/>
        <v>1</v>
      </c>
      <c r="H17" s="301">
        <f t="shared" si="6"/>
        <v>1</v>
      </c>
      <c r="I17" s="301">
        <f t="shared" si="6"/>
        <v>1</v>
      </c>
      <c r="J17" s="301">
        <f t="shared" si="6"/>
        <v>1</v>
      </c>
      <c r="K17" s="301">
        <f t="shared" si="6"/>
        <v>1</v>
      </c>
      <c r="L17" s="301">
        <f t="shared" si="6"/>
        <v>1</v>
      </c>
      <c r="M17">
        <f>IF(M$1&lt;$C17,L17,0)</f>
        <v>1</v>
      </c>
      <c r="N17">
        <f t="shared" si="2"/>
        <v>1</v>
      </c>
      <c r="O17">
        <f t="shared" si="2"/>
        <v>1</v>
      </c>
      <c r="P17">
        <f t="shared" si="2"/>
        <v>1</v>
      </c>
      <c r="Q17">
        <f t="shared" si="2"/>
        <v>1</v>
      </c>
      <c r="R17">
        <f t="shared" si="2"/>
        <v>1</v>
      </c>
      <c r="S17">
        <f t="shared" si="2"/>
        <v>1</v>
      </c>
      <c r="T17">
        <f t="shared" si="2"/>
        <v>1</v>
      </c>
      <c r="U17">
        <f t="shared" si="2"/>
        <v>1</v>
      </c>
      <c r="V17">
        <f t="shared" si="2"/>
        <v>0</v>
      </c>
      <c r="W17">
        <f t="shared" si="2"/>
        <v>0</v>
      </c>
      <c r="X17">
        <f t="shared" si="2"/>
        <v>0</v>
      </c>
      <c r="Y17">
        <f t="shared" si="2"/>
        <v>0</v>
      </c>
      <c r="Z17">
        <f t="shared" si="2"/>
        <v>0</v>
      </c>
      <c r="AA17">
        <f t="shared" si="2"/>
        <v>0</v>
      </c>
      <c r="AB17">
        <f t="shared" si="2"/>
        <v>0</v>
      </c>
      <c r="AC17">
        <f t="shared" si="2"/>
        <v>0</v>
      </c>
      <c r="AD17">
        <f t="shared" si="2"/>
        <v>0</v>
      </c>
      <c r="AE17">
        <f t="shared" si="2"/>
        <v>0</v>
      </c>
      <c r="AF17">
        <f t="shared" si="2"/>
        <v>0</v>
      </c>
      <c r="AG17">
        <f t="shared" si="2"/>
        <v>0</v>
      </c>
      <c r="AH17">
        <f t="shared" si="2"/>
        <v>0</v>
      </c>
      <c r="AI17">
        <f t="shared" si="2"/>
        <v>0</v>
      </c>
      <c r="AJ17">
        <f t="shared" si="2"/>
        <v>0</v>
      </c>
      <c r="AK17">
        <f t="shared" si="2"/>
        <v>0</v>
      </c>
      <c r="AL17">
        <f t="shared" si="2"/>
        <v>0</v>
      </c>
      <c r="AM17">
        <f t="shared" si="2"/>
        <v>0</v>
      </c>
      <c r="AN17">
        <f t="shared" si="2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</row>
    <row r="18" spans="1:52" x14ac:dyDescent="0.25">
      <c r="B18" s="18" t="s">
        <v>8</v>
      </c>
      <c r="C18" s="322">
        <f>C86</f>
        <v>2030</v>
      </c>
      <c r="D18">
        <f t="shared" ref="D18:L18" si="7">D9</f>
        <v>1.7200000000000002</v>
      </c>
      <c r="E18">
        <f t="shared" si="7"/>
        <v>1.7200000000000002</v>
      </c>
      <c r="F18">
        <f t="shared" si="7"/>
        <v>1.7200000000000002</v>
      </c>
      <c r="G18">
        <f t="shared" si="7"/>
        <v>1.7200000000000002</v>
      </c>
      <c r="H18">
        <f t="shared" si="7"/>
        <v>1.7200000000000002</v>
      </c>
      <c r="I18">
        <f t="shared" si="7"/>
        <v>1.7200000000000002</v>
      </c>
      <c r="J18">
        <f t="shared" si="7"/>
        <v>1.7200000000000002</v>
      </c>
      <c r="K18">
        <f t="shared" si="7"/>
        <v>1.7200000000000002</v>
      </c>
      <c r="L18">
        <f t="shared" si="7"/>
        <v>1.7200000000000002</v>
      </c>
      <c r="M18">
        <f>IF(M$1&lt;$C18,L18,0)</f>
        <v>1.7200000000000002</v>
      </c>
      <c r="N18">
        <f t="shared" si="2"/>
        <v>1.7200000000000002</v>
      </c>
      <c r="O18">
        <f t="shared" si="2"/>
        <v>1.7200000000000002</v>
      </c>
      <c r="P18">
        <f t="shared" si="2"/>
        <v>1.7200000000000002</v>
      </c>
      <c r="Q18">
        <f t="shared" si="2"/>
        <v>1.7200000000000002</v>
      </c>
      <c r="R18">
        <f t="shared" si="2"/>
        <v>1.7200000000000002</v>
      </c>
      <c r="S18">
        <f t="shared" si="2"/>
        <v>1.7200000000000002</v>
      </c>
      <c r="T18">
        <f t="shared" si="2"/>
        <v>1.7200000000000002</v>
      </c>
      <c r="U18">
        <f t="shared" si="2"/>
        <v>1.7200000000000002</v>
      </c>
      <c r="V18">
        <f t="shared" si="2"/>
        <v>0</v>
      </c>
      <c r="W18">
        <f t="shared" si="2"/>
        <v>0</v>
      </c>
      <c r="X18">
        <f t="shared" si="2"/>
        <v>0</v>
      </c>
      <c r="Y18">
        <f t="shared" si="2"/>
        <v>0</v>
      </c>
      <c r="Z18">
        <f t="shared" si="2"/>
        <v>0</v>
      </c>
      <c r="AA18">
        <f t="shared" si="2"/>
        <v>0</v>
      </c>
      <c r="AB18">
        <f t="shared" si="2"/>
        <v>0</v>
      </c>
      <c r="AC18">
        <f t="shared" si="2"/>
        <v>0</v>
      </c>
      <c r="AD18">
        <f t="shared" si="2"/>
        <v>0</v>
      </c>
      <c r="AE18">
        <f t="shared" si="2"/>
        <v>0</v>
      </c>
      <c r="AF18">
        <f t="shared" si="2"/>
        <v>0</v>
      </c>
      <c r="AG18">
        <f t="shared" si="2"/>
        <v>0</v>
      </c>
      <c r="AH18">
        <f t="shared" si="2"/>
        <v>0</v>
      </c>
      <c r="AI18">
        <f t="shared" si="2"/>
        <v>0</v>
      </c>
      <c r="AJ18">
        <f t="shared" si="2"/>
        <v>0</v>
      </c>
      <c r="AK18">
        <f t="shared" si="2"/>
        <v>0</v>
      </c>
      <c r="AL18">
        <f t="shared" si="2"/>
        <v>0</v>
      </c>
      <c r="AM18">
        <f t="shared" si="2"/>
        <v>0</v>
      </c>
      <c r="AN18">
        <f t="shared" si="2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</row>
    <row r="19" spans="1:52" x14ac:dyDescent="0.25">
      <c r="B19" s="18"/>
      <c r="C19" s="322"/>
    </row>
    <row r="20" spans="1:52" x14ac:dyDescent="0.25">
      <c r="A20" s="18" t="s">
        <v>765</v>
      </c>
      <c r="D20" s="268">
        <f>'Methodology Cap &amp; Prod'!M271</f>
        <v>6.94</v>
      </c>
      <c r="E20" s="268">
        <f>'Methodology Cap &amp; Prod'!N271</f>
        <v>7.1</v>
      </c>
      <c r="F20" s="268">
        <f>'Methodology Cap &amp; Prod'!O271</f>
        <v>6.5</v>
      </c>
      <c r="G20" s="268">
        <f>'Methodology Cap &amp; Prod'!P271</f>
        <v>6.4000000000000012</v>
      </c>
      <c r="H20" s="268">
        <f>'Methodology Cap &amp; Prod'!Q271</f>
        <v>6.0910000000000002</v>
      </c>
      <c r="I20" s="268">
        <f>'Methodology Cap &amp; Prod'!R271</f>
        <v>6.23</v>
      </c>
      <c r="J20" s="268">
        <f>'Methodology Cap &amp; Prod'!S271</f>
        <v>6.3</v>
      </c>
      <c r="K20" s="268">
        <f>'Methodology Cap &amp; Prod'!T271</f>
        <v>6.1267974837582679</v>
      </c>
      <c r="L20" s="268">
        <f>'Methodology Cap &amp; Prod'!U271</f>
        <v>5.0030232389251985</v>
      </c>
    </row>
    <row r="21" spans="1:52" x14ac:dyDescent="0.25">
      <c r="B21" s="18"/>
      <c r="C21" s="322"/>
    </row>
    <row r="23" spans="1:52" x14ac:dyDescent="0.25">
      <c r="A23" s="18" t="s">
        <v>528</v>
      </c>
      <c r="D23" s="321"/>
      <c r="E23" s="321"/>
    </row>
    <row r="24" spans="1:52" x14ac:dyDescent="0.25">
      <c r="B24" s="18" t="s">
        <v>7</v>
      </c>
      <c r="C24" s="122" cm="1">
        <f t="array" ref="C24">MAX(D24:L24/D5:L5)</f>
        <v>0.6889960595189083</v>
      </c>
      <c r="D24" s="327">
        <f>'Methodology Cap &amp; Prod'!M266</f>
        <v>3.3</v>
      </c>
      <c r="E24" s="327">
        <f>'Methodology Cap &amp; Prod'!N266</f>
        <v>3.3760806916426511</v>
      </c>
      <c r="F24" s="327">
        <f>'Methodology Cap &amp; Prod'!O266</f>
        <v>3.0907780979827089</v>
      </c>
      <c r="G24" s="327">
        <f>'Methodology Cap &amp; Prod'!P266</f>
        <v>3.1641891891891891</v>
      </c>
      <c r="H24" s="327">
        <f>'Methodology Cap &amp; Prod'!Q266</f>
        <v>3.1641891891891891</v>
      </c>
      <c r="I24" s="327">
        <f>'Methodology Cap &amp; Prod'!R266</f>
        <v>3.0330810810810807</v>
      </c>
      <c r="J24" s="327">
        <f>'Methodology Cap &amp; Prod'!S266</f>
        <v>3.2032972972972971</v>
      </c>
      <c r="K24" s="327">
        <f>'Methodology Cap &amp; Prod'!T266</f>
        <v>3.0300947810555652</v>
      </c>
      <c r="L24" s="327">
        <f>'Methodology Cap &amp; Prod'!U266</f>
        <v>3.0300947810555652</v>
      </c>
    </row>
    <row r="25" spans="1:52" x14ac:dyDescent="0.25">
      <c r="B25" s="18" t="s">
        <v>172</v>
      </c>
      <c r="C25" s="122" cm="1">
        <f t="array" ref="C25">MAX(D25:L25/D6:L6)</f>
        <v>0.99830343032443969</v>
      </c>
      <c r="D25" s="327">
        <f>'Methodology Cap &amp; Prod'!M267</f>
        <v>1.21</v>
      </c>
      <c r="E25" s="327">
        <f>'Methodology Cap &amp; Prod'!N267</f>
        <v>1.2378962536023055</v>
      </c>
      <c r="F25" s="327">
        <f>'Methodology Cap &amp; Prod'!O267</f>
        <v>1.13328530259366</v>
      </c>
      <c r="G25" s="327">
        <f>'Methodology Cap &amp; Prod'!P267</f>
        <v>0.96299999999999997</v>
      </c>
      <c r="H25" s="327">
        <f>'Methodology Cap &amp; Prod'!Q267</f>
        <v>0.83199999999999996</v>
      </c>
      <c r="I25" s="327">
        <f>'Methodology Cap &amp; Prod'!R267</f>
        <v>1.1180000000000001</v>
      </c>
      <c r="J25" s="327">
        <f>'Methodology Cap &amp; Prod'!S267</f>
        <v>1.0860000000000001</v>
      </c>
      <c r="K25" s="327">
        <f>'Methodology Cap &amp; Prod'!T267</f>
        <v>1.0860000000000001</v>
      </c>
      <c r="L25" s="327">
        <f>'Methodology Cap &amp; Prod'!U267</f>
        <v>0</v>
      </c>
    </row>
    <row r="26" spans="1:52" x14ac:dyDescent="0.25">
      <c r="B26" s="18" t="s">
        <v>9</v>
      </c>
      <c r="C26" s="122" cm="1">
        <f t="array" ref="C26">MAX(D26:L26/D7:L7)</f>
        <v>0.67493195645212933</v>
      </c>
      <c r="D26" s="327">
        <f>'Methodology Cap &amp; Prod'!M268</f>
        <v>0.95</v>
      </c>
      <c r="E26" s="327">
        <f>'Methodology Cap &amp; Prod'!N268</f>
        <v>0.97190201729106618</v>
      </c>
      <c r="F26" s="327">
        <f>'Methodology Cap &amp; Prod'!O268</f>
        <v>0.88976945244956762</v>
      </c>
      <c r="G26" s="327">
        <f>'Methodology Cap &amp; Prod'!P268</f>
        <v>0.77481081081081082</v>
      </c>
      <c r="H26" s="327">
        <f>'Methodology Cap &amp; Prod'!Q268</f>
        <v>0.77481081081081082</v>
      </c>
      <c r="I26" s="327">
        <f>'Methodology Cap &amp; Prod'!R268</f>
        <v>0.75891891891891894</v>
      </c>
      <c r="J26" s="327">
        <f>'Methodology Cap &amp; Prod'!S268</f>
        <v>0.80270270270270283</v>
      </c>
      <c r="K26" s="327">
        <f>'Methodology Cap &amp; Prod'!T268</f>
        <v>0.80270270270270283</v>
      </c>
      <c r="L26" s="327">
        <f>'Methodology Cap &amp; Prod'!U268</f>
        <v>0.76492845786963448</v>
      </c>
    </row>
    <row r="27" spans="1:52" x14ac:dyDescent="0.25">
      <c r="B27" s="18" t="s">
        <v>10</v>
      </c>
      <c r="C27" s="122" cm="1">
        <f t="array" ref="C27">MAX(D27:L27/D8:L8)</f>
        <v>0.63429394812680118</v>
      </c>
      <c r="D27" s="327">
        <f>'Methodology Cap &amp; Prod'!M269</f>
        <v>0.62</v>
      </c>
      <c r="E27" s="327">
        <f>'Methodology Cap &amp; Prod'!N269</f>
        <v>0.63429394812680118</v>
      </c>
      <c r="F27" s="327">
        <f>'Methodology Cap &amp; Prod'!O269</f>
        <v>0.5806916426512968</v>
      </c>
      <c r="G27" s="327">
        <f>'Methodology Cap &amp; Prod'!P269</f>
        <v>0.1360000000000007</v>
      </c>
      <c r="H27" s="327">
        <f>'Methodology Cap &amp; Prod'!Q269</f>
        <v>0</v>
      </c>
      <c r="I27" s="327">
        <f>'Methodology Cap &amp; Prod'!R269</f>
        <v>0</v>
      </c>
      <c r="J27" s="327">
        <f>'Methodology Cap &amp; Prod'!S269</f>
        <v>0</v>
      </c>
      <c r="K27" s="327">
        <f>'Methodology Cap &amp; Prod'!T269</f>
        <v>0</v>
      </c>
      <c r="L27" s="327">
        <f>'Methodology Cap &amp; Prod'!U269</f>
        <v>0</v>
      </c>
    </row>
    <row r="28" spans="1:52" x14ac:dyDescent="0.25">
      <c r="B28" s="18" t="s">
        <v>8</v>
      </c>
      <c r="C28" s="122" cm="1">
        <f t="array" ref="C28">MAX(D28:L28/D9:L9)</f>
        <v>0.79186046511627917</v>
      </c>
      <c r="D28" s="327">
        <f>'Methodology Cap &amp; Prod'!M270</f>
        <v>0.86</v>
      </c>
      <c r="E28" s="327">
        <f>'Methodology Cap &amp; Prod'!N270</f>
        <v>0.87982708933717579</v>
      </c>
      <c r="F28" s="327">
        <f>'Methodology Cap &amp; Prod'!O270</f>
        <v>0.8054755043227666</v>
      </c>
      <c r="G28" s="327">
        <f>'Methodology Cap &amp; Prod'!P270</f>
        <v>1.3620000000000003</v>
      </c>
      <c r="H28" s="327">
        <f>'Methodology Cap &amp; Prod'!Q270</f>
        <v>1.3200000000000003</v>
      </c>
      <c r="I28" s="327">
        <f>'Methodology Cap &amp; Prod'!R270</f>
        <v>1.3200000000000003</v>
      </c>
      <c r="J28" s="327">
        <f>'Methodology Cap &amp; Prod'!S270</f>
        <v>1.2079999999999993</v>
      </c>
      <c r="K28" s="327">
        <f>'Methodology Cap &amp; Prod'!T270</f>
        <v>1.2079999999999993</v>
      </c>
      <c r="L28" s="327">
        <f>'Methodology Cap &amp; Prod'!U270</f>
        <v>1.2079999999999993</v>
      </c>
    </row>
    <row r="29" spans="1:52" x14ac:dyDescent="0.25">
      <c r="B29" s="322" t="s">
        <v>529</v>
      </c>
      <c r="D29" s="379">
        <f t="shared" ref="D29:L29" si="8">D28/D20</f>
        <v>0.1239193083573487</v>
      </c>
      <c r="E29" s="379">
        <f t="shared" si="8"/>
        <v>0.12391930835734871</v>
      </c>
      <c r="F29" s="379">
        <f t="shared" si="8"/>
        <v>0.12391930835734871</v>
      </c>
      <c r="G29" s="379">
        <f t="shared" si="8"/>
        <v>0.21281250000000002</v>
      </c>
      <c r="H29" s="379">
        <f t="shared" si="8"/>
        <v>0.21671318338532264</v>
      </c>
      <c r="I29" s="379">
        <f t="shared" si="8"/>
        <v>0.21187800963081865</v>
      </c>
      <c r="J29" s="379">
        <f t="shared" si="8"/>
        <v>0.19174603174603164</v>
      </c>
      <c r="K29" s="379">
        <f t="shared" si="8"/>
        <v>0.19716662794915726</v>
      </c>
      <c r="L29" s="379">
        <f t="shared" si="8"/>
        <v>0.24145400537046363</v>
      </c>
    </row>
    <row r="31" spans="1:52" x14ac:dyDescent="0.25">
      <c r="A31" s="18" t="s">
        <v>529</v>
      </c>
      <c r="B31" s="18" t="s">
        <v>531</v>
      </c>
      <c r="C31" t="s">
        <v>533</v>
      </c>
      <c r="D31" t="str">
        <f>"-"&amp;ROUND(D29*102%,3)</f>
        <v>-0.126</v>
      </c>
      <c r="E31" t="str">
        <f t="shared" ref="E31:L31" si="9">"-"&amp;ROUND(E29*102%,3)</f>
        <v>-0.126</v>
      </c>
      <c r="F31" t="str">
        <f t="shared" si="9"/>
        <v>-0.126</v>
      </c>
      <c r="G31" t="str">
        <f t="shared" si="9"/>
        <v>-0.217</v>
      </c>
      <c r="H31" t="str">
        <f t="shared" si="9"/>
        <v>-0.221</v>
      </c>
      <c r="I31" t="str">
        <f t="shared" si="9"/>
        <v>-0.216</v>
      </c>
      <c r="J31" t="str">
        <f t="shared" si="9"/>
        <v>-0.196</v>
      </c>
      <c r="K31" t="str">
        <f t="shared" si="9"/>
        <v>-0.201</v>
      </c>
      <c r="L31" t="str">
        <f t="shared" si="9"/>
        <v>-0.246</v>
      </c>
    </row>
    <row r="32" spans="1:52" x14ac:dyDescent="0.25">
      <c r="C32" t="s">
        <v>532</v>
      </c>
      <c r="D32" t="str">
        <f>"-"&amp;ROUND(D29*(98%),3)</f>
        <v>-0.121</v>
      </c>
      <c r="E32" t="str">
        <f t="shared" ref="E32:L32" si="10">"-"&amp;ROUND(E29*(98%),3)</f>
        <v>-0.121</v>
      </c>
      <c r="F32" t="str">
        <f t="shared" si="10"/>
        <v>-0.121</v>
      </c>
      <c r="G32" t="str">
        <f t="shared" si="10"/>
        <v>-0.209</v>
      </c>
      <c r="H32" t="str">
        <f t="shared" si="10"/>
        <v>-0.212</v>
      </c>
      <c r="I32" t="str">
        <f t="shared" si="10"/>
        <v>-0.208</v>
      </c>
      <c r="J32" t="str">
        <f t="shared" si="10"/>
        <v>-0.188</v>
      </c>
      <c r="K32" t="str">
        <f t="shared" si="10"/>
        <v>-0.193</v>
      </c>
      <c r="L32" t="str">
        <f t="shared" si="10"/>
        <v>-0.237</v>
      </c>
    </row>
    <row r="35" spans="1:5" x14ac:dyDescent="0.25">
      <c r="A35" s="18" t="s">
        <v>537</v>
      </c>
    </row>
    <row r="36" spans="1:5" x14ac:dyDescent="0.25">
      <c r="C36" t="s">
        <v>535</v>
      </c>
      <c r="E36" t="s">
        <v>766</v>
      </c>
    </row>
    <row r="37" spans="1:5" x14ac:dyDescent="0.25">
      <c r="B37" s="18" t="s">
        <v>7</v>
      </c>
      <c r="C37">
        <f>SUMIFS('Energy and Emissions'!$C$91:$C$96,'Energy and Emissions'!$B$91:$B$96,B37)</f>
        <v>2.81</v>
      </c>
    </row>
    <row r="38" spans="1:5" x14ac:dyDescent="0.25">
      <c r="B38" s="18" t="s">
        <v>172</v>
      </c>
      <c r="C38" s="268">
        <f>SUMIFS('Energy and Emissions'!$C$91:$C$96,'Energy and Emissions'!$B$91:$B$96,B38)</f>
        <v>2.1267142857142858</v>
      </c>
    </row>
    <row r="39" spans="1:5" x14ac:dyDescent="0.25">
      <c r="B39" s="18" t="s">
        <v>9</v>
      </c>
      <c r="C39" s="268">
        <f>SUMIFS('Energy and Emissions'!$C$91:$C$96,'Energy and Emissions'!$B$91:$B$96,B39)</f>
        <v>1.605</v>
      </c>
    </row>
    <row r="40" spans="1:5" x14ac:dyDescent="0.25">
      <c r="B40" s="18" t="s">
        <v>10</v>
      </c>
      <c r="C40">
        <f>SUMIFS('Energy and Emissions'!$C$91:$C$96,'Energy and Emissions'!$B$91:$B$96,B40)</f>
        <v>1.54</v>
      </c>
    </row>
    <row r="41" spans="1:5" x14ac:dyDescent="0.25">
      <c r="B41" s="18" t="s">
        <v>8</v>
      </c>
      <c r="C41">
        <f>SUMIFS('Energy and Emissions'!$C$91:$C$96,'Energy and Emissions'!$B$91:$B$96,B41)</f>
        <v>0.08</v>
      </c>
    </row>
    <row r="44" spans="1:5" x14ac:dyDescent="0.25">
      <c r="B44" s="18" t="s">
        <v>586</v>
      </c>
    </row>
    <row r="45" spans="1:5" x14ac:dyDescent="0.25">
      <c r="B45" t="s">
        <v>169</v>
      </c>
      <c r="C45">
        <f>C37</f>
        <v>2.81</v>
      </c>
    </row>
    <row r="46" spans="1:5" x14ac:dyDescent="0.25">
      <c r="B46" t="s">
        <v>538</v>
      </c>
      <c r="C46">
        <f>C45</f>
        <v>2.81</v>
      </c>
    </row>
    <row r="47" spans="1:5" x14ac:dyDescent="0.25">
      <c r="B47" t="s">
        <v>171</v>
      </c>
      <c r="C47" s="268">
        <f>C38</f>
        <v>2.1267142857142858</v>
      </c>
    </row>
    <row r="48" spans="1:5" x14ac:dyDescent="0.25">
      <c r="B48" t="s">
        <v>174</v>
      </c>
      <c r="C48" s="268">
        <f>C39</f>
        <v>1.605</v>
      </c>
    </row>
    <row r="49" spans="1:13" x14ac:dyDescent="0.25">
      <c r="B49" t="s">
        <v>539</v>
      </c>
      <c r="C49" s="268">
        <f>C48</f>
        <v>1.605</v>
      </c>
    </row>
    <row r="50" spans="1:13" x14ac:dyDescent="0.25">
      <c r="B50" t="s">
        <v>540</v>
      </c>
      <c r="C50" s="268">
        <f>C49</f>
        <v>1.605</v>
      </c>
    </row>
    <row r="51" spans="1:13" x14ac:dyDescent="0.25">
      <c r="B51" t="s">
        <v>178</v>
      </c>
      <c r="C51">
        <f>C40</f>
        <v>1.54</v>
      </c>
    </row>
    <row r="52" spans="1:13" x14ac:dyDescent="0.25">
      <c r="B52" t="s">
        <v>180</v>
      </c>
      <c r="C52">
        <f>C41</f>
        <v>0.08</v>
      </c>
      <c r="H52" s="99"/>
      <c r="J52" s="99"/>
      <c r="M52" s="99"/>
    </row>
    <row r="53" spans="1:13" x14ac:dyDescent="0.25">
      <c r="B53" t="s">
        <v>541</v>
      </c>
      <c r="C53">
        <f>C52</f>
        <v>0.08</v>
      </c>
    </row>
    <row r="60" spans="1:13" x14ac:dyDescent="0.25">
      <c r="A60" s="18" t="s">
        <v>738</v>
      </c>
    </row>
    <row r="61" spans="1:13" x14ac:dyDescent="0.25">
      <c r="C61" s="18" t="s">
        <v>1570</v>
      </c>
    </row>
    <row r="62" spans="1:13" x14ac:dyDescent="0.25">
      <c r="A62" t="s">
        <v>739</v>
      </c>
      <c r="B62" t="s">
        <v>169</v>
      </c>
      <c r="C62" s="435">
        <f>'TNapp - Opex sheet'!C122*G64</f>
        <v>4099.6387421612053</v>
      </c>
      <c r="G62">
        <v>1.3</v>
      </c>
      <c r="H62" t="s">
        <v>1194</v>
      </c>
    </row>
    <row r="63" spans="1:13" x14ac:dyDescent="0.25">
      <c r="B63" t="s">
        <v>538</v>
      </c>
      <c r="C63" s="435">
        <f>C62</f>
        <v>4099.6387421612053</v>
      </c>
      <c r="G63">
        <v>1.4059999999999999</v>
      </c>
      <c r="H63" t="s">
        <v>1571</v>
      </c>
    </row>
    <row r="64" spans="1:13" x14ac:dyDescent="0.25">
      <c r="B64" t="s">
        <v>174</v>
      </c>
      <c r="C64" s="435">
        <f>'TNapp - Opex sheet'!D123*G64</f>
        <v>4470.5528012602799</v>
      </c>
      <c r="G64">
        <f>G63*G62</f>
        <v>1.8277999999999999</v>
      </c>
    </row>
    <row r="65" spans="1:5" x14ac:dyDescent="0.25">
      <c r="B65" t="s">
        <v>539</v>
      </c>
      <c r="C65" s="435">
        <f>C64</f>
        <v>4470.5528012602799</v>
      </c>
    </row>
    <row r="66" spans="1:5" x14ac:dyDescent="0.25">
      <c r="B66" s="537" t="s">
        <v>541</v>
      </c>
      <c r="C66" s="539">
        <f>'TNapp - Opex sheet'!E122*G64</f>
        <v>6120.6076128011382</v>
      </c>
    </row>
    <row r="67" spans="1:5" x14ac:dyDescent="0.25">
      <c r="B67" s="537" t="s">
        <v>171</v>
      </c>
      <c r="C67" s="539">
        <f>'TNapp - Opex sheet'!F122*G64</f>
        <v>3887.0977910252077</v>
      </c>
    </row>
    <row r="68" spans="1:5" x14ac:dyDescent="0.25">
      <c r="A68" t="s">
        <v>772</v>
      </c>
    </row>
    <row r="69" spans="1:5" x14ac:dyDescent="0.25">
      <c r="B69" t="s">
        <v>538</v>
      </c>
      <c r="C69" s="525">
        <f>'TNapp - Capex sheet'!C74*$G$64</f>
        <v>4132.8716804986489</v>
      </c>
    </row>
    <row r="70" spans="1:5" x14ac:dyDescent="0.25">
      <c r="B70" t="s">
        <v>539</v>
      </c>
      <c r="C70" s="525">
        <f>'TNapp - Capex sheet'!C75*$G$64</f>
        <v>4119.7362034379503</v>
      </c>
    </row>
    <row r="71" spans="1:5" x14ac:dyDescent="0.25">
      <c r="B71" s="537" t="s">
        <v>540</v>
      </c>
      <c r="C71" s="525">
        <f>'TNapp - Capex sheet'!C73*$G$64</f>
        <v>3433.1135028649592</v>
      </c>
    </row>
    <row r="72" spans="1:5" x14ac:dyDescent="0.25">
      <c r="B72" s="537" t="s">
        <v>541</v>
      </c>
      <c r="C72" s="525">
        <f>'TNapp - Capex sheet'!C72*$G$64</f>
        <v>2530.0543516740895</v>
      </c>
    </row>
    <row r="74" spans="1:5" x14ac:dyDescent="0.25">
      <c r="A74" s="18" t="s">
        <v>740</v>
      </c>
    </row>
    <row r="75" spans="1:5" x14ac:dyDescent="0.25">
      <c r="B75" t="s">
        <v>0</v>
      </c>
      <c r="C75">
        <v>20</v>
      </c>
      <c r="D75" t="s">
        <v>742</v>
      </c>
      <c r="E75" t="s">
        <v>741</v>
      </c>
    </row>
    <row r="76" spans="1:5" x14ac:dyDescent="0.25">
      <c r="C76">
        <v>15</v>
      </c>
      <c r="D76" t="s">
        <v>744</v>
      </c>
      <c r="E76" t="s">
        <v>743</v>
      </c>
    </row>
    <row r="77" spans="1:5" x14ac:dyDescent="0.25">
      <c r="C77" s="436" t="s">
        <v>753</v>
      </c>
      <c r="D77" t="s">
        <v>754</v>
      </c>
      <c r="E77" t="s">
        <v>755</v>
      </c>
    </row>
    <row r="79" spans="1:5" x14ac:dyDescent="0.25">
      <c r="C79">
        <f>C75</f>
        <v>20</v>
      </c>
      <c r="D79" t="s">
        <v>756</v>
      </c>
      <c r="E79" t="s">
        <v>757</v>
      </c>
    </row>
    <row r="81" spans="1:13" x14ac:dyDescent="0.25">
      <c r="C81">
        <v>2007</v>
      </c>
      <c r="D81" t="s">
        <v>759</v>
      </c>
    </row>
    <row r="82" spans="1:13" x14ac:dyDescent="0.25">
      <c r="C82">
        <v>2014</v>
      </c>
      <c r="D82" t="s">
        <v>761</v>
      </c>
    </row>
    <row r="83" spans="1:13" x14ac:dyDescent="0.25">
      <c r="C83" s="18">
        <f>C79+C82</f>
        <v>2034</v>
      </c>
      <c r="D83" s="18" t="s">
        <v>760</v>
      </c>
      <c r="E83" s="18"/>
    </row>
    <row r="85" spans="1:13" x14ac:dyDescent="0.25">
      <c r="B85" t="s">
        <v>1</v>
      </c>
      <c r="C85">
        <v>20</v>
      </c>
      <c r="D85" t="s">
        <v>763</v>
      </c>
      <c r="E85" t="s">
        <v>762</v>
      </c>
    </row>
    <row r="86" spans="1:13" x14ac:dyDescent="0.25">
      <c r="C86" s="18">
        <v>2030</v>
      </c>
      <c r="D86" s="18" t="s">
        <v>764</v>
      </c>
      <c r="E86" s="18"/>
      <c r="F86" s="18"/>
    </row>
    <row r="93" spans="1:13" x14ac:dyDescent="0.25">
      <c r="D93" s="658" t="s">
        <v>1101</v>
      </c>
      <c r="E93" s="658"/>
      <c r="F93" s="658"/>
      <c r="G93" s="658"/>
      <c r="H93" s="658" t="s">
        <v>1102</v>
      </c>
      <c r="I93" s="658"/>
      <c r="J93" s="658"/>
      <c r="K93" s="658"/>
      <c r="L93" s="658"/>
      <c r="M93" s="658"/>
    </row>
    <row r="94" spans="1:13" ht="110.25" x14ac:dyDescent="0.25">
      <c r="A94" s="83"/>
      <c r="B94" s="83"/>
      <c r="C94" s="83" t="s">
        <v>673</v>
      </c>
      <c r="D94" s="519" t="s">
        <v>1103</v>
      </c>
      <c r="E94" s="519" t="s">
        <v>1104</v>
      </c>
      <c r="F94" s="519" t="s">
        <v>1105</v>
      </c>
      <c r="G94" s="519" t="s">
        <v>1120</v>
      </c>
      <c r="H94" s="519" t="s">
        <v>1106</v>
      </c>
      <c r="I94" s="519" t="s">
        <v>1107</v>
      </c>
      <c r="J94" s="519" t="s">
        <v>1108</v>
      </c>
      <c r="K94" s="519" t="s">
        <v>1109</v>
      </c>
      <c r="L94" s="520"/>
    </row>
    <row r="95" spans="1:13" ht="31.5" x14ac:dyDescent="0.25">
      <c r="A95" s="80"/>
      <c r="B95" s="80"/>
      <c r="C95" s="83"/>
      <c r="D95" s="519" t="s">
        <v>7</v>
      </c>
      <c r="E95" s="519" t="s">
        <v>9</v>
      </c>
      <c r="F95" s="519" t="s">
        <v>462</v>
      </c>
      <c r="G95" s="519" t="s">
        <v>172</v>
      </c>
      <c r="H95" s="519" t="s">
        <v>1110</v>
      </c>
      <c r="I95" s="519" t="s">
        <v>1111</v>
      </c>
      <c r="J95" s="519" t="s">
        <v>1112</v>
      </c>
      <c r="K95" s="519" t="s">
        <v>1113</v>
      </c>
      <c r="L95" s="520"/>
    </row>
    <row r="96" spans="1:13" x14ac:dyDescent="0.25">
      <c r="A96" s="667" t="s">
        <v>1118</v>
      </c>
      <c r="B96" s="521" t="s">
        <v>1119</v>
      </c>
      <c r="C96" s="521" t="s">
        <v>189</v>
      </c>
      <c r="D96" s="521">
        <f>SUMIFS($L$5:$L$9,$B$5:$B$9,D$95)</f>
        <v>4.9000000000000004</v>
      </c>
      <c r="E96" s="521">
        <f>SUMIFS($L$5:$L$9,$B$5:$B$9,E$95)</f>
        <v>1.44</v>
      </c>
      <c r="F96" s="521">
        <f>SUMIFS($L$5:$L$9,$B$5:$B$9,F$95)</f>
        <v>1.7200000000000002</v>
      </c>
      <c r="G96" s="521">
        <f>SUMIFS($L$5:$L$9,$B$5:$B$9,G$95)</f>
        <v>1.2400000000000002</v>
      </c>
      <c r="H96" s="521"/>
      <c r="I96" s="521"/>
      <c r="J96" s="521"/>
      <c r="K96" s="521"/>
      <c r="L96" s="522"/>
    </row>
    <row r="97" spans="1:36" x14ac:dyDescent="0.25">
      <c r="A97" s="665"/>
      <c r="B97" s="521" t="s">
        <v>925</v>
      </c>
      <c r="C97" s="523" t="s">
        <v>264</v>
      </c>
      <c r="D97" s="529">
        <v>0.9</v>
      </c>
      <c r="E97" s="529">
        <v>0.9</v>
      </c>
      <c r="F97" s="529">
        <v>0.9</v>
      </c>
      <c r="G97" s="529">
        <v>0.9</v>
      </c>
      <c r="H97" s="529">
        <v>0.9</v>
      </c>
      <c r="I97" s="529">
        <v>0.9</v>
      </c>
      <c r="J97" s="529">
        <v>0.9</v>
      </c>
      <c r="K97" s="529">
        <v>0.9</v>
      </c>
      <c r="L97" s="522"/>
    </row>
    <row r="98" spans="1:36" x14ac:dyDescent="0.25">
      <c r="A98" s="665"/>
      <c r="B98" s="521" t="s">
        <v>1115</v>
      </c>
      <c r="C98" s="521"/>
      <c r="D98" s="528">
        <v>2034</v>
      </c>
      <c r="E98" s="528">
        <v>2034</v>
      </c>
      <c r="F98" s="528">
        <v>2030</v>
      </c>
      <c r="G98" s="528">
        <v>2030</v>
      </c>
      <c r="H98" s="525"/>
      <c r="I98" s="525"/>
      <c r="J98" s="525"/>
      <c r="K98" s="525"/>
      <c r="L98" s="525"/>
    </row>
    <row r="99" spans="1:36" x14ac:dyDescent="0.25">
      <c r="A99" s="665"/>
      <c r="B99" s="521" t="s">
        <v>905</v>
      </c>
      <c r="C99" s="521" t="s">
        <v>1117</v>
      </c>
      <c r="D99" s="524"/>
      <c r="E99" s="524"/>
      <c r="F99" s="524"/>
      <c r="G99" s="524"/>
      <c r="H99" s="538">
        <f>C69</f>
        <v>4132.8716804986489</v>
      </c>
      <c r="I99" s="538">
        <f>C70</f>
        <v>4119.7362034379503</v>
      </c>
      <c r="J99" s="538">
        <f>C71</f>
        <v>3433.1135028649592</v>
      </c>
      <c r="K99" s="119">
        <f>C72</f>
        <v>2530.0543516740895</v>
      </c>
      <c r="L99" s="525"/>
    </row>
    <row r="100" spans="1:36" x14ac:dyDescent="0.25">
      <c r="A100" s="665"/>
      <c r="B100" s="521" t="s">
        <v>1116</v>
      </c>
      <c r="C100" s="521" t="s">
        <v>933</v>
      </c>
      <c r="D100" s="524">
        <f>C62</f>
        <v>4099.6387421612053</v>
      </c>
      <c r="E100" s="524">
        <f>C64</f>
        <v>4470.5528012602799</v>
      </c>
      <c r="F100" s="524">
        <f>C66</f>
        <v>6120.6076128011382</v>
      </c>
      <c r="G100" s="524">
        <f>C67</f>
        <v>3887.0977910252077</v>
      </c>
      <c r="H100" s="119">
        <f>D100</f>
        <v>4099.6387421612053</v>
      </c>
      <c r="I100" s="538">
        <f>E100</f>
        <v>4470.5528012602799</v>
      </c>
      <c r="J100" s="538">
        <f>I100</f>
        <v>4470.5528012602799</v>
      </c>
      <c r="K100" s="538">
        <f>F100</f>
        <v>6120.6076128011382</v>
      </c>
      <c r="L100" s="525"/>
      <c r="AB100" s="611" t="s">
        <v>1543</v>
      </c>
      <c r="AC100" s="611"/>
      <c r="AD100" s="612"/>
      <c r="AE100" s="612"/>
      <c r="AF100" s="612"/>
      <c r="AG100" s="612"/>
      <c r="AH100" s="612"/>
      <c r="AI100" s="612"/>
      <c r="AJ100" s="612"/>
    </row>
    <row r="101" spans="1:36" x14ac:dyDescent="0.25">
      <c r="A101" s="668"/>
      <c r="B101" s="521" t="s">
        <v>740</v>
      </c>
      <c r="C101" s="521" t="s">
        <v>742</v>
      </c>
      <c r="D101" s="524"/>
      <c r="E101" s="524"/>
      <c r="F101" s="524"/>
      <c r="G101" s="524"/>
      <c r="H101" s="528">
        <v>20</v>
      </c>
      <c r="I101" s="528">
        <v>20</v>
      </c>
      <c r="J101" s="528">
        <v>20</v>
      </c>
      <c r="K101" s="528">
        <v>20</v>
      </c>
      <c r="L101" s="525"/>
      <c r="Q101" s="627" t="s">
        <v>1566</v>
      </c>
      <c r="AB101" s="613" t="s">
        <v>1544</v>
      </c>
      <c r="AC101" s="614" t="s">
        <v>1545</v>
      </c>
      <c r="AD101" s="613" t="s">
        <v>1546</v>
      </c>
      <c r="AE101" s="613" t="s">
        <v>1547</v>
      </c>
      <c r="AF101" s="615" t="s">
        <v>673</v>
      </c>
      <c r="AG101" s="615" t="s">
        <v>1548</v>
      </c>
      <c r="AH101" s="615" t="s">
        <v>1549</v>
      </c>
      <c r="AI101" s="615" t="s">
        <v>1550</v>
      </c>
      <c r="AJ101" s="615" t="s">
        <v>1551</v>
      </c>
    </row>
    <row r="102" spans="1:36" ht="52.5" thickBot="1" x14ac:dyDescent="0.3">
      <c r="A102" s="526"/>
      <c r="B102" s="526"/>
      <c r="C102" s="526"/>
      <c r="D102" s="526"/>
      <c r="E102" s="526"/>
      <c r="F102" s="526"/>
      <c r="G102" s="526"/>
      <c r="H102" s="526"/>
      <c r="I102" s="526"/>
      <c r="J102" s="526"/>
      <c r="K102" s="526"/>
      <c r="L102" s="527"/>
      <c r="Q102" t="s">
        <v>1121</v>
      </c>
      <c r="AB102" s="616" t="s">
        <v>1552</v>
      </c>
      <c r="AC102" s="617" t="s">
        <v>1553</v>
      </c>
      <c r="AD102" s="616" t="s">
        <v>1554</v>
      </c>
      <c r="AE102" s="616" t="s">
        <v>1555</v>
      </c>
      <c r="AF102" s="616" t="s">
        <v>673</v>
      </c>
      <c r="AG102" s="616" t="s">
        <v>1556</v>
      </c>
      <c r="AH102" s="616" t="s">
        <v>1557</v>
      </c>
      <c r="AI102" s="616" t="s">
        <v>1558</v>
      </c>
      <c r="AJ102" s="616" t="s">
        <v>1559</v>
      </c>
    </row>
    <row r="103" spans="1:36" x14ac:dyDescent="0.25">
      <c r="A103" s="667" t="s">
        <v>232</v>
      </c>
      <c r="B103" s="521" t="s">
        <v>13</v>
      </c>
      <c r="C103" s="523" t="s">
        <v>148</v>
      </c>
      <c r="D103" s="524">
        <f>SUMIFS($R$104:$X$104,$R$103:$X$103,$B103)</f>
        <v>4.3302170790299686</v>
      </c>
      <c r="E103" s="524">
        <f>SUMIFS($R$105:$X$105,$R$103:$X$103,$B103)</f>
        <v>20.596584135938251</v>
      </c>
      <c r="F103" s="524">
        <f>SUMIFS($R$106:$X$106,$R$103:$X$103,$B103)</f>
        <v>0</v>
      </c>
      <c r="G103" s="524">
        <f>SUMIFS($R$107:$X$107,$R$103:$X$103,$B103)</f>
        <v>17.2</v>
      </c>
      <c r="H103" s="524">
        <f t="shared" ref="H103:I107" si="11">D103</f>
        <v>4.3302170790299686</v>
      </c>
      <c r="I103" s="524">
        <f t="shared" si="11"/>
        <v>20.596584135938251</v>
      </c>
      <c r="J103" s="524"/>
      <c r="K103" s="524">
        <f>F103</f>
        <v>0</v>
      </c>
      <c r="L103" s="522"/>
      <c r="R103" s="135" t="s">
        <v>13</v>
      </c>
      <c r="S103" s="135" t="s">
        <v>14</v>
      </c>
      <c r="T103" s="135" t="s">
        <v>11</v>
      </c>
      <c r="U103" s="135" t="s">
        <v>454</v>
      </c>
      <c r="V103" s="135" t="s">
        <v>153</v>
      </c>
      <c r="W103" s="135" t="s">
        <v>200</v>
      </c>
      <c r="X103" s="135" t="s">
        <v>324</v>
      </c>
      <c r="Z103" t="s">
        <v>13</v>
      </c>
      <c r="AB103" s="618" t="s">
        <v>1561</v>
      </c>
      <c r="AC103" s="618" t="s">
        <v>1026</v>
      </c>
      <c r="AD103" t="s">
        <v>39</v>
      </c>
      <c r="AE103" t="str">
        <f>"Industry - I&amp;S - "&amp;Z103</f>
        <v>Industry - I&amp;S - Coal</v>
      </c>
      <c r="AF103" s="618" t="s">
        <v>142</v>
      </c>
      <c r="AG103" s="618"/>
      <c r="AH103" s="618" t="s">
        <v>1043</v>
      </c>
      <c r="AI103" s="618"/>
    </row>
    <row r="104" spans="1:36" x14ac:dyDescent="0.25">
      <c r="A104" s="665"/>
      <c r="B104" s="521" t="s">
        <v>11</v>
      </c>
      <c r="C104" s="523" t="s">
        <v>148</v>
      </c>
      <c r="D104" s="524">
        <f>SUMIFS($R$104:$X$104,$R$103:$X$103,$B104)</f>
        <v>8.8757836125478331</v>
      </c>
      <c r="E104" s="524">
        <f>SUMIFS($R$105:$X$105,$R$103:$X$103,$B104)</f>
        <v>0</v>
      </c>
      <c r="F104" s="524">
        <f>SUMIFS($R$106:$X$106,$R$103:$X$103,$B104)</f>
        <v>0</v>
      </c>
      <c r="G104" s="524">
        <f>SUMIFS($R$107:$X$107,$R$103:$X$103,$B104)</f>
        <v>2.6</v>
      </c>
      <c r="H104" s="524">
        <f t="shared" si="11"/>
        <v>8.8757836125478331</v>
      </c>
      <c r="I104" s="524">
        <f t="shared" si="11"/>
        <v>0</v>
      </c>
      <c r="J104" s="524"/>
      <c r="K104" s="524">
        <f>F104</f>
        <v>0</v>
      </c>
      <c r="L104" s="522"/>
      <c r="Q104" s="117" t="s">
        <v>7</v>
      </c>
      <c r="R104" s="395">
        <f>'Energy Intensity'!E99</f>
        <v>4.3302170790299686</v>
      </c>
      <c r="S104" s="395">
        <f>'Energy Intensity'!F99</f>
        <v>2.0996782148442206</v>
      </c>
      <c r="T104" s="395">
        <f>'Energy Intensity'!G99</f>
        <v>8.8757836125478331</v>
      </c>
      <c r="U104" s="395">
        <f>'Energy Intensity'!H99</f>
        <v>0</v>
      </c>
      <c r="V104" s="395">
        <f>'Energy Intensity'!I99</f>
        <v>0.59433505502672301</v>
      </c>
      <c r="W104" s="395">
        <f>'Energy Intensity'!J99</f>
        <v>3.8314510321037716</v>
      </c>
      <c r="X104" s="395">
        <f>'Energy Intensity'!K99</f>
        <v>0</v>
      </c>
      <c r="Z104" t="s">
        <v>380</v>
      </c>
      <c r="AB104" s="618" t="s">
        <v>1561</v>
      </c>
      <c r="AC104" s="618" t="s">
        <v>1026</v>
      </c>
      <c r="AD104" t="s">
        <v>38</v>
      </c>
      <c r="AE104" t="str">
        <f>"Industry - I&amp;S - "&amp;Z104</f>
        <v>Industry - I&amp;S - Elec</v>
      </c>
      <c r="AF104" s="618" t="s">
        <v>142</v>
      </c>
      <c r="AG104" s="619"/>
      <c r="AH104" s="618" t="s">
        <v>1031</v>
      </c>
      <c r="AI104" s="619"/>
      <c r="AJ104" s="618" t="s">
        <v>1562</v>
      </c>
    </row>
    <row r="105" spans="1:36" x14ac:dyDescent="0.25">
      <c r="A105" s="665"/>
      <c r="B105" t="s">
        <v>200</v>
      </c>
      <c r="C105" s="523" t="s">
        <v>148</v>
      </c>
      <c r="D105" s="524">
        <f>SUMIFS($R$104:$X$104,$R$103:$X$103,$B105)</f>
        <v>3.8314510321037716</v>
      </c>
      <c r="E105" s="524">
        <f>SUMIFS($R$105:$X$105,$R$103:$X$103,$B105)</f>
        <v>3.8314510321037716</v>
      </c>
      <c r="F105" s="524">
        <f>SUMIFS($R$106:$X$106,$R$103:$X$103,$B105)</f>
        <v>0.69427752927902087</v>
      </c>
      <c r="G105" s="524">
        <f>SUMIFS($R$107:$X$107,$R$103:$X$103,$B105)</f>
        <v>0.406700668706789</v>
      </c>
      <c r="H105" s="524">
        <f t="shared" si="11"/>
        <v>3.8314510321037716</v>
      </c>
      <c r="I105" s="524">
        <f t="shared" si="11"/>
        <v>3.8314510321037716</v>
      </c>
      <c r="J105" s="524">
        <v>16</v>
      </c>
      <c r="K105" s="524">
        <f>F105</f>
        <v>0.69427752927902087</v>
      </c>
      <c r="L105" s="522"/>
      <c r="Q105" s="117" t="s">
        <v>175</v>
      </c>
      <c r="R105" s="395">
        <f>'Energy Intensity'!E100</f>
        <v>20.596584135938251</v>
      </c>
      <c r="S105" s="395">
        <f>'Energy Intensity'!F100</f>
        <v>4.8574938650306745</v>
      </c>
      <c r="T105" s="395">
        <f>'Energy Intensity'!G100</f>
        <v>0</v>
      </c>
      <c r="U105" s="395">
        <f>'Energy Intensity'!H100</f>
        <v>0</v>
      </c>
      <c r="V105" s="395">
        <f>'Energy Intensity'!I100</f>
        <v>0</v>
      </c>
      <c r="W105" s="395">
        <f>'Energy Intensity'!J100</f>
        <v>3.8314510321037716</v>
      </c>
      <c r="X105" s="395">
        <f>'Energy Intensity'!K100</f>
        <v>0</v>
      </c>
      <c r="Z105" t="s">
        <v>11</v>
      </c>
      <c r="AB105" s="618" t="s">
        <v>1561</v>
      </c>
      <c r="AC105" s="618" t="s">
        <v>1026</v>
      </c>
      <c r="AD105" t="s">
        <v>42</v>
      </c>
      <c r="AE105" t="str">
        <f>"Industry - I&amp;S - "&amp;Z105</f>
        <v>Industry - I&amp;S - Coke</v>
      </c>
      <c r="AF105" s="618" t="s">
        <v>142</v>
      </c>
      <c r="AG105" s="612"/>
      <c r="AH105" s="618" t="s">
        <v>1043</v>
      </c>
      <c r="AI105" s="612"/>
      <c r="AJ105" s="612"/>
    </row>
    <row r="106" spans="1:36" x14ac:dyDescent="0.25">
      <c r="A106" s="665"/>
      <c r="B106" t="s">
        <v>153</v>
      </c>
      <c r="C106" s="523" t="s">
        <v>148</v>
      </c>
      <c r="D106" s="524">
        <f>SUMIFS($R$104:$X$104,$R$103:$X$103,$B106)</f>
        <v>0.59433505502672301</v>
      </c>
      <c r="E106" s="524">
        <f>SUMIFS($R$105:$X$105,$R$103:$X$103,$B106)</f>
        <v>0</v>
      </c>
      <c r="F106" s="524">
        <f>SUMIFS($R$106:$X$106,$R$103:$X$103,$B106)</f>
        <v>0.70602057094563631</v>
      </c>
      <c r="G106" s="524">
        <f>SUMIFS($R$107:$X$107,$R$103:$X$103,$B106)</f>
        <v>0.21697550364662166</v>
      </c>
      <c r="H106" s="524">
        <f t="shared" si="11"/>
        <v>0.59433505502672301</v>
      </c>
      <c r="I106" s="524">
        <f t="shared" si="11"/>
        <v>0</v>
      </c>
      <c r="J106" s="524"/>
      <c r="K106" s="524">
        <f>F106</f>
        <v>0.70602057094563631</v>
      </c>
      <c r="L106" s="522"/>
      <c r="Q106" s="117" t="s">
        <v>462</v>
      </c>
      <c r="R106" s="395">
        <f>'Energy Intensity'!E101</f>
        <v>0</v>
      </c>
      <c r="S106" s="395">
        <f>'Energy Intensity'!F101</f>
        <v>4.0884341801385684</v>
      </c>
      <c r="T106" s="395">
        <f>'Energy Intensity'!G101</f>
        <v>0</v>
      </c>
      <c r="U106" s="395">
        <f>'Energy Intensity'!H101</f>
        <v>0</v>
      </c>
      <c r="V106" s="395">
        <f>'Energy Intensity'!I101</f>
        <v>0.70602057094563631</v>
      </c>
      <c r="W106" s="395">
        <f>'Energy Intensity'!J101</f>
        <v>0.69427752927902087</v>
      </c>
      <c r="X106" s="395">
        <f>'Energy Intensity'!K101</f>
        <v>0</v>
      </c>
      <c r="Z106" t="s">
        <v>153</v>
      </c>
      <c r="AB106" s="618" t="s">
        <v>1561</v>
      </c>
      <c r="AC106" s="618" t="s">
        <v>1026</v>
      </c>
      <c r="AD106" t="s">
        <v>1398</v>
      </c>
      <c r="AE106" t="str">
        <f>"Industry - I&amp;S - "&amp;Z106</f>
        <v>Industry - I&amp;S - LPG</v>
      </c>
      <c r="AF106" s="618" t="s">
        <v>142</v>
      </c>
      <c r="AG106" s="612"/>
      <c r="AH106" s="618" t="s">
        <v>1043</v>
      </c>
      <c r="AI106" s="612"/>
      <c r="AJ106" s="612"/>
    </row>
    <row r="107" spans="1:36" x14ac:dyDescent="0.25">
      <c r="A107" s="665"/>
      <c r="B107" s="521" t="s">
        <v>14</v>
      </c>
      <c r="C107" s="523" t="s">
        <v>148</v>
      </c>
      <c r="D107" s="524">
        <f>SUMIFS($R$104:$X$104,$R$103:$X$103,$B107)</f>
        <v>2.0996782148442206</v>
      </c>
      <c r="E107" s="524">
        <f>SUMIFS($R$105:$X$105,$R$103:$X$103,$B107)</f>
        <v>4.8574938650306745</v>
      </c>
      <c r="F107" s="524">
        <f>SUMIFS($R$106:$X$106,$R$103:$X$103,$B107)</f>
        <v>4.0884341801385684</v>
      </c>
      <c r="G107" s="524">
        <f>SUMIFS($R$107:$X$107,$R$103:$X$103,$B107)</f>
        <v>1.728</v>
      </c>
      <c r="H107" s="524">
        <f t="shared" si="11"/>
        <v>2.0996782148442206</v>
      </c>
      <c r="I107" s="524">
        <f t="shared" si="11"/>
        <v>4.8574938650306745</v>
      </c>
      <c r="J107" s="524">
        <f>E107</f>
        <v>4.8574938650306745</v>
      </c>
      <c r="K107" s="524">
        <f>F107</f>
        <v>4.0884341801385684</v>
      </c>
      <c r="L107" s="522"/>
      <c r="Q107" s="117" t="s">
        <v>97</v>
      </c>
      <c r="R107" s="395">
        <f>'Energy Intensity'!E102</f>
        <v>17.2</v>
      </c>
      <c r="S107" s="395">
        <f>'Energy Intensity'!F102</f>
        <v>1.728</v>
      </c>
      <c r="T107" s="395">
        <f>'Energy Intensity'!G102</f>
        <v>2.6</v>
      </c>
      <c r="U107" s="395">
        <f>'Energy Intensity'!H102</f>
        <v>0</v>
      </c>
      <c r="V107" s="395">
        <f>'Energy Intensity'!I102</f>
        <v>0.21697550364662166</v>
      </c>
      <c r="W107" s="395">
        <f>'Energy Intensity'!J102</f>
        <v>0.406700668706789</v>
      </c>
      <c r="X107" s="395">
        <f>'Energy Intensity'!K102</f>
        <v>0</v>
      </c>
      <c r="Z107" t="s">
        <v>200</v>
      </c>
      <c r="AB107" s="618" t="s">
        <v>1561</v>
      </c>
      <c r="AC107" s="618" t="s">
        <v>1026</v>
      </c>
      <c r="AD107" t="s">
        <v>1262</v>
      </c>
      <c r="AE107" t="str">
        <f>"Industry - I&amp;S - "&amp;Z107</f>
        <v>Industry - I&amp;S - Gas</v>
      </c>
      <c r="AF107" s="618" t="s">
        <v>142</v>
      </c>
      <c r="AG107" s="612"/>
      <c r="AH107" s="621" t="s">
        <v>1043</v>
      </c>
      <c r="AI107" s="612"/>
      <c r="AJ107" s="612"/>
    </row>
    <row r="108" spans="1:36" x14ac:dyDescent="0.25">
      <c r="A108" s="668"/>
      <c r="B108" s="531" t="s">
        <v>1114</v>
      </c>
      <c r="C108" s="532" t="s">
        <v>148</v>
      </c>
      <c r="D108" s="530">
        <f t="shared" ref="D108:K108" si="12">SUM(D103:D107)</f>
        <v>19.731464993552517</v>
      </c>
      <c r="E108" s="530">
        <f t="shared" si="12"/>
        <v>29.285529033072699</v>
      </c>
      <c r="F108" s="530">
        <f t="shared" si="12"/>
        <v>5.4887322803632257</v>
      </c>
      <c r="G108" s="530">
        <f t="shared" si="12"/>
        <v>22.151676172353415</v>
      </c>
      <c r="H108" s="530">
        <f t="shared" si="12"/>
        <v>19.731464993552517</v>
      </c>
      <c r="I108" s="530">
        <f t="shared" si="12"/>
        <v>29.285529033072699</v>
      </c>
      <c r="J108" s="530">
        <f t="shared" si="12"/>
        <v>20.857493865030676</v>
      </c>
      <c r="K108" s="530">
        <f t="shared" si="12"/>
        <v>5.4887322803632257</v>
      </c>
      <c r="L108" s="521"/>
      <c r="Q108" s="5" t="s">
        <v>18</v>
      </c>
      <c r="R108" s="395">
        <f>'Energy Intensity'!E103</f>
        <v>20.61</v>
      </c>
      <c r="S108" s="395">
        <f>'Energy Intensity'!F103</f>
        <v>20.61</v>
      </c>
      <c r="T108" s="395">
        <f>'Energy Intensity'!G103</f>
        <v>0</v>
      </c>
      <c r="U108" s="395">
        <f>'Energy Intensity'!H103</f>
        <v>0</v>
      </c>
      <c r="V108" s="395">
        <f>'Energy Intensity'!I103</f>
        <v>0</v>
      </c>
      <c r="W108" s="395">
        <f>'Energy Intensity'!J103</f>
        <v>3.4349999999999996</v>
      </c>
      <c r="X108" s="395">
        <f>'Energy Intensity'!K103</f>
        <v>0</v>
      </c>
      <c r="Z108" t="s">
        <v>1563</v>
      </c>
      <c r="AB108" s="620" t="s">
        <v>1560</v>
      </c>
      <c r="AC108" s="618" t="s">
        <v>1026</v>
      </c>
      <c r="AD108" s="99" t="s">
        <v>40</v>
      </c>
      <c r="AE108" t="str">
        <f t="shared" ref="AE108:AE109" si="13">"Industry - I&amp;S - "&amp;Z108</f>
        <v>Industry - I&amp;S - Crude Steel</v>
      </c>
      <c r="AF108" s="620" t="s">
        <v>142</v>
      </c>
      <c r="AG108" s="612"/>
      <c r="AH108" s="621" t="s">
        <v>1043</v>
      </c>
      <c r="AI108" s="612"/>
      <c r="AJ108" s="612"/>
    </row>
    <row r="109" spans="1:36" x14ac:dyDescent="0.25">
      <c r="A109" s="526"/>
      <c r="B109" s="526"/>
      <c r="C109" s="526"/>
      <c r="D109" s="526"/>
      <c r="E109" s="526"/>
      <c r="F109" s="526"/>
      <c r="G109" s="526"/>
      <c r="H109" s="526"/>
      <c r="I109" s="526"/>
      <c r="J109" s="526"/>
      <c r="K109" s="526"/>
      <c r="L109" s="527"/>
      <c r="Z109" t="s">
        <v>1564</v>
      </c>
      <c r="AB109" s="618" t="s">
        <v>1561</v>
      </c>
      <c r="AC109" s="618" t="s">
        <v>1026</v>
      </c>
      <c r="AD109" s="99" t="s">
        <v>1485</v>
      </c>
      <c r="AE109" t="str">
        <f t="shared" si="13"/>
        <v>Industry - I&amp;S - BFSlag</v>
      </c>
      <c r="AF109" s="620" t="s">
        <v>142</v>
      </c>
      <c r="AG109" s="612"/>
      <c r="AH109" s="621" t="s">
        <v>1043</v>
      </c>
      <c r="AI109" s="612"/>
      <c r="AJ109" s="612"/>
    </row>
    <row r="110" spans="1:36" x14ac:dyDescent="0.25">
      <c r="A110" s="540" t="s">
        <v>393</v>
      </c>
      <c r="B110" s="521" t="s">
        <v>1122</v>
      </c>
      <c r="C110" s="521" t="s">
        <v>1123</v>
      </c>
      <c r="D110" s="521">
        <f>C37</f>
        <v>2.81</v>
      </c>
      <c r="E110" s="521">
        <f>C39</f>
        <v>1.605</v>
      </c>
      <c r="F110" s="521">
        <f>C41</f>
        <v>0.08</v>
      </c>
      <c r="G110" s="521">
        <f>C38</f>
        <v>2.1267142857142858</v>
      </c>
      <c r="H110" s="521">
        <f>D110</f>
        <v>2.81</v>
      </c>
      <c r="I110" s="521">
        <f>E110</f>
        <v>1.605</v>
      </c>
      <c r="J110" s="521">
        <f>E110</f>
        <v>1.605</v>
      </c>
      <c r="K110" s="521">
        <f>F110</f>
        <v>0.08</v>
      </c>
      <c r="L110" s="521"/>
    </row>
    <row r="113" spans="1:32" x14ac:dyDescent="0.25">
      <c r="D113" s="521"/>
    </row>
    <row r="116" spans="1:32" x14ac:dyDescent="0.25">
      <c r="AB116" s="629"/>
      <c r="AC116" s="629"/>
      <c r="AD116" s="629"/>
      <c r="AE116" s="630"/>
    </row>
    <row r="117" spans="1:32" x14ac:dyDescent="0.25">
      <c r="AB117" s="629"/>
      <c r="AC117" s="629"/>
      <c r="AD117" s="629"/>
      <c r="AE117" s="630"/>
    </row>
    <row r="118" spans="1:32" ht="21" x14ac:dyDescent="0.35">
      <c r="B118" s="442" t="s">
        <v>1572</v>
      </c>
    </row>
    <row r="120" spans="1:32" x14ac:dyDescent="0.25">
      <c r="A120" s="596"/>
      <c r="B120" s="596"/>
      <c r="C120" s="623"/>
      <c r="D120" s="623"/>
      <c r="E120" s="624" t="s">
        <v>1537</v>
      </c>
      <c r="F120" s="625"/>
      <c r="G120" s="625">
        <v>2017</v>
      </c>
      <c r="H120" s="625">
        <v>2018</v>
      </c>
      <c r="I120" s="625">
        <v>2019</v>
      </c>
      <c r="J120" s="625">
        <v>2020</v>
      </c>
      <c r="L120" s="623"/>
      <c r="M120" s="623"/>
      <c r="N120" s="626"/>
      <c r="O120" s="626"/>
      <c r="P120" s="598"/>
      <c r="Q120" s="596"/>
      <c r="R120" s="596"/>
      <c r="S120" s="596"/>
      <c r="T120" s="596" t="s">
        <v>1393</v>
      </c>
    </row>
    <row r="121" spans="1:32" ht="23.25" x14ac:dyDescent="0.25">
      <c r="B121" s="599"/>
      <c r="C121" s="622" t="s">
        <v>1513</v>
      </c>
      <c r="D121" s="600" t="s">
        <v>1538</v>
      </c>
      <c r="E121" s="600" t="s">
        <v>1539</v>
      </c>
      <c r="F121" s="597" t="s">
        <v>919</v>
      </c>
      <c r="G121" s="600" t="str">
        <f>"ACT_BND~FX~"&amp;G120</f>
        <v>ACT_BND~FX~2017</v>
      </c>
      <c r="H121" s="600" t="str">
        <f t="shared" ref="H121:J121" si="14">"ACT_BND~FX~"&amp;H120</f>
        <v>ACT_BND~FX~2018</v>
      </c>
      <c r="I121" s="600" t="str">
        <f t="shared" si="14"/>
        <v>ACT_BND~FX~2019</v>
      </c>
      <c r="J121" s="600" t="str">
        <f t="shared" si="14"/>
        <v>ACT_BND~FX~2020</v>
      </c>
      <c r="K121" s="601" t="s">
        <v>1540</v>
      </c>
      <c r="L121" s="601" t="s">
        <v>1542</v>
      </c>
      <c r="M121" s="601" t="s">
        <v>1541</v>
      </c>
      <c r="N121" s="598" t="s">
        <v>902</v>
      </c>
      <c r="O121" s="598" t="s">
        <v>902</v>
      </c>
      <c r="P121" s="598" t="s">
        <v>902</v>
      </c>
      <c r="Q121" s="598" t="s">
        <v>902</v>
      </c>
      <c r="R121" s="598" t="s">
        <v>902</v>
      </c>
      <c r="S121" s="598" t="s">
        <v>902</v>
      </c>
      <c r="T121" s="598" t="str">
        <f>"ENV_ACT~"&amp;T120</f>
        <v>ENV_ACT~CO2SP</v>
      </c>
    </row>
    <row r="122" spans="1:32" x14ac:dyDescent="0.25">
      <c r="A122" t="s">
        <v>0</v>
      </c>
      <c r="B122" s="596"/>
      <c r="C122" t="s">
        <v>169</v>
      </c>
      <c r="D122" t="s">
        <v>1609</v>
      </c>
      <c r="E122" s="602"/>
      <c r="F122" s="603"/>
      <c r="K122" s="603"/>
      <c r="L122" s="603"/>
      <c r="M122" s="603"/>
      <c r="N122" s="606">
        <f>R104</f>
        <v>4.3302170790299686</v>
      </c>
      <c r="O122" s="596"/>
      <c r="P122" s="605"/>
      <c r="Q122" s="596"/>
      <c r="R122" s="596"/>
      <c r="S122" s="596"/>
    </row>
    <row r="123" spans="1:32" x14ac:dyDescent="0.25">
      <c r="B123" s="596"/>
      <c r="D123" t="s">
        <v>38</v>
      </c>
      <c r="E123" s="602"/>
      <c r="F123" s="603"/>
      <c r="K123" s="603"/>
      <c r="L123" s="603"/>
      <c r="M123" s="603"/>
      <c r="N123" s="605"/>
      <c r="O123" s="607">
        <f>S104</f>
        <v>2.0996782148442206</v>
      </c>
      <c r="P123" s="605"/>
      <c r="Q123" s="596"/>
      <c r="R123" s="596"/>
      <c r="S123" s="596"/>
    </row>
    <row r="124" spans="1:32" x14ac:dyDescent="0.25">
      <c r="B124" s="596"/>
      <c r="D124" t="s">
        <v>42</v>
      </c>
      <c r="E124" s="602"/>
      <c r="F124" s="603"/>
      <c r="K124" s="603"/>
      <c r="L124" s="603"/>
      <c r="M124" s="603"/>
      <c r="N124" s="605"/>
      <c r="O124" s="605"/>
      <c r="P124" s="607">
        <f>T104</f>
        <v>8.8757836125478331</v>
      </c>
      <c r="Q124" s="596"/>
      <c r="R124" s="596"/>
      <c r="S124" s="596"/>
    </row>
    <row r="125" spans="1:32" x14ac:dyDescent="0.25">
      <c r="B125" s="596"/>
      <c r="D125" t="s">
        <v>1398</v>
      </c>
      <c r="E125" s="602"/>
      <c r="F125" s="603"/>
      <c r="K125" s="603"/>
      <c r="L125" s="603"/>
      <c r="M125" s="603"/>
      <c r="N125" s="596"/>
      <c r="O125" s="596"/>
      <c r="P125" s="596"/>
      <c r="Q125" s="609">
        <f>V104</f>
        <v>0.59433505502672301</v>
      </c>
      <c r="R125" s="596"/>
      <c r="S125" s="596"/>
    </row>
    <row r="126" spans="1:32" x14ac:dyDescent="0.25">
      <c r="D126" t="s">
        <v>1262</v>
      </c>
      <c r="E126" s="602"/>
      <c r="F126" s="604"/>
      <c r="K126" s="605"/>
      <c r="L126" s="605"/>
      <c r="M126" s="605"/>
      <c r="Q126" s="605"/>
      <c r="R126" s="610">
        <f>W104</f>
        <v>3.8314510321037716</v>
      </c>
      <c r="S126" s="605"/>
    </row>
    <row r="127" spans="1:32" x14ac:dyDescent="0.25">
      <c r="D127" s="602"/>
      <c r="E127" s="99" t="s">
        <v>40</v>
      </c>
      <c r="F127" s="604"/>
      <c r="G127" s="287">
        <f>I24</f>
        <v>3.0330810810810807</v>
      </c>
      <c r="H127" s="287">
        <f t="shared" ref="H127:J127" si="15">J24</f>
        <v>3.2032972972972971</v>
      </c>
      <c r="I127" s="287">
        <f t="shared" si="15"/>
        <v>3.0300947810555652</v>
      </c>
      <c r="J127" s="287">
        <f t="shared" si="15"/>
        <v>3.0300947810555652</v>
      </c>
      <c r="K127" s="604">
        <f>I14</f>
        <v>4.9000000000000004</v>
      </c>
      <c r="L127" s="604">
        <v>2</v>
      </c>
      <c r="M127" s="604">
        <v>0</v>
      </c>
      <c r="Q127" s="605"/>
      <c r="R127" s="596"/>
      <c r="S127" s="596"/>
      <c r="T127">
        <f>C45</f>
        <v>2.81</v>
      </c>
      <c r="X127" s="612"/>
      <c r="Y127" s="612"/>
      <c r="Z127" s="612"/>
      <c r="AA127" s="612"/>
      <c r="AB127" s="612"/>
      <c r="AC127" s="612"/>
      <c r="AD127" s="612"/>
      <c r="AE127" s="612"/>
      <c r="AF127" s="612"/>
    </row>
    <row r="128" spans="1:32" x14ac:dyDescent="0.25">
      <c r="D128" s="608"/>
      <c r="E128" s="99" t="s">
        <v>1485</v>
      </c>
      <c r="F128" s="604"/>
      <c r="K128" s="604"/>
      <c r="L128" s="604"/>
      <c r="M128" s="604"/>
      <c r="Q128" s="605"/>
      <c r="S128" s="596">
        <v>0.3</v>
      </c>
    </row>
    <row r="129" spans="1:20" x14ac:dyDescent="0.25">
      <c r="A129" t="s">
        <v>1525</v>
      </c>
      <c r="C129" t="s">
        <v>174</v>
      </c>
      <c r="D129" t="s">
        <v>1609</v>
      </c>
      <c r="E129" s="602"/>
      <c r="F129" s="604"/>
      <c r="K129" s="604"/>
      <c r="L129" s="604"/>
      <c r="M129" s="604"/>
      <c r="N129" s="610">
        <f>R105</f>
        <v>20.596584135938251</v>
      </c>
      <c r="O129" s="605"/>
      <c r="P129" s="607"/>
      <c r="Q129" s="605"/>
      <c r="R129" s="596"/>
      <c r="S129" s="596"/>
    </row>
    <row r="130" spans="1:20" x14ac:dyDescent="0.25">
      <c r="D130" t="s">
        <v>38</v>
      </c>
      <c r="E130" s="602"/>
      <c r="F130" s="604"/>
      <c r="K130" s="604"/>
      <c r="L130" s="604"/>
      <c r="M130" s="604"/>
      <c r="N130" s="604"/>
      <c r="O130" s="604">
        <f>S105</f>
        <v>4.8574938650306745</v>
      </c>
      <c r="P130" s="596"/>
      <c r="Q130" s="596"/>
      <c r="R130" s="596"/>
      <c r="S130" s="596"/>
    </row>
    <row r="131" spans="1:20" x14ac:dyDescent="0.25">
      <c r="D131" t="s">
        <v>1262</v>
      </c>
      <c r="E131" s="602"/>
      <c r="R131" s="287">
        <f>W105</f>
        <v>3.8314510321037716</v>
      </c>
      <c r="T131" s="268">
        <f>C48</f>
        <v>1.605</v>
      </c>
    </row>
    <row r="132" spans="1:20" x14ac:dyDescent="0.25">
      <c r="D132" s="602"/>
      <c r="E132" s="99" t="s">
        <v>40</v>
      </c>
      <c r="G132" s="287">
        <f>I26</f>
        <v>0.75891891891891894</v>
      </c>
      <c r="H132" s="287">
        <f t="shared" ref="H132:J132" si="16">J26</f>
        <v>0.80270270270270283</v>
      </c>
      <c r="I132" s="287">
        <f t="shared" si="16"/>
        <v>0.80270270270270283</v>
      </c>
      <c r="J132" s="287">
        <f t="shared" si="16"/>
        <v>0.76492845786963448</v>
      </c>
      <c r="K132">
        <f>I16</f>
        <v>1.44</v>
      </c>
      <c r="L132">
        <f>V16</f>
        <v>1.44</v>
      </c>
      <c r="M132">
        <f>Z16</f>
        <v>0</v>
      </c>
    </row>
    <row r="133" spans="1:20" x14ac:dyDescent="0.25">
      <c r="A133" t="s">
        <v>1524</v>
      </c>
      <c r="B133" s="605"/>
      <c r="C133" t="s">
        <v>171</v>
      </c>
      <c r="D133" t="s">
        <v>1609</v>
      </c>
      <c r="E133" s="602"/>
      <c r="N133" s="287">
        <f>R107</f>
        <v>17.2</v>
      </c>
    </row>
    <row r="134" spans="1:20" x14ac:dyDescent="0.25">
      <c r="D134" t="s">
        <v>38</v>
      </c>
      <c r="E134" s="602"/>
      <c r="O134" s="287">
        <f>S107</f>
        <v>1.728</v>
      </c>
    </row>
    <row r="135" spans="1:20" x14ac:dyDescent="0.25">
      <c r="D135" t="s">
        <v>42</v>
      </c>
      <c r="E135" s="602"/>
      <c r="L135" s="327"/>
      <c r="M135" s="327"/>
      <c r="N135" s="327"/>
      <c r="O135" s="327"/>
      <c r="P135" s="327">
        <f>T107</f>
        <v>2.6</v>
      </c>
      <c r="Q135" s="327"/>
    </row>
    <row r="136" spans="1:20" x14ac:dyDescent="0.25">
      <c r="D136" t="s">
        <v>1398</v>
      </c>
      <c r="E136" s="602"/>
      <c r="Q136" s="287">
        <f>V107</f>
        <v>0.21697550364662166</v>
      </c>
    </row>
    <row r="137" spans="1:20" x14ac:dyDescent="0.25">
      <c r="D137" t="s">
        <v>1262</v>
      </c>
      <c r="E137" s="602"/>
      <c r="R137" s="287">
        <f>W107</f>
        <v>0.406700668706789</v>
      </c>
    </row>
    <row r="138" spans="1:20" x14ac:dyDescent="0.25">
      <c r="D138" s="602"/>
      <c r="E138" s="99" t="s">
        <v>40</v>
      </c>
      <c r="G138" s="287">
        <f>I25</f>
        <v>1.1180000000000001</v>
      </c>
      <c r="H138" s="287">
        <f t="shared" ref="H138:J138" si="17">J25</f>
        <v>1.0860000000000001</v>
      </c>
      <c r="I138" s="287">
        <f t="shared" si="17"/>
        <v>1.0860000000000001</v>
      </c>
      <c r="J138" s="287">
        <f t="shared" si="17"/>
        <v>0</v>
      </c>
      <c r="K138">
        <f>I15</f>
        <v>1.2400000000000002</v>
      </c>
      <c r="L138">
        <f>V15</f>
        <v>1.2400000000000002</v>
      </c>
      <c r="M138">
        <f>Z15</f>
        <v>0</v>
      </c>
      <c r="T138" s="268">
        <f>C47</f>
        <v>2.1267142857142858</v>
      </c>
    </row>
    <row r="139" spans="1:20" x14ac:dyDescent="0.25">
      <c r="A139" t="s">
        <v>1523</v>
      </c>
      <c r="B139" s="605"/>
      <c r="C139" t="s">
        <v>178</v>
      </c>
      <c r="D139" t="s">
        <v>1609</v>
      </c>
      <c r="N139" s="287">
        <f>R108</f>
        <v>20.61</v>
      </c>
    </row>
    <row r="140" spans="1:20" x14ac:dyDescent="0.25">
      <c r="D140" t="s">
        <v>38</v>
      </c>
      <c r="O140" s="287">
        <f>S108</f>
        <v>20.61</v>
      </c>
    </row>
    <row r="141" spans="1:20" x14ac:dyDescent="0.25">
      <c r="D141" t="s">
        <v>1262</v>
      </c>
      <c r="P141" s="287">
        <f>W108</f>
        <v>3.4349999999999996</v>
      </c>
    </row>
    <row r="142" spans="1:20" x14ac:dyDescent="0.25">
      <c r="E142" s="99" t="s">
        <v>40</v>
      </c>
      <c r="G142" s="287">
        <f>I27</f>
        <v>0</v>
      </c>
      <c r="H142" s="287">
        <f t="shared" ref="H142:J142" si="18">J27</f>
        <v>0</v>
      </c>
      <c r="I142" s="287">
        <f t="shared" si="18"/>
        <v>0</v>
      </c>
      <c r="J142" s="287">
        <f t="shared" si="18"/>
        <v>0</v>
      </c>
      <c r="K142" s="301">
        <f>I17</f>
        <v>1</v>
      </c>
      <c r="L142">
        <f>V17</f>
        <v>0</v>
      </c>
      <c r="T142">
        <f>C51</f>
        <v>1.54</v>
      </c>
    </row>
    <row r="143" spans="1:20" x14ac:dyDescent="0.25">
      <c r="C143" t="s">
        <v>180</v>
      </c>
      <c r="D143" t="s">
        <v>38</v>
      </c>
      <c r="N143" s="287">
        <f>S106</f>
        <v>4.0884341801385684</v>
      </c>
    </row>
    <row r="144" spans="1:20" x14ac:dyDescent="0.25">
      <c r="D144" t="s">
        <v>1398</v>
      </c>
      <c r="O144" s="287">
        <f>V106</f>
        <v>0.70602057094563631</v>
      </c>
    </row>
    <row r="145" spans="1:20" x14ac:dyDescent="0.25">
      <c r="A145" t="s">
        <v>1522</v>
      </c>
      <c r="B145" s="596"/>
      <c r="D145" t="s">
        <v>1262</v>
      </c>
      <c r="P145" s="287">
        <f>W106</f>
        <v>0.69427752927902087</v>
      </c>
    </row>
    <row r="146" spans="1:20" x14ac:dyDescent="0.25">
      <c r="E146" s="99" t="s">
        <v>40</v>
      </c>
      <c r="G146">
        <f>I18</f>
        <v>1.7200000000000002</v>
      </c>
      <c r="H146">
        <f t="shared" ref="H146:J146" si="19">J18</f>
        <v>1.7200000000000002</v>
      </c>
      <c r="I146">
        <f t="shared" si="19"/>
        <v>1.7200000000000002</v>
      </c>
      <c r="J146">
        <f t="shared" si="19"/>
        <v>1.7200000000000002</v>
      </c>
      <c r="K146">
        <f>I18</f>
        <v>1.7200000000000002</v>
      </c>
      <c r="L146">
        <f>V18</f>
        <v>0</v>
      </c>
      <c r="T146">
        <f>C52</f>
        <v>0.08</v>
      </c>
    </row>
    <row r="147" spans="1:20" x14ac:dyDescent="0.25">
      <c r="C147" s="99"/>
    </row>
    <row r="154" spans="1:20" ht="21" x14ac:dyDescent="0.35">
      <c r="B154" s="442" t="s">
        <v>1565</v>
      </c>
      <c r="G154" s="18" t="s">
        <v>1568</v>
      </c>
      <c r="H154" s="18"/>
      <c r="I154" s="18"/>
      <c r="J154" s="18"/>
      <c r="K154" s="18"/>
      <c r="L154" s="18"/>
      <c r="M154" s="18" t="s">
        <v>393</v>
      </c>
      <c r="N154" s="18"/>
      <c r="O154" s="18" t="s">
        <v>738</v>
      </c>
    </row>
    <row r="155" spans="1:20" x14ac:dyDescent="0.25">
      <c r="C155" s="623"/>
      <c r="D155" s="623"/>
      <c r="E155" s="624" t="s">
        <v>1537</v>
      </c>
      <c r="F155" s="625"/>
      <c r="G155" s="626"/>
      <c r="H155" s="626"/>
      <c r="I155" s="598"/>
      <c r="J155" s="596"/>
      <c r="K155" s="596"/>
      <c r="L155" s="596"/>
      <c r="M155" s="596" t="s">
        <v>1393</v>
      </c>
    </row>
    <row r="156" spans="1:20" x14ac:dyDescent="0.25">
      <c r="C156" s="622" t="s">
        <v>1513</v>
      </c>
      <c r="D156" s="600" t="s">
        <v>1538</v>
      </c>
      <c r="E156" s="600" t="s">
        <v>1539</v>
      </c>
      <c r="F156" s="597" t="s">
        <v>919</v>
      </c>
      <c r="G156" s="598" t="s">
        <v>902</v>
      </c>
      <c r="H156" s="598" t="s">
        <v>902</v>
      </c>
      <c r="I156" s="598" t="s">
        <v>902</v>
      </c>
      <c r="J156" s="598" t="s">
        <v>902</v>
      </c>
      <c r="K156" s="598" t="s">
        <v>902</v>
      </c>
      <c r="L156" s="598" t="s">
        <v>902</v>
      </c>
      <c r="M156" s="598" t="str">
        <f>"ENV_ACT~"&amp;M155</f>
        <v>ENV_ACT~CO2SP</v>
      </c>
      <c r="N156" s="598" t="s">
        <v>1569</v>
      </c>
      <c r="O156" s="598" t="s">
        <v>1030</v>
      </c>
      <c r="P156" s="598" t="s">
        <v>910</v>
      </c>
      <c r="Q156" s="598" t="s">
        <v>1028</v>
      </c>
      <c r="T156" s="598"/>
    </row>
    <row r="157" spans="1:20" x14ac:dyDescent="0.25">
      <c r="C157" t="s">
        <v>538</v>
      </c>
      <c r="D157" t="s">
        <v>1609</v>
      </c>
      <c r="E157" s="602"/>
      <c r="F157" s="603"/>
      <c r="G157" s="606">
        <v>20.407577497129733</v>
      </c>
      <c r="H157" s="596"/>
      <c r="I157" s="605"/>
      <c r="J157" s="596"/>
      <c r="K157" s="596"/>
      <c r="L157" s="596"/>
      <c r="T157" s="632"/>
    </row>
    <row r="158" spans="1:20" x14ac:dyDescent="0.25">
      <c r="D158" t="s">
        <v>38</v>
      </c>
      <c r="E158" s="602"/>
      <c r="F158" s="603"/>
      <c r="G158" s="605"/>
      <c r="H158" s="607">
        <v>4.0379205223880605</v>
      </c>
      <c r="I158" s="605"/>
      <c r="J158" s="596"/>
      <c r="K158" s="596"/>
      <c r="L158" s="596"/>
    </row>
    <row r="159" spans="1:20" x14ac:dyDescent="0.25">
      <c r="D159" t="s">
        <v>42</v>
      </c>
      <c r="E159" s="602"/>
      <c r="F159" s="603"/>
      <c r="G159" s="605"/>
      <c r="H159" s="605"/>
      <c r="I159" s="607">
        <v>12.360988518943744</v>
      </c>
      <c r="J159" s="596"/>
      <c r="K159" s="596"/>
      <c r="L159" s="596"/>
    </row>
    <row r="160" spans="1:20" x14ac:dyDescent="0.25">
      <c r="D160" t="s">
        <v>1398</v>
      </c>
      <c r="E160" s="602"/>
      <c r="F160" s="603"/>
      <c r="G160" s="596"/>
      <c r="H160" s="596"/>
      <c r="I160" s="596"/>
      <c r="J160" s="609">
        <f>Q125</f>
        <v>0.59433505502672301</v>
      </c>
      <c r="K160" s="596"/>
      <c r="L160" s="596"/>
    </row>
    <row r="161" spans="3:17" x14ac:dyDescent="0.25">
      <c r="D161" t="s">
        <v>1262</v>
      </c>
      <c r="E161" s="602"/>
      <c r="F161" s="604"/>
      <c r="J161" s="605"/>
      <c r="K161" s="610">
        <f>R126</f>
        <v>3.8314510321037716</v>
      </c>
      <c r="L161" s="605"/>
    </row>
    <row r="162" spans="3:17" x14ac:dyDescent="0.25">
      <c r="D162" s="602"/>
      <c r="E162" s="99" t="s">
        <v>40</v>
      </c>
      <c r="F162" s="604"/>
      <c r="J162" s="605"/>
      <c r="K162" s="596"/>
      <c r="L162" s="596"/>
      <c r="M162">
        <f>T127</f>
        <v>2.81</v>
      </c>
      <c r="O162" s="435">
        <f>C69</f>
        <v>4132.8716804986489</v>
      </c>
      <c r="P162" s="435">
        <f>C63</f>
        <v>4099.6387421612053</v>
      </c>
      <c r="Q162" s="435">
        <f>H101</f>
        <v>20</v>
      </c>
    </row>
    <row r="163" spans="3:17" x14ac:dyDescent="0.25">
      <c r="D163" s="608"/>
      <c r="E163" s="99" t="s">
        <v>1485</v>
      </c>
      <c r="F163" s="604"/>
      <c r="J163" s="605"/>
      <c r="L163" s="596">
        <v>0.3</v>
      </c>
    </row>
    <row r="164" spans="3:17" x14ac:dyDescent="0.25">
      <c r="C164" t="s">
        <v>540</v>
      </c>
      <c r="D164" t="s">
        <v>38</v>
      </c>
      <c r="E164" s="602"/>
      <c r="F164" s="604"/>
      <c r="G164">
        <v>5.548</v>
      </c>
      <c r="H164" s="605"/>
      <c r="I164" s="607"/>
      <c r="J164" s="605"/>
      <c r="K164" s="596"/>
      <c r="L164" s="596"/>
    </row>
    <row r="165" spans="3:17" x14ac:dyDescent="0.25">
      <c r="D165" t="s">
        <v>1262</v>
      </c>
      <c r="E165" s="602"/>
      <c r="F165" s="604"/>
      <c r="G165" s="604"/>
      <c r="H165">
        <v>8.9059999999999988</v>
      </c>
      <c r="I165" s="596"/>
      <c r="J165" s="596"/>
      <c r="K165" s="596"/>
      <c r="L165" s="596"/>
    </row>
    <row r="166" spans="3:17" x14ac:dyDescent="0.25">
      <c r="D166" t="s">
        <v>1398</v>
      </c>
      <c r="E166" s="602"/>
      <c r="I166">
        <v>0.14599999999999999</v>
      </c>
      <c r="K166" s="287"/>
      <c r="M166" s="268"/>
    </row>
    <row r="167" spans="3:17" x14ac:dyDescent="0.25">
      <c r="D167" s="602"/>
      <c r="E167" s="99" t="s">
        <v>40</v>
      </c>
      <c r="M167">
        <v>1.605</v>
      </c>
      <c r="O167" s="268">
        <f>C71</f>
        <v>3433.1135028649592</v>
      </c>
      <c r="P167" s="435">
        <f>C64</f>
        <v>4470.5528012602799</v>
      </c>
      <c r="Q167" s="435">
        <f>I101</f>
        <v>20</v>
      </c>
    </row>
    <row r="168" spans="3:17" x14ac:dyDescent="0.25">
      <c r="C168" s="99" t="s">
        <v>541</v>
      </c>
      <c r="D168" t="s">
        <v>38</v>
      </c>
      <c r="G168" s="287">
        <f>N143</f>
        <v>4.0884341801385684</v>
      </c>
    </row>
    <row r="169" spans="3:17" x14ac:dyDescent="0.25">
      <c r="D169" t="s">
        <v>1398</v>
      </c>
      <c r="H169" s="287">
        <f>O144</f>
        <v>0.70602057094563631</v>
      </c>
    </row>
    <row r="170" spans="3:17" x14ac:dyDescent="0.25">
      <c r="D170" t="s">
        <v>1262</v>
      </c>
      <c r="I170" s="287">
        <f>P145</f>
        <v>0.69427752927902087</v>
      </c>
    </row>
    <row r="171" spans="3:17" x14ac:dyDescent="0.25">
      <c r="E171" s="99" t="s">
        <v>40</v>
      </c>
      <c r="M171">
        <f>T146</f>
        <v>0.08</v>
      </c>
      <c r="O171" s="268">
        <f>C72</f>
        <v>2530.0543516740895</v>
      </c>
      <c r="P171" s="435">
        <f>C66</f>
        <v>6120.6076128011382</v>
      </c>
      <c r="Q171" s="435">
        <f>K101</f>
        <v>20</v>
      </c>
    </row>
    <row r="172" spans="3:17" x14ac:dyDescent="0.25">
      <c r="E172" s="602"/>
      <c r="K172" s="287"/>
    </row>
    <row r="173" spans="3:17" x14ac:dyDescent="0.25">
      <c r="D173" s="602"/>
      <c r="E173" s="99"/>
      <c r="M173" s="268"/>
    </row>
    <row r="174" spans="3:17" x14ac:dyDescent="0.25">
      <c r="G174" s="287"/>
    </row>
    <row r="175" spans="3:17" x14ac:dyDescent="0.25">
      <c r="H175" s="287"/>
    </row>
    <row r="176" spans="3:17" x14ac:dyDescent="0.25">
      <c r="I176" s="287"/>
    </row>
    <row r="177" spans="5:5" x14ac:dyDescent="0.25">
      <c r="E177" s="99"/>
    </row>
  </sheetData>
  <mergeCells count="4">
    <mergeCell ref="D93:G93"/>
    <mergeCell ref="H93:M93"/>
    <mergeCell ref="A96:A101"/>
    <mergeCell ref="A103:A108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B77" zoomScale="116" workbookViewId="0">
      <selection activeCell="S119" sqref="S119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456</v>
      </c>
    </row>
    <row r="3" spans="2:24" x14ac:dyDescent="0.25">
      <c r="B3" t="s">
        <v>415</v>
      </c>
      <c r="P3" t="s">
        <v>457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452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453</v>
      </c>
      <c r="R5" t="s">
        <v>14</v>
      </c>
      <c r="S5" t="s">
        <v>12</v>
      </c>
      <c r="T5" t="s">
        <v>454</v>
      </c>
      <c r="U5" t="s">
        <v>153</v>
      </c>
      <c r="V5" t="s">
        <v>455</v>
      </c>
      <c r="W5" t="s">
        <v>324</v>
      </c>
      <c r="X5" s="5" t="s">
        <v>3</v>
      </c>
    </row>
    <row r="6" spans="2:24" ht="15.75" x14ac:dyDescent="0.25">
      <c r="B6" s="338"/>
      <c r="C6" s="24"/>
      <c r="D6" s="24" t="s">
        <v>7</v>
      </c>
      <c r="E6" s="24" t="s">
        <v>9</v>
      </c>
      <c r="F6" s="24"/>
      <c r="G6" s="24" t="s">
        <v>8</v>
      </c>
      <c r="H6" s="24" t="s">
        <v>138</v>
      </c>
      <c r="I6" s="24" t="s">
        <v>10</v>
      </c>
      <c r="L6" s="5"/>
      <c r="P6" s="4" t="s">
        <v>458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50">
        <v>24.71180046111926</v>
      </c>
    </row>
    <row r="7" spans="2:24" ht="15.75" x14ac:dyDescent="0.25">
      <c r="B7" s="339" t="s">
        <v>139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3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51" t="s">
        <v>459</v>
      </c>
      <c r="X8" s="5"/>
    </row>
    <row r="9" spans="2:24" ht="15.75" x14ac:dyDescent="0.25">
      <c r="B9" s="33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38"/>
      <c r="C10" s="26" t="s">
        <v>132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453</v>
      </c>
      <c r="R10" t="s">
        <v>14</v>
      </c>
      <c r="S10" t="s">
        <v>12</v>
      </c>
      <c r="T10" t="s">
        <v>454</v>
      </c>
      <c r="U10" t="s">
        <v>153</v>
      </c>
      <c r="V10" t="s">
        <v>455</v>
      </c>
      <c r="W10" t="s">
        <v>324</v>
      </c>
      <c r="X10" s="5" t="s">
        <v>3</v>
      </c>
    </row>
    <row r="11" spans="2:24" ht="15.75" x14ac:dyDescent="0.25">
      <c r="B11" s="338"/>
      <c r="C11" s="26" t="s">
        <v>140</v>
      </c>
      <c r="D11" s="52"/>
      <c r="E11" s="52"/>
      <c r="F11" s="52"/>
      <c r="G11" s="52"/>
      <c r="H11" s="52">
        <v>0</v>
      </c>
      <c r="I11" s="52"/>
      <c r="L11" s="5"/>
      <c r="P11" s="4" t="s">
        <v>458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3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3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460</v>
      </c>
      <c r="X14" s="5"/>
    </row>
    <row r="15" spans="2:24" x14ac:dyDescent="0.25">
      <c r="B15" s="4"/>
      <c r="L15" s="5"/>
      <c r="P15" s="4"/>
      <c r="Q15" t="s">
        <v>453</v>
      </c>
      <c r="R15" t="s">
        <v>14</v>
      </c>
      <c r="S15" t="s">
        <v>12</v>
      </c>
      <c r="T15" t="s">
        <v>454</v>
      </c>
      <c r="U15" t="s">
        <v>153</v>
      </c>
      <c r="V15" t="s">
        <v>455</v>
      </c>
      <c r="W15" t="s">
        <v>324</v>
      </c>
      <c r="X15" s="5" t="s">
        <v>3</v>
      </c>
    </row>
    <row r="16" spans="2:24" x14ac:dyDescent="0.25">
      <c r="B16" s="4"/>
      <c r="L16" s="5"/>
      <c r="P16" s="4" t="s">
        <v>458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38"/>
      <c r="L18" s="5"/>
      <c r="P18" s="4" t="s">
        <v>97</v>
      </c>
      <c r="X18" s="5"/>
    </row>
    <row r="19" spans="2:28" ht="15.75" x14ac:dyDescent="0.25">
      <c r="B19" s="340" t="s">
        <v>117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453</v>
      </c>
      <c r="R19" t="s">
        <v>14</v>
      </c>
      <c r="S19" t="s">
        <v>12</v>
      </c>
      <c r="T19" t="s">
        <v>454</v>
      </c>
      <c r="U19" t="s">
        <v>153</v>
      </c>
      <c r="V19" t="s">
        <v>455</v>
      </c>
      <c r="W19" t="s">
        <v>324</v>
      </c>
      <c r="X19" s="5" t="s">
        <v>3</v>
      </c>
    </row>
    <row r="20" spans="2:28" ht="15.75" x14ac:dyDescent="0.25">
      <c r="B20" s="341" t="s">
        <v>124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458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4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4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4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461</v>
      </c>
      <c r="X23" s="5"/>
    </row>
    <row r="24" spans="2:28" ht="15.75" x14ac:dyDescent="0.25">
      <c r="B24" s="342" t="s">
        <v>132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148</v>
      </c>
      <c r="X24" s="5"/>
      <c r="Z24" t="s">
        <v>543</v>
      </c>
    </row>
    <row r="25" spans="2:28" ht="15.75" x14ac:dyDescent="0.25">
      <c r="B25" s="342" t="s">
        <v>133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453</v>
      </c>
      <c r="R25" s="135" t="s">
        <v>14</v>
      </c>
      <c r="S25" s="135" t="s">
        <v>12</v>
      </c>
      <c r="T25" s="135" t="s">
        <v>454</v>
      </c>
      <c r="U25" s="135" t="s">
        <v>153</v>
      </c>
      <c r="V25" s="135" t="s">
        <v>455</v>
      </c>
      <c r="W25" s="135" t="s">
        <v>324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52">
        <f>Q6</f>
        <v>9.7324443858011449</v>
      </c>
      <c r="R26" s="352">
        <f t="shared" ref="R26:W26" si="0">R6</f>
        <v>5.4098168519259584</v>
      </c>
      <c r="S26" s="352">
        <f t="shared" si="0"/>
        <v>8.4486477066739596</v>
      </c>
      <c r="T26" s="352">
        <f t="shared" si="0"/>
        <v>0</v>
      </c>
      <c r="U26" s="352">
        <f t="shared" si="0"/>
        <v>0.59433505502672301</v>
      </c>
      <c r="V26" s="352">
        <f t="shared" si="0"/>
        <v>0.52655646169147485</v>
      </c>
      <c r="W26" s="352">
        <f t="shared" si="0"/>
        <v>0</v>
      </c>
      <c r="X26" s="353">
        <f>SUM(Q26:W26)</f>
        <v>24.71180046111926</v>
      </c>
      <c r="Z26" s="268">
        <f>'Methodology Cap &amp; Prod'!M266</f>
        <v>3.3</v>
      </c>
      <c r="AA26" s="268">
        <f>SUMIFS('Methodology Cap &amp; Prod'!$R$266:$R$270,'Methodology Cap &amp; Prod'!$B$266:$B$270,AB26)</f>
        <v>3.0330810810810807</v>
      </c>
      <c r="AB26" s="129" t="s">
        <v>7</v>
      </c>
    </row>
    <row r="27" spans="2:28" x14ac:dyDescent="0.25">
      <c r="B27" s="4"/>
      <c r="L27" s="5"/>
      <c r="P27" s="117" t="s">
        <v>175</v>
      </c>
      <c r="Q27" s="352">
        <f>Q11</f>
        <v>4.2466739383685805</v>
      </c>
      <c r="R27" s="352">
        <f t="shared" ref="R27:W27" si="1">R11</f>
        <v>17.308347986465257</v>
      </c>
      <c r="S27" s="352">
        <f t="shared" si="1"/>
        <v>0</v>
      </c>
      <c r="T27" s="352">
        <f t="shared" si="1"/>
        <v>0</v>
      </c>
      <c r="U27" s="352">
        <f t="shared" si="1"/>
        <v>0</v>
      </c>
      <c r="V27" s="352">
        <f t="shared" si="1"/>
        <v>2.2897460751661631</v>
      </c>
      <c r="W27" s="352">
        <f t="shared" si="1"/>
        <v>0</v>
      </c>
      <c r="X27" s="353">
        <f>SUM(Q27:W27)</f>
        <v>23.844768000000002</v>
      </c>
      <c r="Z27" s="268">
        <f>'Methodology Cap &amp; Prod'!M267</f>
        <v>1.21</v>
      </c>
      <c r="AA27" s="268">
        <f>SUMIFS('Methodology Cap &amp; Prod'!$R$266:$R$270,'Methodology Cap &amp; Prod'!$B$266:$B$270,AB27)</f>
        <v>0.75891891891891894</v>
      </c>
      <c r="AB27" s="129" t="s">
        <v>9</v>
      </c>
    </row>
    <row r="28" spans="2:28" x14ac:dyDescent="0.25">
      <c r="B28" s="4"/>
      <c r="L28" s="5"/>
      <c r="P28" s="117" t="s">
        <v>462</v>
      </c>
      <c r="Q28" s="352">
        <f t="shared" ref="Q28:W28" si="2">Q16</f>
        <v>0</v>
      </c>
      <c r="R28" s="352">
        <f t="shared" si="2"/>
        <v>5.9178209366664776</v>
      </c>
      <c r="S28" s="352">
        <f t="shared" si="2"/>
        <v>0</v>
      </c>
      <c r="T28" s="352">
        <f t="shared" si="2"/>
        <v>0</v>
      </c>
      <c r="U28" s="352">
        <f t="shared" si="2"/>
        <v>0.70602057094563631</v>
      </c>
      <c r="V28" s="352">
        <f t="shared" si="2"/>
        <v>0.69427752927902087</v>
      </c>
      <c r="W28" s="352">
        <f t="shared" si="2"/>
        <v>0</v>
      </c>
      <c r="X28" s="353">
        <f>SUM(Q28:W28)</f>
        <v>7.3181190368911349</v>
      </c>
      <c r="Z28" s="268">
        <f>'Methodology Cap &amp; Prod'!M268</f>
        <v>0.95</v>
      </c>
      <c r="AA28" s="268">
        <f>SUMIFS('Methodology Cap &amp; Prod'!$R$266:$R$270,'Methodology Cap &amp; Prod'!$B$266:$B$270,AB28)</f>
        <v>1.3200000000000003</v>
      </c>
      <c r="AB28" s="129" t="s">
        <v>8</v>
      </c>
    </row>
    <row r="29" spans="2:28" x14ac:dyDescent="0.25">
      <c r="B29" s="4"/>
      <c r="L29" s="5"/>
      <c r="P29" s="117" t="s">
        <v>97</v>
      </c>
      <c r="Q29" s="352">
        <f>Q20</f>
        <v>10.977729217827143</v>
      </c>
      <c r="R29" s="352">
        <f t="shared" ref="R29:W29" si="3">R20</f>
        <v>9.8647899051720884</v>
      </c>
      <c r="S29" s="352">
        <f>S20</f>
        <v>0</v>
      </c>
      <c r="T29" s="352">
        <f t="shared" si="3"/>
        <v>0</v>
      </c>
      <c r="U29" s="352">
        <f t="shared" si="3"/>
        <v>3.6723488357449594</v>
      </c>
      <c r="V29" s="352">
        <f t="shared" si="3"/>
        <v>0.406700668706789</v>
      </c>
      <c r="W29" s="352">
        <f t="shared" si="3"/>
        <v>0</v>
      </c>
      <c r="X29" s="353">
        <f>SUM(Q29:W29)</f>
        <v>24.921568627450981</v>
      </c>
      <c r="Z29" s="268">
        <f>'Methodology Cap &amp; Prod'!M269</f>
        <v>0.62</v>
      </c>
      <c r="AA29" s="268">
        <f>SUMIFS('Methodology Cap &amp; Prod'!$R$266:$R$270,'Methodology Cap &amp; Prod'!$B$266:$B$270,AB29)</f>
        <v>1.1180000000000001</v>
      </c>
      <c r="AB29" s="129" t="s">
        <v>172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82" t="s">
        <v>187</v>
      </c>
      <c r="L33" s="5"/>
      <c r="Q33" s="18">
        <v>2012</v>
      </c>
      <c r="Z33" t="s">
        <v>547</v>
      </c>
      <c r="AA33" t="s">
        <v>549</v>
      </c>
    </row>
    <row r="34" spans="2:27" x14ac:dyDescent="0.25">
      <c r="B34" s="4" t="s">
        <v>148</v>
      </c>
      <c r="L34" s="5"/>
      <c r="P34" s="117" t="s">
        <v>7</v>
      </c>
      <c r="Q34" s="321">
        <f>Q26*$Z26</f>
        <v>32.11706647314378</v>
      </c>
      <c r="R34" s="321">
        <f t="shared" ref="R34:W34" si="4">R26*$Z26</f>
        <v>17.852395611355661</v>
      </c>
      <c r="S34" s="321">
        <f t="shared" si="4"/>
        <v>27.880537432024067</v>
      </c>
      <c r="T34" s="321">
        <f t="shared" si="4"/>
        <v>0</v>
      </c>
      <c r="U34" s="321">
        <f t="shared" si="4"/>
        <v>1.9613056815881857</v>
      </c>
      <c r="V34" s="321">
        <f t="shared" si="4"/>
        <v>1.7376363235818668</v>
      </c>
      <c r="W34" s="321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81" t="s">
        <v>7</v>
      </c>
      <c r="E35" s="381" t="s">
        <v>9</v>
      </c>
      <c r="F35" s="381"/>
      <c r="G35" s="381" t="s">
        <v>8</v>
      </c>
      <c r="H35" s="381" t="s">
        <v>138</v>
      </c>
      <c r="I35" s="381" t="s">
        <v>10</v>
      </c>
      <c r="L35" s="5"/>
      <c r="P35" s="117" t="s">
        <v>175</v>
      </c>
      <c r="Q35" s="321">
        <f t="shared" ref="Q35:W37" si="5">Q27*$Z27</f>
        <v>5.1384754654259819</v>
      </c>
      <c r="R35" s="321">
        <f t="shared" si="5"/>
        <v>20.943101063622962</v>
      </c>
      <c r="S35" s="321">
        <f t="shared" si="5"/>
        <v>0</v>
      </c>
      <c r="T35" s="321">
        <f t="shared" si="5"/>
        <v>0</v>
      </c>
      <c r="U35" s="321">
        <f t="shared" si="5"/>
        <v>0</v>
      </c>
      <c r="V35" s="321">
        <f t="shared" si="5"/>
        <v>2.7705927509510575</v>
      </c>
      <c r="W35" s="321">
        <f t="shared" si="5"/>
        <v>0</v>
      </c>
      <c r="Z35" t="s">
        <v>548</v>
      </c>
      <c r="AA35" s="285">
        <v>0.5</v>
      </c>
    </row>
    <row r="36" spans="2:27" ht="15.75" x14ac:dyDescent="0.25">
      <c r="B36" s="33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462</v>
      </c>
      <c r="Q36" s="321">
        <f t="shared" si="5"/>
        <v>0</v>
      </c>
      <c r="R36" s="321">
        <f t="shared" si="5"/>
        <v>5.6219298898331536</v>
      </c>
      <c r="S36" s="321">
        <f t="shared" si="5"/>
        <v>0</v>
      </c>
      <c r="T36" s="321">
        <f t="shared" si="5"/>
        <v>0</v>
      </c>
      <c r="U36" s="321">
        <f t="shared" si="5"/>
        <v>0.67071954239835441</v>
      </c>
      <c r="V36" s="321">
        <f t="shared" si="5"/>
        <v>0.65956365281506979</v>
      </c>
      <c r="W36" s="321">
        <f t="shared" si="5"/>
        <v>0</v>
      </c>
    </row>
    <row r="37" spans="2:27" ht="15.75" x14ac:dyDescent="0.25">
      <c r="B37" s="33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97</v>
      </c>
      <c r="Q37" s="321">
        <f t="shared" si="5"/>
        <v>6.8061921150528288</v>
      </c>
      <c r="R37" s="321">
        <f t="shared" si="5"/>
        <v>6.1161697412066944</v>
      </c>
      <c r="S37" s="321">
        <f t="shared" si="5"/>
        <v>0</v>
      </c>
      <c r="T37" s="321">
        <f t="shared" si="5"/>
        <v>0</v>
      </c>
      <c r="U37" s="321">
        <f t="shared" si="5"/>
        <v>2.2768562781618749</v>
      </c>
      <c r="V37" s="321">
        <f t="shared" si="5"/>
        <v>0.2521544145982092</v>
      </c>
      <c r="W37" s="321">
        <f t="shared" si="5"/>
        <v>0</v>
      </c>
    </row>
    <row r="38" spans="2:27" ht="15.75" x14ac:dyDescent="0.25">
      <c r="B38" s="33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8">
        <f>SUM(Q34:Q37)</f>
        <v>44.061734053622594</v>
      </c>
      <c r="R38" s="328">
        <f t="shared" ref="R38:W38" si="7">SUM(R34:R37)</f>
        <v>50.533596306018474</v>
      </c>
      <c r="S38" s="328">
        <f t="shared" si="7"/>
        <v>27.880537432024067</v>
      </c>
      <c r="T38" s="328">
        <f t="shared" si="7"/>
        <v>0</v>
      </c>
      <c r="U38" s="328">
        <f t="shared" si="7"/>
        <v>4.9088815021484145</v>
      </c>
      <c r="V38" s="328">
        <f t="shared" si="7"/>
        <v>5.4199471419462029</v>
      </c>
      <c r="W38" s="328">
        <f t="shared" si="7"/>
        <v>0</v>
      </c>
    </row>
    <row r="39" spans="2:27" ht="15.75" x14ac:dyDescent="0.25">
      <c r="B39" s="338" t="s">
        <v>132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38" t="s">
        <v>133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3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1">
        <f>Q26*$AA26</f>
        <v>29.519292939247229</v>
      </c>
      <c r="R42" s="321">
        <f t="shared" ref="R42:W42" si="9">R26*$AA26</f>
        <v>16.408413145690233</v>
      </c>
      <c r="S42" s="321">
        <f t="shared" si="9"/>
        <v>25.625433519831848</v>
      </c>
      <c r="T42" s="321">
        <f t="shared" si="9"/>
        <v>0</v>
      </c>
      <c r="U42" s="321">
        <f t="shared" si="9"/>
        <v>1.8026664112248365</v>
      </c>
      <c r="V42" s="321">
        <f t="shared" si="9"/>
        <v>1.5970884420774072</v>
      </c>
      <c r="W42" s="321">
        <f t="shared" si="9"/>
        <v>0</v>
      </c>
    </row>
    <row r="43" spans="2:27" x14ac:dyDescent="0.25">
      <c r="B43" s="4"/>
      <c r="C43" s="135" t="s">
        <v>453</v>
      </c>
      <c r="D43" s="135" t="s">
        <v>14</v>
      </c>
      <c r="E43" s="135" t="s">
        <v>12</v>
      </c>
      <c r="F43" s="135" t="s">
        <v>454</v>
      </c>
      <c r="G43" s="135" t="s">
        <v>153</v>
      </c>
      <c r="H43" s="135" t="s">
        <v>455</v>
      </c>
      <c r="I43" s="135" t="s">
        <v>324</v>
      </c>
      <c r="L43" s="5"/>
      <c r="P43" s="117" t="s">
        <v>175</v>
      </c>
      <c r="Q43" s="321">
        <f t="shared" ref="Q43:W45" si="10">Q27*$AA27</f>
        <v>3.2228811943078308</v>
      </c>
      <c r="R43" s="321">
        <f t="shared" si="10"/>
        <v>13.135632742160661</v>
      </c>
      <c r="S43" s="321">
        <f t="shared" si="10"/>
        <v>0</v>
      </c>
      <c r="T43" s="321">
        <f t="shared" si="10"/>
        <v>0</v>
      </c>
      <c r="U43" s="321">
        <f t="shared" si="10"/>
        <v>0</v>
      </c>
      <c r="V43" s="321">
        <f t="shared" si="10"/>
        <v>1.7377316159639422</v>
      </c>
      <c r="W43" s="321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462</v>
      </c>
      <c r="Q44" s="321">
        <f t="shared" si="10"/>
        <v>0</v>
      </c>
      <c r="R44" s="321">
        <f t="shared" si="10"/>
        <v>7.8115236363997518</v>
      </c>
      <c r="S44" s="321">
        <f t="shared" si="10"/>
        <v>0</v>
      </c>
      <c r="T44" s="321">
        <f t="shared" si="10"/>
        <v>0</v>
      </c>
      <c r="U44" s="321">
        <f t="shared" si="10"/>
        <v>0.9319471536482401</v>
      </c>
      <c r="V44" s="321">
        <f t="shared" si="10"/>
        <v>0.91644633864830771</v>
      </c>
      <c r="W44" s="321">
        <f t="shared" si="10"/>
        <v>0</v>
      </c>
    </row>
    <row r="45" spans="2:27" x14ac:dyDescent="0.25">
      <c r="B45" s="117" t="s">
        <v>175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97</v>
      </c>
      <c r="Q45" s="321">
        <f t="shared" si="10"/>
        <v>12.273101265530746</v>
      </c>
      <c r="R45" s="321">
        <f t="shared" si="10"/>
        <v>11.028835113982396</v>
      </c>
      <c r="S45" s="321">
        <f t="shared" si="10"/>
        <v>0</v>
      </c>
      <c r="T45" s="321">
        <f t="shared" si="10"/>
        <v>0</v>
      </c>
      <c r="U45" s="321">
        <f t="shared" si="10"/>
        <v>4.1056859983628646</v>
      </c>
      <c r="V45" s="321">
        <f t="shared" si="10"/>
        <v>0.45469134761419017</v>
      </c>
      <c r="W45" s="321">
        <f t="shared" si="10"/>
        <v>0</v>
      </c>
    </row>
    <row r="46" spans="2:27" x14ac:dyDescent="0.25">
      <c r="B46" s="117" t="s">
        <v>462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8">
        <f t="shared" ref="Q46:W46" si="11">SUM(Q42:Q45)</f>
        <v>45.015275399085809</v>
      </c>
      <c r="R46" s="328">
        <f t="shared" si="11"/>
        <v>48.384404638233036</v>
      </c>
      <c r="S46" s="328">
        <f t="shared" si="11"/>
        <v>25.625433519831848</v>
      </c>
      <c r="T46" s="328">
        <f t="shared" si="11"/>
        <v>0</v>
      </c>
      <c r="U46" s="328">
        <f t="shared" si="11"/>
        <v>6.8402995632359413</v>
      </c>
      <c r="V46" s="328">
        <f t="shared" si="11"/>
        <v>4.7059577443038467</v>
      </c>
      <c r="W46" s="328">
        <f t="shared" si="11"/>
        <v>0</v>
      </c>
    </row>
    <row r="47" spans="2:27" x14ac:dyDescent="0.25">
      <c r="B47" s="117" t="s">
        <v>97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546</v>
      </c>
      <c r="R49" s="383">
        <v>17312</v>
      </c>
      <c r="S49" t="s">
        <v>330</v>
      </c>
    </row>
    <row r="50" spans="2:24" x14ac:dyDescent="0.25">
      <c r="P50" t="s">
        <v>398</v>
      </c>
      <c r="R50" s="384">
        <f>R46*1000</f>
        <v>48384.404638233034</v>
      </c>
    </row>
    <row r="51" spans="2:24" x14ac:dyDescent="0.25">
      <c r="B51" t="s">
        <v>484</v>
      </c>
    </row>
    <row r="52" spans="2:24" x14ac:dyDescent="0.25">
      <c r="B52" s="14"/>
      <c r="C52" s="15" t="s">
        <v>486</v>
      </c>
      <c r="D52" s="15"/>
      <c r="E52" s="15" t="s">
        <v>542</v>
      </c>
      <c r="F52" s="15"/>
      <c r="G52" s="3"/>
      <c r="P52" t="s">
        <v>13</v>
      </c>
      <c r="Q52" t="s">
        <v>553</v>
      </c>
      <c r="R52">
        <f>Coke!K17</f>
        <v>2.91</v>
      </c>
      <c r="S52" t="s">
        <v>189</v>
      </c>
    </row>
    <row r="53" spans="2:24" x14ac:dyDescent="0.25">
      <c r="B53" s="4" t="s">
        <v>485</v>
      </c>
      <c r="C53">
        <v>0.753</v>
      </c>
      <c r="E53">
        <f>C53*1000000*3600/1000000000</f>
        <v>2.7107999999999999</v>
      </c>
      <c r="G53" s="5"/>
      <c r="Q53" t="s">
        <v>398</v>
      </c>
      <c r="R53" s="321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554</v>
      </c>
      <c r="R54">
        <v>2.75</v>
      </c>
    </row>
    <row r="56" spans="2:24" x14ac:dyDescent="0.25">
      <c r="B56" t="s">
        <v>520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517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570</v>
      </c>
    </row>
    <row r="60" spans="2:24" x14ac:dyDescent="0.25">
      <c r="B60" s="4" t="s">
        <v>505</v>
      </c>
      <c r="C60" s="1">
        <f>Coke!L86</f>
        <v>3840</v>
      </c>
      <c r="D60" s="1">
        <f>Coke!L85</f>
        <v>11730</v>
      </c>
      <c r="E60" s="301">
        <f>D60/C60</f>
        <v>3.0546875</v>
      </c>
      <c r="G60" s="5"/>
      <c r="Q60" t="s">
        <v>555</v>
      </c>
    </row>
    <row r="61" spans="2:24" x14ac:dyDescent="0.25">
      <c r="B61" s="4" t="s">
        <v>506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453</v>
      </c>
      <c r="R61" s="135" t="s">
        <v>14</v>
      </c>
      <c r="S61" s="135" t="s">
        <v>12</v>
      </c>
      <c r="T61" s="135" t="s">
        <v>454</v>
      </c>
      <c r="U61" s="135" t="s">
        <v>153</v>
      </c>
      <c r="V61" s="135" t="s">
        <v>455</v>
      </c>
      <c r="W61" s="135" t="s">
        <v>324</v>
      </c>
    </row>
    <row r="62" spans="2:24" x14ac:dyDescent="0.25">
      <c r="B62" s="4" t="s">
        <v>507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7">
        <v>9.7324443858011449</v>
      </c>
      <c r="R62" s="327">
        <v>5.4098168519259584</v>
      </c>
      <c r="S62" s="327">
        <v>8.4486477066739596</v>
      </c>
      <c r="T62" s="327">
        <v>0</v>
      </c>
      <c r="U62" s="327">
        <v>0.59433505502672301</v>
      </c>
      <c r="V62" s="327">
        <v>0.52655646169147485</v>
      </c>
      <c r="W62" s="327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175</v>
      </c>
      <c r="Q63" s="327">
        <v>4.2466739383685805</v>
      </c>
      <c r="R63" s="327">
        <v>17.308347986465257</v>
      </c>
      <c r="S63" s="327">
        <v>0</v>
      </c>
      <c r="T63" s="327">
        <v>0</v>
      </c>
      <c r="U63" s="327">
        <v>0</v>
      </c>
      <c r="V63" s="327">
        <v>2.2897460751661631</v>
      </c>
      <c r="W63" s="327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462</v>
      </c>
      <c r="Q64" s="327">
        <v>0</v>
      </c>
      <c r="R64" s="327">
        <v>5.9178209366664776</v>
      </c>
      <c r="S64" s="327">
        <v>0</v>
      </c>
      <c r="T64" s="327">
        <v>0</v>
      </c>
      <c r="U64" s="327">
        <v>0.70602057094563631</v>
      </c>
      <c r="V64" s="327">
        <v>0.69427752927902087</v>
      </c>
      <c r="W64" s="327">
        <v>0</v>
      </c>
      <c r="X64" s="287">
        <f>SUM(Q64:W64)</f>
        <v>7.3181190368911349</v>
      </c>
    </row>
    <row r="65" spans="2:25" x14ac:dyDescent="0.25">
      <c r="B65" s="6" t="s">
        <v>544</v>
      </c>
      <c r="E65" t="s">
        <v>521</v>
      </c>
      <c r="G65" s="5"/>
      <c r="I65" t="s">
        <v>522</v>
      </c>
      <c r="P65" s="117" t="s">
        <v>97</v>
      </c>
      <c r="Q65" s="327">
        <v>10.977729217827143</v>
      </c>
      <c r="R65" s="327">
        <v>9.8647899051720884</v>
      </c>
      <c r="S65" s="327">
        <v>0</v>
      </c>
      <c r="T65" s="327">
        <v>0</v>
      </c>
      <c r="U65" s="327">
        <v>3.6723488357449594</v>
      </c>
      <c r="V65" s="327">
        <v>0.406700668706789</v>
      </c>
      <c r="W65" s="327">
        <v>0</v>
      </c>
      <c r="X65" s="287">
        <f>SUM(Q65:W65)</f>
        <v>24.921568627450981</v>
      </c>
    </row>
    <row r="66" spans="2:25" x14ac:dyDescent="0.25">
      <c r="B66" s="4" t="s">
        <v>505</v>
      </c>
      <c r="C66" s="19">
        <f t="shared" ref="C66:D68" si="12">C60/C$64</f>
        <v>160</v>
      </c>
      <c r="D66" s="19">
        <f t="shared" si="12"/>
        <v>391</v>
      </c>
      <c r="E66" s="363">
        <f>C66/D66</f>
        <v>0.40920716112531969</v>
      </c>
      <c r="G66" s="5"/>
      <c r="I66" s="360">
        <f>'AMSA reports'!C26</f>
        <v>0.74270000000000003</v>
      </c>
      <c r="L66" s="321"/>
      <c r="N66" s="328"/>
    </row>
    <row r="67" spans="2:25" x14ac:dyDescent="0.25">
      <c r="B67" s="4" t="s">
        <v>506</v>
      </c>
      <c r="C67" s="19">
        <f t="shared" si="12"/>
        <v>205</v>
      </c>
      <c r="D67" s="19">
        <f t="shared" si="12"/>
        <v>275</v>
      </c>
      <c r="E67" s="363">
        <f>C67/D67</f>
        <v>0.74545454545454548</v>
      </c>
      <c r="G67" s="5"/>
    </row>
    <row r="68" spans="2:25" x14ac:dyDescent="0.25">
      <c r="B68" s="4" t="s">
        <v>507</v>
      </c>
      <c r="C68" s="19">
        <f>C62/C$64</f>
        <v>180.4257116262487</v>
      </c>
      <c r="D68" s="19">
        <f t="shared" si="12"/>
        <v>295.85945375159446</v>
      </c>
      <c r="E68" s="363">
        <f>C68/D68</f>
        <v>0.60983588436465952</v>
      </c>
      <c r="G68" s="5"/>
      <c r="P68" t="s">
        <v>571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39"/>
      <c r="Q70" s="24" t="s">
        <v>7</v>
      </c>
      <c r="R70" s="24" t="s">
        <v>46</v>
      </c>
      <c r="S70" s="24"/>
      <c r="T70" s="24" t="s">
        <v>8</v>
      </c>
      <c r="U70" s="24" t="s">
        <v>48</v>
      </c>
      <c r="V70" s="24" t="s">
        <v>10</v>
      </c>
      <c r="Y70" s="5"/>
    </row>
    <row r="71" spans="2:25" ht="15.75" x14ac:dyDescent="0.25">
      <c r="P71" s="342" t="s">
        <v>89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42" t="s">
        <v>92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42" t="s">
        <v>96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175</v>
      </c>
      <c r="E74" s="268">
        <f>AA27</f>
        <v>0.75891891891891894</v>
      </c>
      <c r="G74">
        <f>1-G73</f>
        <v>0.20013684570646606</v>
      </c>
      <c r="P74" s="342" t="s">
        <v>112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462</v>
      </c>
      <c r="E75" s="268">
        <f>AA28</f>
        <v>1.3200000000000003</v>
      </c>
      <c r="P75" s="389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97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567</v>
      </c>
    </row>
    <row r="79" spans="2:25" x14ac:dyDescent="0.25">
      <c r="E79" t="s">
        <v>555</v>
      </c>
    </row>
    <row r="80" spans="2:25" x14ac:dyDescent="0.25">
      <c r="E80" s="135" t="s">
        <v>453</v>
      </c>
      <c r="F80" s="135" t="s">
        <v>14</v>
      </c>
      <c r="G80" s="135" t="s">
        <v>12</v>
      </c>
      <c r="H80" s="135" t="s">
        <v>454</v>
      </c>
      <c r="I80" s="135" t="s">
        <v>153</v>
      </c>
      <c r="J80" s="135" t="s">
        <v>455</v>
      </c>
      <c r="K80" s="135" t="s">
        <v>324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7"/>
      <c r="I81" s="327"/>
      <c r="J81" s="327"/>
      <c r="K81" s="327"/>
    </row>
    <row r="82" spans="2:23" x14ac:dyDescent="0.25">
      <c r="D82" s="117" t="s">
        <v>175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7"/>
      <c r="I82" s="327"/>
      <c r="J82" s="327"/>
      <c r="K82" s="327"/>
    </row>
    <row r="83" spans="2:23" x14ac:dyDescent="0.25">
      <c r="D83" s="117" t="s">
        <v>462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7"/>
      <c r="I83" s="327"/>
      <c r="J83" s="327"/>
      <c r="K83" s="327"/>
    </row>
    <row r="84" spans="2:23" x14ac:dyDescent="0.25">
      <c r="D84" s="117" t="s">
        <v>97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7"/>
      <c r="I84" s="327"/>
      <c r="J84" s="327"/>
      <c r="K84" s="327"/>
    </row>
    <row r="87" spans="2:23" x14ac:dyDescent="0.25">
      <c r="D87" t="s">
        <v>568</v>
      </c>
    </row>
    <row r="88" spans="2:23" x14ac:dyDescent="0.25">
      <c r="E88" t="s">
        <v>555</v>
      </c>
    </row>
    <row r="89" spans="2:23" x14ac:dyDescent="0.25">
      <c r="E89" s="135" t="s">
        <v>453</v>
      </c>
      <c r="F89" s="135" t="s">
        <v>14</v>
      </c>
      <c r="G89" s="135" t="s">
        <v>12</v>
      </c>
      <c r="H89" s="135" t="s">
        <v>454</v>
      </c>
      <c r="I89" s="135" t="s">
        <v>153</v>
      </c>
      <c r="J89" s="135" t="s">
        <v>455</v>
      </c>
      <c r="K89" s="135" t="s">
        <v>324</v>
      </c>
    </row>
    <row r="90" spans="2:23" x14ac:dyDescent="0.25">
      <c r="D90" s="117" t="s">
        <v>7</v>
      </c>
      <c r="E90" s="327">
        <f>Q26</f>
        <v>9.7324443858011449</v>
      </c>
      <c r="F90" s="327">
        <f t="shared" ref="F90:K93" si="14">R26</f>
        <v>5.4098168519259584</v>
      </c>
      <c r="G90" s="327">
        <f t="shared" si="14"/>
        <v>8.4486477066739596</v>
      </c>
      <c r="H90" s="327">
        <f t="shared" si="14"/>
        <v>0</v>
      </c>
      <c r="I90" s="327">
        <f t="shared" si="14"/>
        <v>0.59433505502672301</v>
      </c>
      <c r="J90" s="327">
        <f t="shared" si="14"/>
        <v>0.52655646169147485</v>
      </c>
      <c r="K90" s="327">
        <f t="shared" si="14"/>
        <v>0</v>
      </c>
    </row>
    <row r="91" spans="2:23" x14ac:dyDescent="0.25">
      <c r="D91" s="117" t="s">
        <v>175</v>
      </c>
      <c r="E91" s="327">
        <f>Q27</f>
        <v>4.2466739383685805</v>
      </c>
      <c r="F91" s="327">
        <f t="shared" si="14"/>
        <v>17.308347986465257</v>
      </c>
      <c r="G91" s="327">
        <f t="shared" si="14"/>
        <v>0</v>
      </c>
      <c r="H91" s="327">
        <f t="shared" si="14"/>
        <v>0</v>
      </c>
      <c r="I91" s="327">
        <f t="shared" si="14"/>
        <v>0</v>
      </c>
      <c r="J91" s="327">
        <f t="shared" si="14"/>
        <v>2.2897460751661631</v>
      </c>
      <c r="K91" s="327">
        <f t="shared" si="14"/>
        <v>0</v>
      </c>
    </row>
    <row r="92" spans="2:23" x14ac:dyDescent="0.25">
      <c r="D92" s="117" t="s">
        <v>462</v>
      </c>
      <c r="E92" s="327">
        <f>Q28</f>
        <v>0</v>
      </c>
      <c r="F92" s="327">
        <f t="shared" si="14"/>
        <v>5.9178209366664776</v>
      </c>
      <c r="G92" s="327">
        <f t="shared" si="14"/>
        <v>0</v>
      </c>
      <c r="H92" s="327">
        <f t="shared" si="14"/>
        <v>0</v>
      </c>
      <c r="I92" s="327">
        <f t="shared" si="14"/>
        <v>0.70602057094563631</v>
      </c>
      <c r="J92" s="327">
        <f t="shared" si="14"/>
        <v>0.69427752927902087</v>
      </c>
      <c r="K92" s="327">
        <f t="shared" si="14"/>
        <v>0</v>
      </c>
    </row>
    <row r="93" spans="2:23" x14ac:dyDescent="0.25">
      <c r="D93" s="117" t="s">
        <v>97</v>
      </c>
      <c r="E93" s="327">
        <f>Q29</f>
        <v>10.977729217827143</v>
      </c>
      <c r="F93" s="327">
        <f t="shared" si="14"/>
        <v>9.8647899051720884</v>
      </c>
      <c r="G93" s="327">
        <f t="shared" si="14"/>
        <v>0</v>
      </c>
      <c r="H93" s="327">
        <f t="shared" si="14"/>
        <v>0</v>
      </c>
      <c r="I93" s="327">
        <f t="shared" si="14"/>
        <v>3.6723488357449594</v>
      </c>
      <c r="J93" s="327">
        <f t="shared" si="14"/>
        <v>0.406700668706789</v>
      </c>
      <c r="K93" s="327">
        <f t="shared" si="14"/>
        <v>0</v>
      </c>
    </row>
    <row r="94" spans="2:23" x14ac:dyDescent="0.25">
      <c r="P94" t="s">
        <v>556</v>
      </c>
      <c r="R94" s="355" t="s">
        <v>561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90" t="s">
        <v>576</v>
      </c>
      <c r="C96" s="391"/>
      <c r="D96" s="391"/>
      <c r="E96" s="391"/>
      <c r="F96" s="391"/>
      <c r="G96" s="391"/>
      <c r="H96" s="391"/>
      <c r="I96" s="391"/>
      <c r="J96" s="391"/>
      <c r="K96" s="391"/>
      <c r="L96" s="391"/>
      <c r="M96" s="392"/>
      <c r="P96" s="4"/>
      <c r="R96" s="386" t="s">
        <v>557</v>
      </c>
      <c r="S96" s="16" t="s">
        <v>398</v>
      </c>
      <c r="T96" s="16" t="s">
        <v>545</v>
      </c>
      <c r="U96" t="s">
        <v>3</v>
      </c>
      <c r="W96" s="5"/>
    </row>
    <row r="97" spans="2:23" ht="15.75" x14ac:dyDescent="0.25">
      <c r="B97" s="393"/>
      <c r="E97" t="s">
        <v>555</v>
      </c>
      <c r="M97" s="394"/>
      <c r="P97" s="4" t="s">
        <v>14</v>
      </c>
      <c r="Q97" t="s">
        <v>330</v>
      </c>
      <c r="R97" s="387">
        <v>17312</v>
      </c>
      <c r="S97" s="636">
        <f>F114</f>
        <v>17383.575380289374</v>
      </c>
      <c r="T97" s="16"/>
      <c r="U97" s="388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93"/>
      <c r="E98" s="135" t="s">
        <v>453</v>
      </c>
      <c r="F98" s="135" t="s">
        <v>14</v>
      </c>
      <c r="G98" s="135" t="s">
        <v>11</v>
      </c>
      <c r="H98" s="135" t="s">
        <v>454</v>
      </c>
      <c r="I98" s="135" t="s">
        <v>153</v>
      </c>
      <c r="J98" s="135" t="s">
        <v>455</v>
      </c>
      <c r="K98" s="135" t="s">
        <v>324</v>
      </c>
      <c r="L98" s="423" t="s">
        <v>3</v>
      </c>
      <c r="M98" s="394"/>
      <c r="P98" s="4"/>
      <c r="R98" s="386"/>
      <c r="S98" s="16"/>
      <c r="T98" s="16"/>
      <c r="U98" s="388"/>
      <c r="W98" s="5"/>
    </row>
    <row r="99" spans="2:23" x14ac:dyDescent="0.25">
      <c r="B99" s="393" t="s">
        <v>581</v>
      </c>
      <c r="D99" s="117" t="s">
        <v>7</v>
      </c>
      <c r="E99" s="395">
        <f>E81</f>
        <v>4.3302170790299686</v>
      </c>
      <c r="F99" s="395">
        <f>Q74*(1-$R$126)</f>
        <v>2.0996782148442206</v>
      </c>
      <c r="G99" s="395">
        <f>G81</f>
        <v>8.8757836125478331</v>
      </c>
      <c r="H99" s="395"/>
      <c r="I99" s="395">
        <f t="shared" ref="I99:J101" si="15">I90</f>
        <v>0.59433505502672301</v>
      </c>
      <c r="J99" s="395">
        <f>R113</f>
        <v>3.8314510321037716</v>
      </c>
      <c r="K99" s="395"/>
      <c r="L99" s="287">
        <f>SUM(E99:K99)</f>
        <v>19.731464993552517</v>
      </c>
      <c r="M99" s="394"/>
      <c r="P99" s="4"/>
      <c r="R99" s="386" t="s">
        <v>559</v>
      </c>
      <c r="S99" s="16"/>
      <c r="T99" s="16"/>
      <c r="U99" s="388"/>
      <c r="W99" s="5"/>
    </row>
    <row r="100" spans="2:23" x14ac:dyDescent="0.25">
      <c r="B100" s="393" t="s">
        <v>581</v>
      </c>
      <c r="D100" s="117" t="s">
        <v>175</v>
      </c>
      <c r="E100" s="395">
        <f>E82</f>
        <v>20.596584135938251</v>
      </c>
      <c r="F100" s="395">
        <f>SUM(R73:R74)*(1-R126)</f>
        <v>4.8574938650306745</v>
      </c>
      <c r="G100" s="395">
        <f>G82</f>
        <v>0</v>
      </c>
      <c r="H100" s="395"/>
      <c r="I100" s="395">
        <f t="shared" si="15"/>
        <v>0</v>
      </c>
      <c r="J100" s="395">
        <f>J99</f>
        <v>3.8314510321037716</v>
      </c>
      <c r="K100" s="395"/>
      <c r="L100" s="287">
        <f>SUM(E100:K100)</f>
        <v>29.285529033072699</v>
      </c>
      <c r="M100" s="394"/>
      <c r="P100" s="4" t="s">
        <v>13</v>
      </c>
      <c r="Q100" t="s">
        <v>189</v>
      </c>
      <c r="R100" s="386">
        <v>2.91</v>
      </c>
      <c r="S100" s="266">
        <f>E114/24000</f>
        <v>1.9997765360520332</v>
      </c>
      <c r="T100" s="16">
        <v>2.75</v>
      </c>
      <c r="U100" s="388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93" t="s">
        <v>401</v>
      </c>
      <c r="C101" s="285">
        <v>0.2</v>
      </c>
      <c r="D101" s="117" t="s">
        <v>462</v>
      </c>
      <c r="E101" s="395">
        <f>E83</f>
        <v>0</v>
      </c>
      <c r="F101" s="395">
        <f>T75*(1-C101)</f>
        <v>4.0884341801385684</v>
      </c>
      <c r="G101" s="395">
        <f>G83</f>
        <v>0</v>
      </c>
      <c r="H101" s="395"/>
      <c r="I101" s="395">
        <f t="shared" si="15"/>
        <v>0.70602057094563631</v>
      </c>
      <c r="J101" s="395">
        <f t="shared" si="15"/>
        <v>0.69427752927902087</v>
      </c>
      <c r="K101" s="395"/>
      <c r="L101" s="287">
        <f>SUM(E101:K101)</f>
        <v>5.4887322803632257</v>
      </c>
      <c r="M101" s="394"/>
      <c r="P101" s="4"/>
      <c r="R101" s="386"/>
      <c r="S101" s="16"/>
      <c r="T101" s="16"/>
      <c r="U101" s="388"/>
      <c r="W101" s="5"/>
    </row>
    <row r="102" spans="2:23" x14ac:dyDescent="0.25">
      <c r="B102" s="393" t="s">
        <v>584</v>
      </c>
      <c r="C102" s="285">
        <v>0.6</v>
      </c>
      <c r="D102" s="117" t="s">
        <v>97</v>
      </c>
      <c r="E102" s="395">
        <f>E84</f>
        <v>17.2</v>
      </c>
      <c r="F102" s="395">
        <f>U73*C102</f>
        <v>1.728</v>
      </c>
      <c r="G102" s="395">
        <f>G84</f>
        <v>2.6</v>
      </c>
      <c r="H102" s="395"/>
      <c r="I102" s="395">
        <f>N115/1000/E76</f>
        <v>0.21697550364662166</v>
      </c>
      <c r="J102" s="395">
        <f>J93</f>
        <v>0.406700668706789</v>
      </c>
      <c r="K102" s="395"/>
      <c r="L102" s="287">
        <f>SUM(E102:K102)</f>
        <v>22.151676172353415</v>
      </c>
      <c r="M102" s="394"/>
      <c r="P102" s="4"/>
      <c r="R102" s="386" t="s">
        <v>560</v>
      </c>
      <c r="S102" s="16"/>
      <c r="T102" s="16"/>
      <c r="U102" s="388"/>
      <c r="W102" s="5"/>
    </row>
    <row r="103" spans="2:23" x14ac:dyDescent="0.25">
      <c r="B103" s="393"/>
      <c r="D103" s="5" t="s">
        <v>18</v>
      </c>
      <c r="E103" s="395">
        <f>I36</f>
        <v>20.61</v>
      </c>
      <c r="F103" s="395">
        <f>I38</f>
        <v>20.61</v>
      </c>
      <c r="G103" s="395"/>
      <c r="H103" s="395"/>
      <c r="I103" s="395"/>
      <c r="J103" s="395">
        <f>I39</f>
        <v>3.4349999999999996</v>
      </c>
      <c r="K103" s="395"/>
      <c r="L103" s="287">
        <f>SUM(E103:K103)</f>
        <v>44.655000000000001</v>
      </c>
      <c r="M103" s="394"/>
      <c r="P103" s="4" t="s">
        <v>569</v>
      </c>
      <c r="Q103" t="s">
        <v>189</v>
      </c>
      <c r="R103" s="386">
        <v>2.7</v>
      </c>
      <c r="S103" s="266"/>
      <c r="T103" s="16"/>
      <c r="U103" s="388"/>
      <c r="V103" s="17"/>
      <c r="W103" s="5"/>
    </row>
    <row r="104" spans="2:23" ht="15.75" thickBot="1" x14ac:dyDescent="0.3">
      <c r="B104" s="396"/>
      <c r="C104" s="397"/>
      <c r="D104" s="397"/>
      <c r="E104" s="397"/>
      <c r="F104" s="397"/>
      <c r="G104" s="397"/>
      <c r="H104" s="397"/>
      <c r="I104" s="397"/>
      <c r="J104" s="397"/>
      <c r="K104" s="397"/>
      <c r="L104" s="397"/>
      <c r="M104" s="398"/>
      <c r="P104" s="4"/>
      <c r="R104" s="386" t="s">
        <v>565</v>
      </c>
      <c r="S104" s="16"/>
      <c r="T104" s="16"/>
      <c r="U104" s="18"/>
      <c r="W104" s="5"/>
    </row>
    <row r="105" spans="2:23" x14ac:dyDescent="0.25">
      <c r="P105" s="4" t="s">
        <v>562</v>
      </c>
      <c r="Q105" t="s">
        <v>189</v>
      </c>
      <c r="R105" s="269">
        <f>Coke!J51/1000000</f>
        <v>2.0936980769230766</v>
      </c>
      <c r="S105" s="16"/>
      <c r="U105" s="18"/>
      <c r="W105" s="5"/>
    </row>
    <row r="106" spans="2:23" x14ac:dyDescent="0.25">
      <c r="D106" t="s">
        <v>558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453</v>
      </c>
      <c r="F107" s="135" t="s">
        <v>14</v>
      </c>
      <c r="G107" s="135" t="s">
        <v>12</v>
      </c>
      <c r="H107" s="135" t="s">
        <v>454</v>
      </c>
      <c r="I107" s="135" t="s">
        <v>153</v>
      </c>
      <c r="J107" s="135" t="s">
        <v>455</v>
      </c>
      <c r="K107" s="135" t="s">
        <v>324</v>
      </c>
      <c r="P107" s="4" t="s">
        <v>566</v>
      </c>
      <c r="R107" s="269">
        <f>R105</f>
        <v>2.0936980769230766</v>
      </c>
      <c r="S107" s="16">
        <f>G115</f>
        <v>0.99425904516627739</v>
      </c>
      <c r="T107">
        <v>1.43</v>
      </c>
      <c r="U107" s="388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7">
        <f t="shared" ref="E108:K111" si="16">$E73*E99</f>
        <v>13.133899499379977</v>
      </c>
      <c r="F108" s="327">
        <f t="shared" si="16"/>
        <v>6.3684942698021016</v>
      </c>
      <c r="G108" s="327">
        <f t="shared" si="16"/>
        <v>26.920971354988321</v>
      </c>
      <c r="H108" s="327">
        <f t="shared" si="16"/>
        <v>0</v>
      </c>
      <c r="I108" s="327">
        <f t="shared" si="16"/>
        <v>1.8026664112248365</v>
      </c>
      <c r="J108" s="327">
        <f t="shared" si="16"/>
        <v>11.62110163856253</v>
      </c>
      <c r="K108" s="327">
        <f t="shared" si="16"/>
        <v>0</v>
      </c>
      <c r="P108" s="4"/>
      <c r="R108" s="285"/>
      <c r="W108" s="5"/>
    </row>
    <row r="109" spans="2:23" x14ac:dyDescent="0.25">
      <c r="D109" s="117" t="s">
        <v>175</v>
      </c>
      <c r="E109" s="327">
        <f t="shared" si="16"/>
        <v>15.631137365868813</v>
      </c>
      <c r="F109" s="327">
        <f t="shared" si="16"/>
        <v>3.6864439927043606</v>
      </c>
      <c r="G109" s="327">
        <f t="shared" si="16"/>
        <v>0</v>
      </c>
      <c r="H109" s="327">
        <f t="shared" si="16"/>
        <v>0</v>
      </c>
      <c r="I109" s="327">
        <f t="shared" si="16"/>
        <v>0</v>
      </c>
      <c r="J109" s="327">
        <f t="shared" si="16"/>
        <v>2.9077606751749707</v>
      </c>
      <c r="K109" s="327">
        <f t="shared" si="16"/>
        <v>0</v>
      </c>
      <c r="P109" s="7" t="s">
        <v>455</v>
      </c>
      <c r="Q109" s="8" t="s">
        <v>330</v>
      </c>
      <c r="R109">
        <v>15900</v>
      </c>
      <c r="S109" s="591">
        <f>J114</f>
        <v>15900</v>
      </c>
      <c r="T109" s="8"/>
      <c r="U109" s="388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462</v>
      </c>
      <c r="E110" s="327">
        <f t="shared" si="16"/>
        <v>0</v>
      </c>
      <c r="F110" s="327">
        <f t="shared" si="16"/>
        <v>5.3967331177829116</v>
      </c>
      <c r="G110" s="327">
        <f t="shared" si="16"/>
        <v>0</v>
      </c>
      <c r="H110" s="327">
        <f t="shared" si="16"/>
        <v>0</v>
      </c>
      <c r="I110" s="327">
        <f t="shared" si="16"/>
        <v>0.9319471536482401</v>
      </c>
      <c r="J110" s="327">
        <f>$E75*J101</f>
        <v>0.91644633864830771</v>
      </c>
      <c r="K110" s="327">
        <f t="shared" si="16"/>
        <v>0</v>
      </c>
    </row>
    <row r="111" spans="2:23" x14ac:dyDescent="0.25">
      <c r="D111" s="117" t="s">
        <v>97</v>
      </c>
      <c r="E111" s="327">
        <f t="shared" si="16"/>
        <v>19.229600000000001</v>
      </c>
      <c r="F111" s="327">
        <f t="shared" si="16"/>
        <v>1.9319040000000001</v>
      </c>
      <c r="G111" s="327">
        <f t="shared" si="16"/>
        <v>2.9068000000000005</v>
      </c>
      <c r="H111" s="327">
        <f t="shared" si="16"/>
        <v>0</v>
      </c>
      <c r="I111" s="327">
        <f t="shared" si="16"/>
        <v>0.24257861307692305</v>
      </c>
      <c r="J111" s="327">
        <f t="shared" si="16"/>
        <v>0.45469134761419017</v>
      </c>
      <c r="K111" s="327">
        <f t="shared" si="16"/>
        <v>0</v>
      </c>
      <c r="R111" s="321">
        <f>R109/1000-J110-J111</f>
        <v>14.528862313737502</v>
      </c>
      <c r="S111" t="s">
        <v>1501</v>
      </c>
    </row>
    <row r="112" spans="2:23" x14ac:dyDescent="0.25">
      <c r="R112" s="268">
        <f>SUM(E73:E74)</f>
        <v>3.7919999999999998</v>
      </c>
      <c r="S112" t="s">
        <v>1502</v>
      </c>
    </row>
    <row r="113" spans="4:19" x14ac:dyDescent="0.25">
      <c r="D113" t="s">
        <v>142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1">
        <f>R111/R112</f>
        <v>3.8314510321037716</v>
      </c>
    </row>
    <row r="114" spans="4:19" x14ac:dyDescent="0.25">
      <c r="D114" t="s">
        <v>330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4:19" x14ac:dyDescent="0.25">
      <c r="G115" s="363">
        <f>G113/G106</f>
        <v>0.99425904516627739</v>
      </c>
      <c r="H115" t="s">
        <v>189</v>
      </c>
      <c r="N115" s="321">
        <f>'AMSA - Saldanha'!B81</f>
        <v>242.57861307692306</v>
      </c>
      <c r="O115" t="s">
        <v>585</v>
      </c>
    </row>
    <row r="116" spans="4:19" x14ac:dyDescent="0.25">
      <c r="E116" t="s">
        <v>587</v>
      </c>
    </row>
    <row r="118" spans="4:19" x14ac:dyDescent="0.25">
      <c r="D118" s="117" t="s">
        <v>7</v>
      </c>
      <c r="E118" s="327">
        <f t="shared" ref="E118:K118" si="19">E99/$L99</f>
        <v>0.21945745439808531</v>
      </c>
      <c r="F118" s="336">
        <f t="shared" si="19"/>
        <v>0.10641268732607105</v>
      </c>
      <c r="G118" s="327">
        <f t="shared" si="19"/>
        <v>0.44982892124067309</v>
      </c>
      <c r="H118" s="327">
        <f t="shared" si="19"/>
        <v>0</v>
      </c>
      <c r="I118" s="327">
        <f t="shared" si="19"/>
        <v>3.0121182346112101E-2</v>
      </c>
      <c r="J118" s="327">
        <f t="shared" si="19"/>
        <v>0.19417975468905843</v>
      </c>
      <c r="K118" s="327">
        <f t="shared" si="19"/>
        <v>0</v>
      </c>
    </row>
    <row r="119" spans="4:19" x14ac:dyDescent="0.25">
      <c r="D119" s="117" t="s">
        <v>175</v>
      </c>
      <c r="E119" s="327">
        <f t="shared" ref="E119:K119" si="20">E100/$L100</f>
        <v>0.70330244376593443</v>
      </c>
      <c r="F119" s="327">
        <f t="shared" si="20"/>
        <v>0.16586669339471435</v>
      </c>
      <c r="G119" s="327">
        <f t="shared" si="20"/>
        <v>0</v>
      </c>
      <c r="H119" s="327">
        <f t="shared" si="20"/>
        <v>0</v>
      </c>
      <c r="I119" s="327">
        <f t="shared" si="20"/>
        <v>0</v>
      </c>
      <c r="J119" s="327">
        <f t="shared" si="20"/>
        <v>0.13083086283935119</v>
      </c>
      <c r="K119" s="327">
        <f t="shared" si="20"/>
        <v>0</v>
      </c>
    </row>
    <row r="120" spans="4:19" x14ac:dyDescent="0.25">
      <c r="D120" s="117" t="s">
        <v>462</v>
      </c>
      <c r="E120" s="327">
        <f t="shared" ref="E120:K120" si="21">E101/$L101</f>
        <v>0</v>
      </c>
      <c r="F120" s="327">
        <f t="shared" si="21"/>
        <v>0.74487768236857965</v>
      </c>
      <c r="G120" s="327">
        <f t="shared" si="21"/>
        <v>0</v>
      </c>
      <c r="H120" s="327">
        <f t="shared" si="21"/>
        <v>0</v>
      </c>
      <c r="I120" s="327">
        <f t="shared" si="21"/>
        <v>0.12863089961074112</v>
      </c>
      <c r="J120" s="327">
        <f>J101/$L101</f>
        <v>0.12649141802067926</v>
      </c>
      <c r="K120" s="327">
        <f t="shared" si="21"/>
        <v>0</v>
      </c>
    </row>
    <row r="121" spans="4:19" x14ac:dyDescent="0.25">
      <c r="D121" s="117" t="s">
        <v>97</v>
      </c>
      <c r="E121" s="327">
        <f t="shared" ref="E121:K121" si="22">E102/$L102</f>
        <v>0.77646494405992639</v>
      </c>
      <c r="F121" s="327">
        <f t="shared" si="22"/>
        <v>7.8007640891601907E-2</v>
      </c>
      <c r="G121" s="327">
        <f t="shared" si="22"/>
        <v>0.11737260782301213</v>
      </c>
      <c r="H121" s="327">
        <f t="shared" si="22"/>
        <v>0</v>
      </c>
      <c r="I121" s="327">
        <f t="shared" si="22"/>
        <v>9.794992575659793E-3</v>
      </c>
      <c r="J121" s="327">
        <f t="shared" si="22"/>
        <v>1.8359814649799511E-2</v>
      </c>
      <c r="K121" s="327">
        <f t="shared" si="22"/>
        <v>0</v>
      </c>
    </row>
    <row r="122" spans="4:19" x14ac:dyDescent="0.25">
      <c r="D122" s="5" t="s">
        <v>18</v>
      </c>
      <c r="E122" s="327">
        <f t="shared" ref="E122:K122" si="23">E103/$L103</f>
        <v>0.46153846153846151</v>
      </c>
      <c r="F122" s="327">
        <f t="shared" si="23"/>
        <v>0.46153846153846151</v>
      </c>
      <c r="G122" s="327">
        <f t="shared" si="23"/>
        <v>0</v>
      </c>
      <c r="H122" s="327">
        <f t="shared" si="23"/>
        <v>0</v>
      </c>
      <c r="I122" s="327">
        <f t="shared" si="23"/>
        <v>0</v>
      </c>
      <c r="J122" s="327">
        <f t="shared" si="23"/>
        <v>7.6923076923076913E-2</v>
      </c>
      <c r="K122" s="327">
        <f t="shared" si="23"/>
        <v>0</v>
      </c>
    </row>
    <row r="123" spans="4:19" x14ac:dyDescent="0.25">
      <c r="M123" s="355" t="s">
        <v>577</v>
      </c>
    </row>
    <row r="124" spans="4:19" x14ac:dyDescent="0.25">
      <c r="M124" s="401">
        <v>3.26</v>
      </c>
      <c r="N124" s="15" t="s">
        <v>435</v>
      </c>
      <c r="O124" s="402" t="s">
        <v>572</v>
      </c>
      <c r="P124" s="3"/>
    </row>
    <row r="125" spans="4:19" x14ac:dyDescent="0.25">
      <c r="M125" s="4">
        <f>M124*3.6</f>
        <v>11.735999999999999</v>
      </c>
      <c r="N125" t="s">
        <v>142</v>
      </c>
      <c r="O125" t="s">
        <v>572</v>
      </c>
      <c r="P125" s="5"/>
    </row>
    <row r="126" spans="4:19" x14ac:dyDescent="0.25">
      <c r="M126" s="403">
        <v>0.28899999999999998</v>
      </c>
      <c r="N126" s="355" t="s">
        <v>289</v>
      </c>
      <c r="O126" s="355" t="s">
        <v>573</v>
      </c>
      <c r="P126" s="5"/>
      <c r="R126" s="399">
        <f>M126/M124</f>
        <v>8.8650306748466259E-2</v>
      </c>
      <c r="S126" t="s">
        <v>582</v>
      </c>
    </row>
    <row r="127" spans="4:19" x14ac:dyDescent="0.25">
      <c r="M127" s="7">
        <f>M126*3.6</f>
        <v>1.0404</v>
      </c>
      <c r="N127" s="8" t="s">
        <v>142</v>
      </c>
      <c r="O127" s="8" t="s">
        <v>573</v>
      </c>
      <c r="P127" s="9"/>
      <c r="R127">
        <f>R126/(SUM(E73:E74)/SUM(E73:E74,E76))</f>
        <v>0.11478718516217547</v>
      </c>
      <c r="S127" t="s">
        <v>583</v>
      </c>
    </row>
    <row r="129" spans="13:15" x14ac:dyDescent="0.25">
      <c r="M129">
        <f>M125+M127</f>
        <v>12.776399999999999</v>
      </c>
      <c r="O129" t="s">
        <v>578</v>
      </c>
    </row>
    <row r="130" spans="13:15" x14ac:dyDescent="0.25">
      <c r="M130">
        <f>M125</f>
        <v>11.735999999999999</v>
      </c>
      <c r="O130" t="s">
        <v>574</v>
      </c>
    </row>
    <row r="131" spans="13:15" x14ac:dyDescent="0.25">
      <c r="M131" s="287">
        <f>F110</f>
        <v>5.3967331177829116</v>
      </c>
      <c r="O131" t="s">
        <v>579</v>
      </c>
    </row>
    <row r="132" spans="13:15" x14ac:dyDescent="0.25">
      <c r="M132" s="268">
        <f>SUM(M130:M131)</f>
        <v>17.132733117782912</v>
      </c>
      <c r="O132" t="s">
        <v>575</v>
      </c>
    </row>
    <row r="133" spans="13:15" x14ac:dyDescent="0.25">
      <c r="M133" s="400">
        <f>R97/1000</f>
        <v>17.312000000000001</v>
      </c>
      <c r="O133" t="s">
        <v>580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305"/>
  <sheetViews>
    <sheetView zoomScale="66" workbookViewId="0">
      <selection activeCell="C32" sqref="C32"/>
    </sheetView>
  </sheetViews>
  <sheetFormatPr defaultRowHeight="15" x14ac:dyDescent="0.25"/>
  <cols>
    <col min="2" max="2" width="15.85546875" customWidth="1"/>
    <col min="3" max="3" width="12.7109375" customWidth="1"/>
    <col min="4" max="4" width="28.1406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159</v>
      </c>
      <c r="D5" s="94" t="s">
        <v>356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358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357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184</v>
      </c>
      <c r="I7" s="13"/>
      <c r="J7" s="13"/>
      <c r="K7" s="13"/>
      <c r="L7" s="13"/>
      <c r="M7" s="255" t="s">
        <v>185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161</v>
      </c>
      <c r="C8" s="105" t="s">
        <v>162</v>
      </c>
      <c r="D8" s="105" t="s">
        <v>163</v>
      </c>
      <c r="E8" s="105" t="s">
        <v>164</v>
      </c>
      <c r="F8" s="105" t="s">
        <v>191</v>
      </c>
      <c r="I8" s="13"/>
      <c r="M8" s="256" t="s">
        <v>165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166</v>
      </c>
      <c r="C9" s="106"/>
      <c r="D9" s="106"/>
      <c r="E9" s="106"/>
      <c r="G9" s="666" t="s">
        <v>611</v>
      </c>
      <c r="H9" s="666"/>
      <c r="I9" s="666"/>
      <c r="J9" s="666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167</v>
      </c>
      <c r="C10" s="100" t="s">
        <v>168</v>
      </c>
      <c r="D10" s="100" t="s">
        <v>16</v>
      </c>
      <c r="E10" s="100" t="s">
        <v>24</v>
      </c>
      <c r="F10" t="s">
        <v>7</v>
      </c>
      <c r="G10" s="357" t="s">
        <v>499</v>
      </c>
      <c r="H10" s="410">
        <f>(110+150)*12/1000</f>
        <v>3.12</v>
      </c>
      <c r="I10" s="413" t="s">
        <v>500</v>
      </c>
      <c r="J10" s="412">
        <f>250*12/1000</f>
        <v>3</v>
      </c>
      <c r="K10" s="13" t="s">
        <v>519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167</v>
      </c>
      <c r="C11" s="100" t="s">
        <v>168</v>
      </c>
      <c r="D11" s="100" t="s">
        <v>170</v>
      </c>
      <c r="E11" s="100" t="s">
        <v>1</v>
      </c>
      <c r="F11" t="s">
        <v>9</v>
      </c>
      <c r="G11" s="358" t="s">
        <v>523</v>
      </c>
      <c r="H11" s="411">
        <f>(87.5+29.2)*12/1000</f>
        <v>1.4004000000000001</v>
      </c>
      <c r="I11" s="413" t="s">
        <v>501</v>
      </c>
      <c r="J11" s="410">
        <f>120*12/1000</f>
        <v>1.44</v>
      </c>
      <c r="K11" s="13" t="s">
        <v>519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167</v>
      </c>
      <c r="C12" s="100" t="s">
        <v>173</v>
      </c>
      <c r="D12" s="100" t="s">
        <v>16</v>
      </c>
      <c r="E12" s="100" t="s">
        <v>24</v>
      </c>
      <c r="F12" t="s">
        <v>7</v>
      </c>
      <c r="G12" s="357" t="s">
        <v>502</v>
      </c>
      <c r="I12" s="357" t="s">
        <v>500</v>
      </c>
      <c r="K12" s="13" t="s">
        <v>518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167</v>
      </c>
      <c r="C13" s="100" t="s">
        <v>176</v>
      </c>
      <c r="D13" s="100" t="s">
        <v>177</v>
      </c>
      <c r="E13" s="100" t="s">
        <v>1</v>
      </c>
      <c r="F13" t="s">
        <v>8</v>
      </c>
      <c r="K13" s="13" t="s">
        <v>518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773</v>
      </c>
      <c r="X13" s="13"/>
      <c r="Y13" s="13"/>
      <c r="Z13" s="13"/>
      <c r="AD13" s="13"/>
    </row>
    <row r="14" spans="1:30" x14ac:dyDescent="0.25">
      <c r="B14" s="109" t="s">
        <v>167</v>
      </c>
      <c r="C14" s="100" t="s">
        <v>179</v>
      </c>
      <c r="D14" s="100" t="s">
        <v>95</v>
      </c>
      <c r="E14" s="100" t="s">
        <v>97</v>
      </c>
      <c r="F14" s="116" t="s">
        <v>172</v>
      </c>
      <c r="K14" s="13" t="s">
        <v>519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167</v>
      </c>
      <c r="C15" s="100" t="s">
        <v>179</v>
      </c>
      <c r="D15" s="100" t="s">
        <v>170</v>
      </c>
      <c r="E15" s="101" t="s">
        <v>97</v>
      </c>
      <c r="F15" s="116" t="s">
        <v>172</v>
      </c>
      <c r="K15" s="13" t="s">
        <v>519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181</v>
      </c>
      <c r="C16" s="100" t="s">
        <v>182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63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608</v>
      </c>
      <c r="X16" s="13"/>
      <c r="Y16" s="13"/>
      <c r="Z16" s="13"/>
      <c r="AA16" s="13"/>
      <c r="AB16" s="13"/>
      <c r="AC16" s="13"/>
      <c r="AD16" s="13"/>
    </row>
    <row r="17" spans="2:30" x14ac:dyDescent="0.25">
      <c r="B17" s="109" t="s">
        <v>183</v>
      </c>
      <c r="C17" s="100"/>
      <c r="D17" s="100" t="s">
        <v>177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63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2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2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2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2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2:30" x14ac:dyDescent="0.25"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2:30" ht="18.75" x14ac:dyDescent="0.3">
      <c r="B23" s="112" t="s">
        <v>1528</v>
      </c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2:30" x14ac:dyDescent="0.25">
      <c r="C25" s="593" t="s">
        <v>1512</v>
      </c>
      <c r="D25" s="594"/>
      <c r="E25" s="594"/>
      <c r="F25" s="594"/>
      <c r="G25" s="594"/>
      <c r="H25" s="594"/>
      <c r="I25" s="594"/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2:30" x14ac:dyDescent="0.25">
      <c r="C26" s="595" t="s">
        <v>1513</v>
      </c>
      <c r="D26" s="595" t="s">
        <v>1514</v>
      </c>
      <c r="E26" s="595" t="s">
        <v>1515</v>
      </c>
      <c r="F26" s="595" t="s">
        <v>1516</v>
      </c>
      <c r="G26" s="595" t="s">
        <v>1517</v>
      </c>
      <c r="H26" s="595" t="s">
        <v>1518</v>
      </c>
      <c r="I26" s="595" t="s">
        <v>1519</v>
      </c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2:30" x14ac:dyDescent="0.25">
      <c r="C27" t="s">
        <v>169</v>
      </c>
      <c r="D27" t="str">
        <f>"Industry - I&amp;S - "&amp;'veda Process def'!J24&amp;" - E"</f>
        <v>Industry - I&amp;S - BFBOF - E</v>
      </c>
      <c r="E27" t="s">
        <v>142</v>
      </c>
      <c r="F27" t="s">
        <v>1526</v>
      </c>
      <c r="G27" t="s">
        <v>1043</v>
      </c>
      <c r="H27" t="s">
        <v>1527</v>
      </c>
      <c r="J27" t="s">
        <v>0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2:30" x14ac:dyDescent="0.25">
      <c r="C28" t="s">
        <v>174</v>
      </c>
      <c r="D28" t="str">
        <f>"Industry - I&amp;S - "&amp;'veda Process def'!J25&amp;" - E"</f>
        <v>Industry - I&amp;S - DRIEAF - E</v>
      </c>
      <c r="E28" t="s">
        <v>142</v>
      </c>
      <c r="F28" t="s">
        <v>1526</v>
      </c>
      <c r="G28" t="s">
        <v>1043</v>
      </c>
      <c r="H28" t="s">
        <v>1527</v>
      </c>
      <c r="J28" t="s">
        <v>1525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2:30" x14ac:dyDescent="0.25">
      <c r="C29" t="s">
        <v>171</v>
      </c>
      <c r="D29" t="str">
        <f>"Industry - I&amp;S - "&amp;'veda Process def'!J26&amp;" - E"</f>
        <v>Industry - I&amp;S - Corex EAF - E</v>
      </c>
      <c r="E29" t="s">
        <v>142</v>
      </c>
      <c r="F29" t="s">
        <v>1526</v>
      </c>
      <c r="G29" t="s">
        <v>1043</v>
      </c>
      <c r="H29" t="s">
        <v>1527</v>
      </c>
      <c r="J29" t="s">
        <v>1524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2:30" x14ac:dyDescent="0.25">
      <c r="C30" t="s">
        <v>178</v>
      </c>
      <c r="D30" t="str">
        <f>"Industry - I&amp;S - "&amp;'veda Process def'!J27&amp;" - E"</f>
        <v>Industry - I&amp;S - Other EAF - E</v>
      </c>
      <c r="E30" t="s">
        <v>142</v>
      </c>
      <c r="F30" t="s">
        <v>1526</v>
      </c>
      <c r="G30" t="s">
        <v>1043</v>
      </c>
      <c r="H30" t="s">
        <v>1527</v>
      </c>
      <c r="J30" t="s">
        <v>1523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2:30" x14ac:dyDescent="0.25">
      <c r="C31" t="s">
        <v>180</v>
      </c>
      <c r="D31" t="str">
        <f>"Industry - I&amp;S - "&amp;'veda Process def'!J28&amp;" - E"</f>
        <v>Industry - I&amp;S - Scrap EAF - E</v>
      </c>
      <c r="E31" t="s">
        <v>142</v>
      </c>
      <c r="F31" t="s">
        <v>1526</v>
      </c>
      <c r="G31" t="s">
        <v>1043</v>
      </c>
      <c r="H31" t="s">
        <v>1527</v>
      </c>
      <c r="J31" t="s">
        <v>1522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2:30" x14ac:dyDescent="0.25">
      <c r="C32" s="99" t="s">
        <v>1235</v>
      </c>
      <c r="D32" s="99" t="s">
        <v>1535</v>
      </c>
      <c r="E32" t="s">
        <v>142</v>
      </c>
      <c r="F32" t="s">
        <v>1526</v>
      </c>
      <c r="G32" t="s">
        <v>1043</v>
      </c>
      <c r="H32" t="s">
        <v>1527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ht="18.75" x14ac:dyDescent="0.3">
      <c r="B35" s="112" t="s">
        <v>1529</v>
      </c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x14ac:dyDescent="0.25"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C38" s="593" t="s">
        <v>1512</v>
      </c>
      <c r="D38" s="594"/>
      <c r="E38" s="594"/>
      <c r="F38" s="594"/>
      <c r="G38" s="594"/>
      <c r="H38" s="594"/>
      <c r="I38" s="594"/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95" t="s">
        <v>1513</v>
      </c>
      <c r="D39" s="595" t="s">
        <v>1514</v>
      </c>
      <c r="E39" s="595" t="s">
        <v>1515</v>
      </c>
      <c r="F39" s="595" t="s">
        <v>1516</v>
      </c>
      <c r="G39" s="595" t="s">
        <v>1517</v>
      </c>
      <c r="H39" s="595" t="s">
        <v>1518</v>
      </c>
      <c r="I39" s="595" t="s">
        <v>1519</v>
      </c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99" t="s">
        <v>538</v>
      </c>
      <c r="D40" s="99" t="s">
        <v>1531</v>
      </c>
      <c r="E40" t="s">
        <v>142</v>
      </c>
      <c r="F40" t="s">
        <v>1526</v>
      </c>
      <c r="G40" t="s">
        <v>1043</v>
      </c>
      <c r="H40" t="s">
        <v>1527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1567</v>
      </c>
      <c r="D41" s="99" t="s">
        <v>1532</v>
      </c>
      <c r="E41" t="s">
        <v>142</v>
      </c>
      <c r="F41" t="s">
        <v>1526</v>
      </c>
      <c r="G41" t="s">
        <v>1043</v>
      </c>
      <c r="H41" t="s">
        <v>1527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540</v>
      </c>
      <c r="D42" s="99" t="s">
        <v>1533</v>
      </c>
      <c r="E42" t="s">
        <v>142</v>
      </c>
      <c r="F42" t="s">
        <v>1526</v>
      </c>
      <c r="G42" t="s">
        <v>1043</v>
      </c>
      <c r="H42" t="s">
        <v>1527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541</v>
      </c>
      <c r="D43" s="99" t="s">
        <v>1534</v>
      </c>
      <c r="E43" t="s">
        <v>142</v>
      </c>
      <c r="F43" t="s">
        <v>1526</v>
      </c>
      <c r="G43" t="s">
        <v>1043</v>
      </c>
      <c r="H43" t="s">
        <v>1527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ht="18.75" x14ac:dyDescent="0.3">
      <c r="B47" s="112" t="s">
        <v>1536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241"/>
      <c r="N47" s="13"/>
      <c r="O47" s="13"/>
      <c r="P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B48" s="1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240"/>
      <c r="N48" s="94"/>
      <c r="O48" s="94"/>
      <c r="P48" s="94"/>
      <c r="Q48" s="94"/>
      <c r="R48" s="240"/>
      <c r="S48" s="94"/>
      <c r="T48" s="94"/>
      <c r="U48" s="95"/>
      <c r="V48" s="13"/>
      <c r="W48" s="13"/>
      <c r="X48" s="13"/>
      <c r="Y48" s="13"/>
      <c r="Z48" s="13"/>
      <c r="AA48" s="13"/>
      <c r="AB48" s="13"/>
      <c r="AC48" s="13"/>
      <c r="AD48" s="13"/>
    </row>
    <row r="49" spans="1:33" x14ac:dyDescent="0.25">
      <c r="B49" s="114" t="s">
        <v>186</v>
      </c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246" t="s">
        <v>188</v>
      </c>
      <c r="N49" s="103"/>
      <c r="O49" s="103"/>
      <c r="P49" s="103"/>
      <c r="Q49" s="103"/>
      <c r="R49" s="245"/>
      <c r="S49" s="103"/>
      <c r="T49" s="103"/>
      <c r="U49" s="104"/>
      <c r="V49" s="13"/>
      <c r="W49" s="13"/>
      <c r="X49" s="439"/>
      <c r="Y49" s="439">
        <v>2012</v>
      </c>
      <c r="Z49" s="439">
        <v>2013</v>
      </c>
      <c r="AA49" s="439">
        <v>2014</v>
      </c>
      <c r="AB49" s="439">
        <v>2015</v>
      </c>
      <c r="AC49" s="439">
        <v>2016</v>
      </c>
      <c r="AD49" s="439">
        <v>2017</v>
      </c>
      <c r="AE49" s="117">
        <v>2018</v>
      </c>
      <c r="AF49" s="117">
        <v>2019</v>
      </c>
      <c r="AG49" s="117">
        <v>2020</v>
      </c>
    </row>
    <row r="50" spans="1:33" x14ac:dyDescent="0.25">
      <c r="B50" s="127" t="s">
        <v>7</v>
      </c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245">
        <f>SUMIFS(M$10:M$17,$F$10:$F$17,$B50)</f>
        <v>4.9000000000000004</v>
      </c>
      <c r="N50" s="128">
        <f>SUMIFS(N$10:N$17,$F$10:$F$17,$B50)</f>
        <v>4.9000000000000004</v>
      </c>
      <c r="O50" s="128">
        <f t="shared" ref="O50:U50" si="4">SUMIFS(O$10:O$17,$F$10:$F$17,$B50)</f>
        <v>4.9000000000000004</v>
      </c>
      <c r="P50" s="128">
        <f t="shared" si="4"/>
        <v>4.9000000000000004</v>
      </c>
      <c r="Q50" s="128">
        <f t="shared" si="4"/>
        <v>4.9000000000000004</v>
      </c>
      <c r="R50" s="245">
        <f t="shared" si="4"/>
        <v>4.9000000000000004</v>
      </c>
      <c r="S50" s="128">
        <f t="shared" si="4"/>
        <v>4.9000000000000004</v>
      </c>
      <c r="T50" s="128">
        <f t="shared" si="4"/>
        <v>4.9000000000000004</v>
      </c>
      <c r="U50" s="299">
        <f t="shared" si="4"/>
        <v>4.9000000000000004</v>
      </c>
      <c r="V50" s="13"/>
      <c r="W50" s="13"/>
      <c r="X50" s="439" t="s">
        <v>7</v>
      </c>
      <c r="Y50" s="439">
        <v>4.9000000000000004</v>
      </c>
      <c r="Z50" s="439">
        <v>4.9000000000000004</v>
      </c>
      <c r="AA50" s="439">
        <v>4.9000000000000004</v>
      </c>
      <c r="AB50" s="439">
        <v>4.9000000000000004</v>
      </c>
      <c r="AC50" s="439">
        <v>4.9000000000000004</v>
      </c>
      <c r="AD50" s="439">
        <v>4.9000000000000004</v>
      </c>
      <c r="AE50" s="117">
        <v>4.9000000000000004</v>
      </c>
      <c r="AF50" s="117">
        <v>4.9000000000000004</v>
      </c>
      <c r="AG50" s="117">
        <v>4.9000000000000004</v>
      </c>
    </row>
    <row r="51" spans="1:33" x14ac:dyDescent="0.25">
      <c r="B51" s="127" t="s">
        <v>172</v>
      </c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245">
        <f t="shared" ref="M51:U54" si="5">SUMIFS(M$10:M$17,$F$10:$F$17,$B51)</f>
        <v>1.2400000000000002</v>
      </c>
      <c r="N51" s="128">
        <f t="shared" si="5"/>
        <v>1.2400000000000002</v>
      </c>
      <c r="O51" s="128">
        <f t="shared" si="5"/>
        <v>1.2400000000000002</v>
      </c>
      <c r="P51" s="128">
        <f t="shared" si="5"/>
        <v>1.2400000000000002</v>
      </c>
      <c r="Q51" s="128">
        <f t="shared" si="5"/>
        <v>1.2400000000000002</v>
      </c>
      <c r="R51" s="245">
        <f t="shared" si="5"/>
        <v>1.2400000000000002</v>
      </c>
      <c r="S51" s="128">
        <f t="shared" si="5"/>
        <v>1.2400000000000002</v>
      </c>
      <c r="T51" s="128">
        <f t="shared" si="5"/>
        <v>1.2400000000000002</v>
      </c>
      <c r="U51" s="299">
        <f t="shared" si="5"/>
        <v>1.2400000000000002</v>
      </c>
      <c r="V51" s="13"/>
      <c r="W51" s="13"/>
      <c r="X51" s="439" t="s">
        <v>172</v>
      </c>
      <c r="Y51" s="439">
        <v>1.2400000000000002</v>
      </c>
      <c r="Z51" s="439">
        <v>1.2400000000000002</v>
      </c>
      <c r="AA51" s="439">
        <v>1.2400000000000002</v>
      </c>
      <c r="AB51" s="439">
        <v>1.2400000000000002</v>
      </c>
      <c r="AC51" s="439">
        <v>1.2400000000000002</v>
      </c>
      <c r="AD51" s="439">
        <v>1.2400000000000002</v>
      </c>
      <c r="AE51" s="117">
        <v>1.2400000000000002</v>
      </c>
      <c r="AF51" s="117">
        <v>1.2400000000000002</v>
      </c>
      <c r="AG51" s="117">
        <v>1.2400000000000002</v>
      </c>
    </row>
    <row r="52" spans="1:33" x14ac:dyDescent="0.25">
      <c r="B52" s="127" t="s">
        <v>9</v>
      </c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245">
        <f>SUMIFS(M$10:M$17,$F$10:$F$17,$B52)</f>
        <v>1.44</v>
      </c>
      <c r="N52" s="128">
        <f>SUMIFS(N$10:N$17,$F$10:$F$17,$B52)</f>
        <v>1.44</v>
      </c>
      <c r="O52" s="128">
        <f t="shared" si="5"/>
        <v>1.44</v>
      </c>
      <c r="P52" s="128">
        <f t="shared" si="5"/>
        <v>1.44</v>
      </c>
      <c r="Q52" s="128">
        <f t="shared" si="5"/>
        <v>1.44</v>
      </c>
      <c r="R52" s="245">
        <f t="shared" si="5"/>
        <v>1.44</v>
      </c>
      <c r="S52" s="128">
        <f t="shared" si="5"/>
        <v>1.44</v>
      </c>
      <c r="T52" s="128">
        <f t="shared" si="5"/>
        <v>1.44</v>
      </c>
      <c r="U52" s="299">
        <f t="shared" si="5"/>
        <v>1.44</v>
      </c>
      <c r="V52" s="13"/>
      <c r="W52" s="13"/>
      <c r="X52" s="439" t="s">
        <v>9</v>
      </c>
      <c r="Y52" s="439">
        <v>1.44</v>
      </c>
      <c r="Z52" s="439">
        <v>1.44</v>
      </c>
      <c r="AA52" s="439">
        <v>1.44</v>
      </c>
      <c r="AB52" s="439">
        <v>1.44</v>
      </c>
      <c r="AC52" s="439">
        <v>1.44</v>
      </c>
      <c r="AD52" s="439">
        <v>1.44</v>
      </c>
      <c r="AE52" s="117">
        <v>1.44</v>
      </c>
      <c r="AF52" s="117">
        <v>1.44</v>
      </c>
      <c r="AG52" s="117">
        <v>1.44</v>
      </c>
    </row>
    <row r="53" spans="1:33" x14ac:dyDescent="0.25">
      <c r="B53" s="127" t="s">
        <v>10</v>
      </c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245">
        <f t="shared" si="5"/>
        <v>1</v>
      </c>
      <c r="N53" s="128">
        <f t="shared" si="5"/>
        <v>1</v>
      </c>
      <c r="O53" s="128">
        <f t="shared" si="5"/>
        <v>1</v>
      </c>
      <c r="P53" s="128">
        <f t="shared" si="5"/>
        <v>1</v>
      </c>
      <c r="Q53" s="128">
        <f t="shared" si="5"/>
        <v>1</v>
      </c>
      <c r="R53" s="245">
        <f t="shared" si="5"/>
        <v>1</v>
      </c>
      <c r="S53" s="128">
        <f t="shared" si="5"/>
        <v>1</v>
      </c>
      <c r="T53" s="128">
        <f t="shared" si="5"/>
        <v>1</v>
      </c>
      <c r="U53" s="299">
        <f t="shared" si="5"/>
        <v>1</v>
      </c>
      <c r="V53" s="13"/>
      <c r="W53" s="13"/>
      <c r="X53" s="439" t="s">
        <v>10</v>
      </c>
      <c r="Y53" s="439">
        <v>1</v>
      </c>
      <c r="Z53" s="439">
        <v>1</v>
      </c>
      <c r="AA53" s="439">
        <v>1</v>
      </c>
      <c r="AB53" s="439">
        <v>1</v>
      </c>
      <c r="AC53" s="439">
        <v>1</v>
      </c>
      <c r="AD53" s="439">
        <v>1</v>
      </c>
      <c r="AE53" s="117">
        <v>1</v>
      </c>
      <c r="AF53" s="117">
        <v>1</v>
      </c>
      <c r="AG53" s="117">
        <v>1</v>
      </c>
    </row>
    <row r="54" spans="1:33" x14ac:dyDescent="0.25">
      <c r="B54" s="127" t="s">
        <v>8</v>
      </c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245">
        <f>SUMIFS(M$10:M$17,$F$10:$F$17,$B54)</f>
        <v>1.7200000000000002</v>
      </c>
      <c r="N54" s="128">
        <f t="shared" si="5"/>
        <v>1.7200000000000002</v>
      </c>
      <c r="O54" s="128">
        <f t="shared" si="5"/>
        <v>1.7200000000000002</v>
      </c>
      <c r="P54" s="128">
        <f t="shared" si="5"/>
        <v>1.7200000000000002</v>
      </c>
      <c r="Q54" s="128">
        <f t="shared" si="5"/>
        <v>1.7200000000000002</v>
      </c>
      <c r="R54" s="245">
        <f t="shared" si="5"/>
        <v>1.7200000000000002</v>
      </c>
      <c r="S54" s="128">
        <f t="shared" si="5"/>
        <v>1.7200000000000002</v>
      </c>
      <c r="T54" s="128">
        <f t="shared" si="5"/>
        <v>1.7200000000000002</v>
      </c>
      <c r="U54" s="299">
        <f t="shared" si="5"/>
        <v>1.7200000000000002</v>
      </c>
      <c r="V54" s="13"/>
      <c r="W54" s="13"/>
      <c r="X54" s="439" t="s">
        <v>8</v>
      </c>
      <c r="Y54" s="439">
        <v>1.7200000000000002</v>
      </c>
      <c r="Z54" s="439">
        <v>1.7200000000000002</v>
      </c>
      <c r="AA54" s="439">
        <v>1.7200000000000002</v>
      </c>
      <c r="AB54" s="439">
        <v>1.7200000000000002</v>
      </c>
      <c r="AC54" s="439">
        <v>1.3200000000000003</v>
      </c>
      <c r="AD54" s="439">
        <v>1.3200000000000003</v>
      </c>
      <c r="AE54" s="117">
        <v>1.3200000000000003</v>
      </c>
      <c r="AF54" s="117">
        <v>1.3200000000000003</v>
      </c>
      <c r="AG54" s="117">
        <v>1.3200000000000003</v>
      </c>
    </row>
    <row r="55" spans="1:33" x14ac:dyDescent="0.25">
      <c r="B55" s="115" t="s">
        <v>3</v>
      </c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98">
        <f>SUM(M50:M54)</f>
        <v>10.3</v>
      </c>
      <c r="N55" s="113">
        <f t="shared" ref="N55:U55" si="6">SUM(N50:N54)</f>
        <v>10.3</v>
      </c>
      <c r="O55" s="113">
        <f t="shared" si="6"/>
        <v>10.3</v>
      </c>
      <c r="P55" s="113">
        <f t="shared" si="6"/>
        <v>10.3</v>
      </c>
      <c r="Q55" s="113">
        <f t="shared" si="6"/>
        <v>10.3</v>
      </c>
      <c r="R55" s="98">
        <f t="shared" si="6"/>
        <v>10.3</v>
      </c>
      <c r="S55" s="113">
        <f t="shared" si="6"/>
        <v>10.3</v>
      </c>
      <c r="T55" s="113">
        <f t="shared" si="6"/>
        <v>10.3</v>
      </c>
      <c r="U55" s="300">
        <f t="shared" si="6"/>
        <v>10.3</v>
      </c>
      <c r="V55" s="13"/>
      <c r="W55" s="13"/>
      <c r="X55" s="439" t="s">
        <v>3</v>
      </c>
      <c r="Y55" s="439">
        <v>10.3</v>
      </c>
      <c r="Z55" s="439">
        <v>10.3</v>
      </c>
      <c r="AA55" s="439">
        <v>10.3</v>
      </c>
      <c r="AB55" s="439">
        <v>10.3</v>
      </c>
      <c r="AC55" s="439">
        <v>9.9</v>
      </c>
      <c r="AD55" s="439">
        <v>9.9</v>
      </c>
      <c r="AE55" s="117">
        <v>9.9</v>
      </c>
      <c r="AF55" s="117">
        <v>9.9</v>
      </c>
      <c r="AG55" s="117">
        <v>9.9</v>
      </c>
    </row>
    <row r="56" spans="1:33" x14ac:dyDescent="0.25">
      <c r="B56" s="7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245"/>
      <c r="N56" s="103"/>
      <c r="O56" s="103"/>
      <c r="P56" s="103"/>
      <c r="Q56" s="103"/>
      <c r="R56" s="245"/>
      <c r="S56" s="103"/>
      <c r="T56" s="103"/>
      <c r="U56" s="104"/>
      <c r="V56" s="13"/>
      <c r="W56" s="13"/>
      <c r="X56" s="13"/>
      <c r="Y56" s="13"/>
      <c r="Z56" s="13"/>
      <c r="AA56" s="13"/>
      <c r="AB56" s="13"/>
      <c r="AC56" s="13"/>
      <c r="AD56" s="13"/>
    </row>
    <row r="57" spans="1:33" x14ac:dyDescent="0.25"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241"/>
      <c r="N57" s="13"/>
      <c r="O57" s="13"/>
      <c r="P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3" x14ac:dyDescent="0.25"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P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3" ht="26.25" x14ac:dyDescent="0.4">
      <c r="A59" s="2" t="s">
        <v>5</v>
      </c>
    </row>
    <row r="63" spans="1:33" x14ac:dyDescent="0.25">
      <c r="B63" s="13" t="s">
        <v>1508</v>
      </c>
    </row>
    <row r="64" spans="1:33" x14ac:dyDescent="0.25"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247"/>
      <c r="N64" s="15"/>
      <c r="O64" s="15"/>
      <c r="P64" s="3"/>
    </row>
    <row r="65" spans="2:16" ht="18" customHeight="1" x14ac:dyDescent="0.25">
      <c r="B65" s="4"/>
      <c r="P65" s="5"/>
    </row>
    <row r="66" spans="2:16" ht="21" customHeight="1" x14ac:dyDescent="0.25">
      <c r="B66" s="671" t="s">
        <v>2</v>
      </c>
      <c r="C66" s="660" t="s">
        <v>15</v>
      </c>
      <c r="D66" t="s">
        <v>16</v>
      </c>
      <c r="G66" s="1">
        <v>4435551</v>
      </c>
      <c r="H66" s="1">
        <v>3642520</v>
      </c>
      <c r="I66" s="1">
        <v>3746786</v>
      </c>
      <c r="J66" s="1">
        <v>3184566</v>
      </c>
      <c r="K66" s="1">
        <v>3695327</v>
      </c>
      <c r="L66" s="1">
        <v>3373827</v>
      </c>
      <c r="M66" s="248">
        <v>3301089</v>
      </c>
      <c r="N66" s="1">
        <v>3597996</v>
      </c>
      <c r="O66" s="1">
        <v>3048324</v>
      </c>
      <c r="P66" s="261">
        <v>3550581</v>
      </c>
    </row>
    <row r="67" spans="2:16" x14ac:dyDescent="0.25">
      <c r="B67" s="671"/>
      <c r="C67" s="660"/>
      <c r="D67" t="s">
        <v>17</v>
      </c>
      <c r="G67" s="1">
        <v>983556</v>
      </c>
      <c r="H67" s="1">
        <v>1009564</v>
      </c>
      <c r="I67" s="1">
        <v>930840</v>
      </c>
      <c r="J67" s="1">
        <v>429916</v>
      </c>
      <c r="K67" s="1">
        <v>985958</v>
      </c>
      <c r="L67" s="1">
        <v>659602</v>
      </c>
      <c r="M67" s="248">
        <v>620035</v>
      </c>
      <c r="N67" s="1">
        <v>638912</v>
      </c>
      <c r="O67" s="1">
        <v>665688</v>
      </c>
      <c r="P67" s="261">
        <v>283235</v>
      </c>
    </row>
    <row r="68" spans="2:16" x14ac:dyDescent="0.25">
      <c r="B68" s="671"/>
      <c r="C68" s="660"/>
      <c r="D68" t="s">
        <v>190</v>
      </c>
      <c r="G68" s="1">
        <v>739818</v>
      </c>
      <c r="H68" s="1">
        <v>705428</v>
      </c>
      <c r="I68" s="1">
        <v>460746</v>
      </c>
      <c r="J68" s="1">
        <v>429916</v>
      </c>
      <c r="K68" s="1">
        <v>584452</v>
      </c>
      <c r="L68" s="1">
        <v>570129</v>
      </c>
      <c r="M68" s="248">
        <v>677891</v>
      </c>
      <c r="N68" s="1">
        <v>690642</v>
      </c>
      <c r="O68" s="1">
        <v>687722</v>
      </c>
      <c r="P68" s="261">
        <v>629943</v>
      </c>
    </row>
    <row r="69" spans="2:16" x14ac:dyDescent="0.25">
      <c r="B69" s="671"/>
      <c r="C69" t="s">
        <v>19</v>
      </c>
      <c r="G69" s="1">
        <f>SUM(G66:G68)</f>
        <v>6158925</v>
      </c>
      <c r="H69" s="1">
        <f t="shared" ref="H69:P69" si="7">SUM(H66:H68)</f>
        <v>5357512</v>
      </c>
      <c r="I69" s="1">
        <f t="shared" si="7"/>
        <v>5138372</v>
      </c>
      <c r="J69" s="1">
        <f t="shared" si="7"/>
        <v>4044398</v>
      </c>
      <c r="K69" s="1">
        <f t="shared" si="7"/>
        <v>5265737</v>
      </c>
      <c r="L69" s="1">
        <f t="shared" si="7"/>
        <v>4603558</v>
      </c>
      <c r="M69" s="248">
        <f t="shared" si="7"/>
        <v>4599015</v>
      </c>
      <c r="N69" s="1">
        <f t="shared" si="7"/>
        <v>4927550</v>
      </c>
      <c r="O69" s="1">
        <f t="shared" si="7"/>
        <v>4401734</v>
      </c>
      <c r="P69" s="261">
        <f t="shared" si="7"/>
        <v>4463759</v>
      </c>
    </row>
    <row r="70" spans="2:16" x14ac:dyDescent="0.25">
      <c r="B70" s="671"/>
      <c r="G70" s="1"/>
      <c r="H70" s="1"/>
      <c r="I70" s="1"/>
      <c r="J70" s="1"/>
      <c r="K70" s="1"/>
      <c r="L70" s="1"/>
      <c r="M70" s="248"/>
      <c r="N70" s="1"/>
      <c r="O70" s="1"/>
      <c r="P70" s="261"/>
    </row>
    <row r="71" spans="2:16" x14ac:dyDescent="0.25">
      <c r="B71" s="671"/>
      <c r="C71" t="s">
        <v>20</v>
      </c>
      <c r="D71" t="s">
        <v>21</v>
      </c>
      <c r="G71" s="1">
        <v>1753585</v>
      </c>
      <c r="H71" s="1">
        <v>1735914</v>
      </c>
      <c r="I71" s="1">
        <v>1177925</v>
      </c>
      <c r="J71" s="1">
        <v>1339720</v>
      </c>
      <c r="K71" s="1">
        <v>1120452</v>
      </c>
      <c r="L71" s="1">
        <v>1414164</v>
      </c>
      <c r="M71" s="248">
        <v>1493420</v>
      </c>
      <c r="N71" s="1">
        <v>1295000</v>
      </c>
      <c r="O71" s="1">
        <v>1611530</v>
      </c>
      <c r="P71" s="261">
        <v>1124971</v>
      </c>
    </row>
    <row r="72" spans="2:16" x14ac:dyDescent="0.25">
      <c r="B72" s="672"/>
      <c r="C72" s="11" t="s">
        <v>22</v>
      </c>
      <c r="D72" s="11"/>
      <c r="E72" s="11"/>
      <c r="F72" s="11"/>
      <c r="G72" s="12">
        <f>G71+G69</f>
        <v>7912510</v>
      </c>
      <c r="H72" s="12">
        <f t="shared" ref="H72:P72" si="8">H71+H69</f>
        <v>7093426</v>
      </c>
      <c r="I72" s="12">
        <f t="shared" si="8"/>
        <v>6316297</v>
      </c>
      <c r="J72" s="12">
        <f t="shared" si="8"/>
        <v>5384118</v>
      </c>
      <c r="K72" s="12">
        <f t="shared" si="8"/>
        <v>6386189</v>
      </c>
      <c r="L72" s="12">
        <f t="shared" si="8"/>
        <v>6017722</v>
      </c>
      <c r="M72" s="249">
        <f t="shared" si="8"/>
        <v>6092435</v>
      </c>
      <c r="N72" s="12">
        <f t="shared" si="8"/>
        <v>6222550</v>
      </c>
      <c r="O72" s="12">
        <f t="shared" si="8"/>
        <v>6013264</v>
      </c>
      <c r="P72" s="262">
        <f t="shared" si="8"/>
        <v>5588730</v>
      </c>
    </row>
    <row r="73" spans="2:16" x14ac:dyDescent="0.25">
      <c r="B73" s="4"/>
      <c r="G73" s="1"/>
      <c r="H73" s="1"/>
      <c r="I73" s="1"/>
      <c r="J73" s="1"/>
      <c r="K73" s="1"/>
      <c r="L73" s="1"/>
      <c r="M73" s="248"/>
      <c r="N73" s="1"/>
      <c r="O73" s="1"/>
      <c r="P73" s="261"/>
    </row>
    <row r="74" spans="2:16" x14ac:dyDescent="0.25">
      <c r="B74" s="673" t="s">
        <v>23</v>
      </c>
      <c r="D74" t="s">
        <v>24</v>
      </c>
      <c r="G74" s="1">
        <v>5173676</v>
      </c>
      <c r="H74" s="1">
        <v>4521461</v>
      </c>
      <c r="I74" s="1">
        <v>4504275</v>
      </c>
      <c r="J74" s="1">
        <v>3953709</v>
      </c>
      <c r="K74" s="1">
        <v>4366727</v>
      </c>
      <c r="L74" s="1">
        <v>3991686</v>
      </c>
      <c r="M74" s="248">
        <v>3904276</v>
      </c>
      <c r="N74" s="1">
        <v>4271948</v>
      </c>
      <c r="O74" s="1">
        <v>3622909</v>
      </c>
      <c r="P74" s="261">
        <v>3907513</v>
      </c>
    </row>
    <row r="75" spans="2:16" x14ac:dyDescent="0.25">
      <c r="B75" s="673"/>
      <c r="D75" t="s">
        <v>25</v>
      </c>
      <c r="G75" s="1">
        <v>4429648</v>
      </c>
      <c r="H75" s="1">
        <v>4464344</v>
      </c>
      <c r="I75" s="1">
        <v>3650683</v>
      </c>
      <c r="J75" s="1">
        <v>3530223</v>
      </c>
      <c r="K75" s="1">
        <v>3250035</v>
      </c>
      <c r="L75" s="1">
        <v>3554803</v>
      </c>
      <c r="M75" s="248">
        <v>3034124</v>
      </c>
      <c r="N75" s="1">
        <v>2889952</v>
      </c>
      <c r="O75" s="1">
        <v>2789291</v>
      </c>
      <c r="P75" s="261">
        <v>2490587</v>
      </c>
    </row>
    <row r="76" spans="2:16" ht="31.5" customHeight="1" x14ac:dyDescent="0.25">
      <c r="B76" s="674"/>
      <c r="C76" s="11" t="s">
        <v>26</v>
      </c>
      <c r="D76" s="11"/>
      <c r="E76" s="11"/>
      <c r="F76" s="11"/>
      <c r="G76" s="12">
        <f>SUM(G74:G75)</f>
        <v>9603324</v>
      </c>
      <c r="H76" s="12">
        <f t="shared" ref="H76:P76" si="9">SUM(H74:H75)</f>
        <v>8985805</v>
      </c>
      <c r="I76" s="12">
        <f t="shared" si="9"/>
        <v>8154958</v>
      </c>
      <c r="J76" s="12">
        <f t="shared" si="9"/>
        <v>7483932</v>
      </c>
      <c r="K76" s="12">
        <f t="shared" si="9"/>
        <v>7616762</v>
      </c>
      <c r="L76" s="12">
        <f t="shared" si="9"/>
        <v>7546489</v>
      </c>
      <c r="M76" s="249">
        <f t="shared" si="9"/>
        <v>6938400</v>
      </c>
      <c r="N76" s="12">
        <f t="shared" si="9"/>
        <v>7161900</v>
      </c>
      <c r="O76" s="12">
        <f t="shared" si="9"/>
        <v>6412200</v>
      </c>
      <c r="P76" s="262">
        <f t="shared" si="9"/>
        <v>6398100</v>
      </c>
    </row>
    <row r="77" spans="2:16" x14ac:dyDescent="0.25">
      <c r="B77" s="4"/>
      <c r="G77" s="1"/>
      <c r="H77" s="1"/>
      <c r="I77" s="1"/>
      <c r="J77" s="1"/>
      <c r="K77" s="1"/>
      <c r="L77" s="1"/>
      <c r="M77" s="248"/>
      <c r="N77" s="1"/>
      <c r="O77" s="1"/>
      <c r="P77" s="261"/>
    </row>
    <row r="78" spans="2:16" x14ac:dyDescent="0.25">
      <c r="B78" s="673" t="s">
        <v>27</v>
      </c>
      <c r="D78" t="s">
        <v>28</v>
      </c>
      <c r="G78" s="1">
        <v>9559990</v>
      </c>
      <c r="H78" s="1">
        <v>8937442</v>
      </c>
      <c r="I78" s="1">
        <v>8112703</v>
      </c>
      <c r="J78" s="1">
        <v>7456012</v>
      </c>
      <c r="K78" s="1">
        <v>7578562</v>
      </c>
      <c r="L78" s="1">
        <v>7500581</v>
      </c>
      <c r="M78" s="248">
        <v>6900492</v>
      </c>
      <c r="N78" s="1">
        <v>7138554</v>
      </c>
      <c r="O78" s="1">
        <v>6380623</v>
      </c>
      <c r="P78" s="261">
        <v>6361220</v>
      </c>
    </row>
    <row r="79" spans="2:16" x14ac:dyDescent="0.25">
      <c r="B79" s="673"/>
      <c r="D79" t="s">
        <v>4</v>
      </c>
      <c r="G79" s="1">
        <v>43334</v>
      </c>
      <c r="H79" s="1">
        <v>48363</v>
      </c>
      <c r="I79" s="1">
        <v>42255</v>
      </c>
      <c r="J79" s="1">
        <v>27920</v>
      </c>
      <c r="K79" s="1">
        <v>38200</v>
      </c>
      <c r="L79" s="1">
        <v>45908</v>
      </c>
      <c r="M79" s="248">
        <v>37908</v>
      </c>
      <c r="N79" s="1">
        <v>23346</v>
      </c>
      <c r="O79" s="1">
        <v>31577</v>
      </c>
      <c r="P79" s="261">
        <v>36880</v>
      </c>
    </row>
    <row r="80" spans="2:16" x14ac:dyDescent="0.25">
      <c r="B80" s="674"/>
      <c r="C80" s="11" t="s">
        <v>29</v>
      </c>
      <c r="D80" s="11"/>
      <c r="E80" s="11"/>
      <c r="F80" s="11"/>
      <c r="G80" s="12">
        <f>SUM(G78:G79)</f>
        <v>9603324</v>
      </c>
      <c r="H80" s="12">
        <f t="shared" ref="H80:P80" si="10">SUM(H78:H79)</f>
        <v>8985805</v>
      </c>
      <c r="I80" s="12">
        <f t="shared" si="10"/>
        <v>8154958</v>
      </c>
      <c r="J80" s="12">
        <f t="shared" si="10"/>
        <v>7483932</v>
      </c>
      <c r="K80" s="12">
        <f t="shared" si="10"/>
        <v>7616762</v>
      </c>
      <c r="L80" s="12">
        <f t="shared" si="10"/>
        <v>7546489</v>
      </c>
      <c r="M80" s="249">
        <f t="shared" si="10"/>
        <v>6938400</v>
      </c>
      <c r="N80" s="12">
        <f t="shared" si="10"/>
        <v>7161900</v>
      </c>
      <c r="O80" s="12">
        <f t="shared" si="10"/>
        <v>6412200</v>
      </c>
      <c r="P80" s="262">
        <f t="shared" si="10"/>
        <v>6398100</v>
      </c>
    </row>
    <row r="81" spans="2:16" x14ac:dyDescent="0.25">
      <c r="B81" s="4"/>
      <c r="G81" s="1"/>
      <c r="H81" s="1"/>
      <c r="I81" s="1"/>
      <c r="J81" s="1"/>
      <c r="K81" s="1"/>
      <c r="L81" s="1"/>
      <c r="M81" s="248"/>
      <c r="N81" s="1"/>
      <c r="O81" s="1"/>
      <c r="P81" s="261"/>
    </row>
    <row r="82" spans="2:16" x14ac:dyDescent="0.25">
      <c r="B82" s="4"/>
      <c r="C82" s="16" t="s">
        <v>30</v>
      </c>
      <c r="G82" s="1">
        <f>G80-G72</f>
        <v>1690814</v>
      </c>
      <c r="H82" s="1">
        <f t="shared" ref="H82:P82" si="11">H80-H72</f>
        <v>1892379</v>
      </c>
      <c r="I82" s="1">
        <f t="shared" si="11"/>
        <v>1838661</v>
      </c>
      <c r="J82" s="1">
        <f t="shared" si="11"/>
        <v>2099814</v>
      </c>
      <c r="K82" s="1">
        <f t="shared" si="11"/>
        <v>1230573</v>
      </c>
      <c r="L82" s="1">
        <f t="shared" si="11"/>
        <v>1528767</v>
      </c>
      <c r="M82" s="248">
        <f>M80-M72</f>
        <v>845965</v>
      </c>
      <c r="N82" s="1">
        <f t="shared" si="11"/>
        <v>939350</v>
      </c>
      <c r="O82" s="1">
        <f t="shared" si="11"/>
        <v>398936</v>
      </c>
      <c r="P82" s="261">
        <f t="shared" si="11"/>
        <v>809370</v>
      </c>
    </row>
    <row r="83" spans="2:16" x14ac:dyDescent="0.25">
      <c r="B83" s="4"/>
      <c r="G83" s="17">
        <f t="shared" ref="G83:P83" si="12">G82/G80</f>
        <v>0.17606549565546262</v>
      </c>
      <c r="H83" s="17">
        <f t="shared" si="12"/>
        <v>0.21059649079854281</v>
      </c>
      <c r="I83" s="17">
        <f t="shared" si="12"/>
        <v>0.22546541625352332</v>
      </c>
      <c r="J83" s="17">
        <f t="shared" si="12"/>
        <v>0.28057630667943001</v>
      </c>
      <c r="K83" s="17">
        <f t="shared" si="12"/>
        <v>0.16156117258226002</v>
      </c>
      <c r="L83" s="17">
        <f t="shared" si="12"/>
        <v>0.20257990172648499</v>
      </c>
      <c r="M83" s="250">
        <f t="shared" si="12"/>
        <v>0.12192508359275914</v>
      </c>
      <c r="N83" s="17">
        <f t="shared" si="12"/>
        <v>0.13115932922827742</v>
      </c>
      <c r="O83" s="17">
        <f t="shared" si="12"/>
        <v>6.2215152365802689E-2</v>
      </c>
      <c r="P83" s="263">
        <f t="shared" si="12"/>
        <v>0.12650161766774512</v>
      </c>
    </row>
    <row r="84" spans="2:16" x14ac:dyDescent="0.25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251"/>
      <c r="N84" s="8"/>
      <c r="O84" s="8"/>
      <c r="P84" s="9"/>
    </row>
    <row r="86" spans="2:16" x14ac:dyDescent="0.25">
      <c r="C86" t="s">
        <v>208</v>
      </c>
    </row>
    <row r="87" spans="2:16" x14ac:dyDescent="0.25">
      <c r="B87" s="14"/>
      <c r="C87" s="15"/>
      <c r="D87" s="15"/>
      <c r="E87" s="15"/>
      <c r="F87" s="305" t="s">
        <v>2</v>
      </c>
      <c r="G87" s="15"/>
      <c r="H87" s="15"/>
      <c r="I87" s="15"/>
      <c r="J87" s="15"/>
      <c r="K87" s="15"/>
      <c r="L87" s="15"/>
      <c r="M87" s="247"/>
      <c r="N87" s="15"/>
      <c r="O87" s="15"/>
      <c r="P87" s="3"/>
    </row>
    <row r="88" spans="2:16" x14ac:dyDescent="0.25">
      <c r="B88" s="4" t="s">
        <v>222</v>
      </c>
      <c r="C88" t="s">
        <v>168</v>
      </c>
      <c r="D88" t="s">
        <v>16</v>
      </c>
      <c r="E88" t="s">
        <v>24</v>
      </c>
      <c r="G88" s="19">
        <f>G66-G90</f>
        <v>2715643.4693877553</v>
      </c>
      <c r="H88" s="19">
        <f t="shared" ref="H88:P88" si="13">H66-H90</f>
        <v>2230114.2857142859</v>
      </c>
      <c r="I88" s="19">
        <f t="shared" si="13"/>
        <v>2293950.6122448985</v>
      </c>
      <c r="J88" s="19">
        <f t="shared" si="13"/>
        <v>1949734.2857142859</v>
      </c>
      <c r="K88" s="19">
        <f t="shared" si="13"/>
        <v>2262445.1020408166</v>
      </c>
      <c r="L88" s="19">
        <f t="shared" si="13"/>
        <v>2065608.3673469389</v>
      </c>
      <c r="M88" s="253">
        <f t="shared" si="13"/>
        <v>2021074.8979591839</v>
      </c>
      <c r="N88" s="19">
        <f t="shared" si="13"/>
        <v>2202854.6938775512</v>
      </c>
      <c r="O88" s="19">
        <f t="shared" si="13"/>
        <v>1866320.8163265309</v>
      </c>
      <c r="P88" s="284">
        <f t="shared" si="13"/>
        <v>2173825.1020408166</v>
      </c>
    </row>
    <row r="89" spans="2:16" x14ac:dyDescent="0.25">
      <c r="B89" s="4" t="s">
        <v>222</v>
      </c>
      <c r="C89" t="s">
        <v>168</v>
      </c>
      <c r="D89" t="s">
        <v>170</v>
      </c>
      <c r="E89" t="s">
        <v>1</v>
      </c>
      <c r="G89" s="19">
        <f>G71-G93</f>
        <v>1262581.2</v>
      </c>
      <c r="H89" s="19">
        <f t="shared" ref="H89:P89" si="14">H71-H93</f>
        <v>1249858.08</v>
      </c>
      <c r="I89" s="19">
        <f t="shared" si="14"/>
        <v>848106</v>
      </c>
      <c r="J89" s="19">
        <f t="shared" si="14"/>
        <v>964598.39999999991</v>
      </c>
      <c r="K89" s="19">
        <f t="shared" si="14"/>
        <v>806725.44</v>
      </c>
      <c r="L89" s="19">
        <f t="shared" si="14"/>
        <v>1018198.08</v>
      </c>
      <c r="M89" s="253">
        <f t="shared" si="14"/>
        <v>1075262.3999999999</v>
      </c>
      <c r="N89" s="19">
        <f t="shared" si="14"/>
        <v>932400</v>
      </c>
      <c r="O89" s="19">
        <f t="shared" si="14"/>
        <v>1160301.6000000001</v>
      </c>
      <c r="P89" s="284">
        <f t="shared" si="14"/>
        <v>809979.12</v>
      </c>
    </row>
    <row r="90" spans="2:16" x14ac:dyDescent="0.25">
      <c r="B90" s="4" t="s">
        <v>222</v>
      </c>
      <c r="C90" t="s">
        <v>173</v>
      </c>
      <c r="D90" t="s">
        <v>16</v>
      </c>
      <c r="E90" t="s">
        <v>24</v>
      </c>
      <c r="G90" s="1">
        <f>G66*$M$12/($M$12+$M$10)</f>
        <v>1719907.5306122447</v>
      </c>
      <c r="H90" s="1">
        <f t="shared" ref="H90:P90" si="15">H66*$M$12/($M$12+$M$10)</f>
        <v>1412405.7142857141</v>
      </c>
      <c r="I90" s="1">
        <f t="shared" si="15"/>
        <v>1452835.3877551018</v>
      </c>
      <c r="J90" s="1">
        <f t="shared" si="15"/>
        <v>1234831.7142857141</v>
      </c>
      <c r="K90" s="1">
        <f t="shared" si="15"/>
        <v>1432881.8979591834</v>
      </c>
      <c r="L90" s="1">
        <f t="shared" si="15"/>
        <v>1308218.6326530611</v>
      </c>
      <c r="M90" s="248">
        <f t="shared" si="15"/>
        <v>1280014.1020408161</v>
      </c>
      <c r="N90" s="1">
        <f t="shared" si="15"/>
        <v>1395141.3061224488</v>
      </c>
      <c r="O90" s="1">
        <f t="shared" si="15"/>
        <v>1182003.1836734691</v>
      </c>
      <c r="P90" s="261">
        <f t="shared" si="15"/>
        <v>1376755.8979591834</v>
      </c>
    </row>
    <row r="91" spans="2:16" x14ac:dyDescent="0.25">
      <c r="B91" s="4" t="s">
        <v>222</v>
      </c>
      <c r="C91" t="s">
        <v>176</v>
      </c>
      <c r="D91" t="s">
        <v>177</v>
      </c>
      <c r="E91" t="s">
        <v>1</v>
      </c>
      <c r="P91" s="5"/>
    </row>
    <row r="92" spans="2:16" x14ac:dyDescent="0.25">
      <c r="B92" s="4" t="s">
        <v>222</v>
      </c>
      <c r="C92" t="s">
        <v>179</v>
      </c>
      <c r="D92" t="s">
        <v>95</v>
      </c>
      <c r="E92" t="s">
        <v>97</v>
      </c>
      <c r="G92" s="19">
        <f>G68</f>
        <v>739818</v>
      </c>
      <c r="H92" s="19">
        <f t="shared" ref="H92:P92" si="16">H68</f>
        <v>705428</v>
      </c>
      <c r="I92" s="19">
        <f t="shared" si="16"/>
        <v>460746</v>
      </c>
      <c r="J92" s="19">
        <f t="shared" si="16"/>
        <v>429916</v>
      </c>
      <c r="K92" s="19">
        <f t="shared" si="16"/>
        <v>584452</v>
      </c>
      <c r="L92" s="19">
        <f t="shared" si="16"/>
        <v>570129</v>
      </c>
      <c r="M92" s="253">
        <f t="shared" si="16"/>
        <v>677891</v>
      </c>
      <c r="N92" s="19">
        <f t="shared" si="16"/>
        <v>690642</v>
      </c>
      <c r="O92" s="19">
        <f t="shared" si="16"/>
        <v>687722</v>
      </c>
      <c r="P92" s="284">
        <f t="shared" si="16"/>
        <v>629943</v>
      </c>
    </row>
    <row r="93" spans="2:16" x14ac:dyDescent="0.25">
      <c r="B93" s="4" t="s">
        <v>222</v>
      </c>
      <c r="C93" t="s">
        <v>179</v>
      </c>
      <c r="D93" t="s">
        <v>170</v>
      </c>
      <c r="E93" t="s">
        <v>97</v>
      </c>
      <c r="G93" s="1">
        <f>G71*$M$15/($M$15+$M$11)</f>
        <v>491003.80000000005</v>
      </c>
      <c r="H93" s="1">
        <f t="shared" ref="H93:P93" si="17">H71*$M$15/($M$15+$M$11)</f>
        <v>486055.92000000004</v>
      </c>
      <c r="I93" s="1">
        <f t="shared" si="17"/>
        <v>329819.00000000006</v>
      </c>
      <c r="J93" s="1">
        <f t="shared" si="17"/>
        <v>375121.60000000003</v>
      </c>
      <c r="K93" s="1">
        <f t="shared" si="17"/>
        <v>313726.56000000006</v>
      </c>
      <c r="L93" s="1">
        <f t="shared" si="17"/>
        <v>395965.92000000004</v>
      </c>
      <c r="M93" s="248">
        <f t="shared" si="17"/>
        <v>418157.60000000003</v>
      </c>
      <c r="N93" s="1">
        <f t="shared" si="17"/>
        <v>362600.00000000006</v>
      </c>
      <c r="O93" s="1">
        <f t="shared" si="17"/>
        <v>451228.4</v>
      </c>
      <c r="P93" s="261">
        <f t="shared" si="17"/>
        <v>314991.88</v>
      </c>
    </row>
    <row r="94" spans="2:16" x14ac:dyDescent="0.25">
      <c r="B94" s="4" t="s">
        <v>181</v>
      </c>
      <c r="C94" t="s">
        <v>182</v>
      </c>
      <c r="D94" t="s">
        <v>17</v>
      </c>
      <c r="E94" t="s">
        <v>24</v>
      </c>
      <c r="G94" s="19">
        <f>G67</f>
        <v>983556</v>
      </c>
      <c r="H94" s="19">
        <f t="shared" ref="H94:P94" si="18">H67</f>
        <v>1009564</v>
      </c>
      <c r="I94" s="19">
        <f t="shared" si="18"/>
        <v>930840</v>
      </c>
      <c r="J94" s="19">
        <f t="shared" si="18"/>
        <v>429916</v>
      </c>
      <c r="K94" s="19">
        <f t="shared" si="18"/>
        <v>985958</v>
      </c>
      <c r="L94" s="19">
        <f t="shared" si="18"/>
        <v>659602</v>
      </c>
      <c r="M94" s="253">
        <f t="shared" si="18"/>
        <v>620035</v>
      </c>
      <c r="N94" s="19">
        <f t="shared" si="18"/>
        <v>638912</v>
      </c>
      <c r="O94" s="19">
        <f t="shared" si="18"/>
        <v>665688</v>
      </c>
      <c r="P94" s="284">
        <f t="shared" si="18"/>
        <v>283235</v>
      </c>
    </row>
    <row r="95" spans="2:16" x14ac:dyDescent="0.25">
      <c r="B95" s="4" t="s">
        <v>183</v>
      </c>
      <c r="D95" t="s">
        <v>177</v>
      </c>
      <c r="E95" t="s">
        <v>1</v>
      </c>
      <c r="P95" s="5"/>
    </row>
    <row r="96" spans="2:16" x14ac:dyDescent="0.25">
      <c r="B96" s="4"/>
      <c r="P96" s="5"/>
    </row>
    <row r="97" spans="2:20" x14ac:dyDescent="0.25">
      <c r="B97" s="4"/>
      <c r="E97" t="s">
        <v>3</v>
      </c>
      <c r="G97" s="19">
        <f t="shared" ref="G97:P97" si="19">SUM(G88:G95)</f>
        <v>7912509.9999999991</v>
      </c>
      <c r="H97" s="19">
        <f t="shared" si="19"/>
        <v>7093426</v>
      </c>
      <c r="I97" s="19">
        <f t="shared" si="19"/>
        <v>6316297</v>
      </c>
      <c r="J97" s="19">
        <f t="shared" si="19"/>
        <v>5384118</v>
      </c>
      <c r="K97" s="19">
        <f t="shared" si="19"/>
        <v>6386189</v>
      </c>
      <c r="L97" s="19">
        <f t="shared" si="19"/>
        <v>6017722</v>
      </c>
      <c r="M97" s="253">
        <f t="shared" si="19"/>
        <v>6092435</v>
      </c>
      <c r="N97" s="19">
        <f t="shared" si="19"/>
        <v>6222550</v>
      </c>
      <c r="O97" s="19">
        <f t="shared" si="19"/>
        <v>6013264.0000000009</v>
      </c>
      <c r="P97" s="284">
        <f t="shared" si="19"/>
        <v>5588730</v>
      </c>
    </row>
    <row r="98" spans="2:20" x14ac:dyDescent="0.25">
      <c r="B98" s="4"/>
      <c r="P98" s="5"/>
    </row>
    <row r="99" spans="2:20" x14ac:dyDescent="0.25">
      <c r="B99" s="4"/>
      <c r="F99" s="18" t="s">
        <v>23</v>
      </c>
      <c r="P99" s="5"/>
    </row>
    <row r="100" spans="2:20" x14ac:dyDescent="0.25">
      <c r="B100" s="4" t="s">
        <v>222</v>
      </c>
      <c r="C100" t="s">
        <v>168</v>
      </c>
      <c r="D100" t="s">
        <v>16</v>
      </c>
      <c r="E100" t="s">
        <v>24</v>
      </c>
      <c r="G100" s="1">
        <f>G74*(G88/(G88+G90))</f>
        <v>3167556.7346938774</v>
      </c>
      <c r="H100" s="1">
        <f t="shared" ref="H100:P100" si="20">H74*(H88/(H88+H90))</f>
        <v>2768241.4285714286</v>
      </c>
      <c r="I100" s="1">
        <f t="shared" si="20"/>
        <v>2757719.3877551025</v>
      </c>
      <c r="J100" s="1">
        <f t="shared" si="20"/>
        <v>2420638.163265306</v>
      </c>
      <c r="K100" s="1">
        <f t="shared" si="20"/>
        <v>2673506.3265306121</v>
      </c>
      <c r="L100" s="1">
        <f t="shared" si="20"/>
        <v>2443889.387755102</v>
      </c>
      <c r="M100" s="248">
        <f>M74*(M88/(M88+M90))</f>
        <v>2390373.0612244899</v>
      </c>
      <c r="N100" s="1">
        <f t="shared" si="20"/>
        <v>2615478.3673469387</v>
      </c>
      <c r="O100" s="1">
        <f t="shared" si="20"/>
        <v>2218107.5510204085</v>
      </c>
      <c r="P100" s="261">
        <f t="shared" si="20"/>
        <v>2392354.8979591839</v>
      </c>
    </row>
    <row r="101" spans="2:20" x14ac:dyDescent="0.25">
      <c r="B101" s="4" t="s">
        <v>222</v>
      </c>
      <c r="C101" t="s">
        <v>168</v>
      </c>
      <c r="D101" t="s">
        <v>170</v>
      </c>
      <c r="E101" t="s">
        <v>1</v>
      </c>
      <c r="G101" s="19"/>
      <c r="H101" s="19"/>
      <c r="I101" s="19"/>
      <c r="J101" s="19"/>
      <c r="K101" s="19"/>
      <c r="L101" s="19"/>
      <c r="M101" s="253"/>
      <c r="N101" s="19"/>
      <c r="O101" s="19"/>
      <c r="P101" s="284"/>
    </row>
    <row r="102" spans="2:20" x14ac:dyDescent="0.25">
      <c r="B102" s="4" t="s">
        <v>222</v>
      </c>
      <c r="C102" t="s">
        <v>173</v>
      </c>
      <c r="D102" t="s">
        <v>16</v>
      </c>
      <c r="E102" t="s">
        <v>24</v>
      </c>
      <c r="G102" s="19">
        <f>G74-G106-G100</f>
        <v>1022563.2653061226</v>
      </c>
      <c r="H102" s="19">
        <f t="shared" ref="H102:M102" si="21">H74-H106-H100</f>
        <v>743655.57142857136</v>
      </c>
      <c r="I102" s="19">
        <f t="shared" si="21"/>
        <v>815715.61224489752</v>
      </c>
      <c r="J102" s="19">
        <f t="shared" si="21"/>
        <v>1103154.836734694</v>
      </c>
      <c r="K102" s="19">
        <f t="shared" si="21"/>
        <v>707262.67346938793</v>
      </c>
      <c r="L102" s="19">
        <f t="shared" si="21"/>
        <v>888194.61224489799</v>
      </c>
      <c r="M102" s="253">
        <f t="shared" si="21"/>
        <v>893867.93877551006</v>
      </c>
      <c r="N102" s="306">
        <f>'AcelorMittal sus report data'!S43</f>
        <v>1568</v>
      </c>
      <c r="O102" s="306">
        <f>'AcelorMittal sus report data'!T43</f>
        <v>609</v>
      </c>
      <c r="P102" s="307">
        <f>'AcelorMittal sus report data'!U43</f>
        <v>1530</v>
      </c>
      <c r="R102" s="253" t="s">
        <v>359</v>
      </c>
      <c r="S102" s="306"/>
      <c r="T102" s="306"/>
    </row>
    <row r="103" spans="2:20" x14ac:dyDescent="0.25">
      <c r="B103" s="4" t="s">
        <v>222</v>
      </c>
      <c r="C103" t="s">
        <v>176</v>
      </c>
      <c r="D103" t="s">
        <v>177</v>
      </c>
      <c r="E103" t="s">
        <v>1</v>
      </c>
      <c r="G103" s="19"/>
      <c r="H103" s="19"/>
      <c r="I103" s="19"/>
      <c r="J103" s="19"/>
      <c r="K103" s="19"/>
      <c r="L103" s="19"/>
      <c r="M103" s="253"/>
      <c r="N103" s="306">
        <f>'AcelorMittal sus report data'!S44</f>
        <v>299</v>
      </c>
      <c r="O103" s="306">
        <f>'AcelorMittal sus report data'!T44</f>
        <v>323</v>
      </c>
      <c r="P103" s="307">
        <f>'AcelorMittal sus report data'!U44</f>
        <v>164</v>
      </c>
    </row>
    <row r="104" spans="2:20" x14ac:dyDescent="0.25">
      <c r="B104" s="4" t="s">
        <v>222</v>
      </c>
      <c r="C104" t="s">
        <v>179</v>
      </c>
      <c r="D104" t="s">
        <v>95</v>
      </c>
      <c r="E104" t="s">
        <v>97</v>
      </c>
      <c r="G104" s="308"/>
      <c r="H104" s="308"/>
      <c r="I104" s="308"/>
      <c r="J104" s="308"/>
      <c r="K104" s="308"/>
      <c r="L104" s="308"/>
      <c r="M104" s="309"/>
      <c r="N104" s="308"/>
      <c r="O104" s="308"/>
      <c r="P104" s="307">
        <f>'AcelorMittal sus report data'!U41/2</f>
        <v>481.5</v>
      </c>
    </row>
    <row r="105" spans="2:20" x14ac:dyDescent="0.25">
      <c r="B105" s="4" t="s">
        <v>222</v>
      </c>
      <c r="C105" t="s">
        <v>179</v>
      </c>
      <c r="D105" t="s">
        <v>170</v>
      </c>
      <c r="E105" t="s">
        <v>97</v>
      </c>
      <c r="G105" s="311"/>
      <c r="H105" s="311"/>
      <c r="I105" s="311"/>
      <c r="J105" s="311"/>
      <c r="K105" s="311"/>
      <c r="L105" s="311"/>
      <c r="M105" s="312"/>
      <c r="N105" s="311"/>
      <c r="O105" s="311"/>
      <c r="P105" s="310">
        <f>P104</f>
        <v>481.5</v>
      </c>
    </row>
    <row r="106" spans="2:20" x14ac:dyDescent="0.25">
      <c r="B106" s="4" t="s">
        <v>181</v>
      </c>
      <c r="C106" t="s">
        <v>182</v>
      </c>
      <c r="D106" t="s">
        <v>17</v>
      </c>
      <c r="E106" t="s">
        <v>24</v>
      </c>
      <c r="G106" s="19">
        <f>G67</f>
        <v>983556</v>
      </c>
      <c r="H106" s="19">
        <f t="shared" ref="H106:P106" si="22">H67</f>
        <v>1009564</v>
      </c>
      <c r="I106" s="19">
        <f t="shared" si="22"/>
        <v>930840</v>
      </c>
      <c r="J106" s="19">
        <f t="shared" si="22"/>
        <v>429916</v>
      </c>
      <c r="K106" s="19">
        <f t="shared" si="22"/>
        <v>985958</v>
      </c>
      <c r="L106" s="19">
        <f t="shared" si="22"/>
        <v>659602</v>
      </c>
      <c r="M106" s="253">
        <f t="shared" si="22"/>
        <v>620035</v>
      </c>
      <c r="N106" s="19">
        <f t="shared" si="22"/>
        <v>638912</v>
      </c>
      <c r="O106" s="19">
        <f t="shared" si="22"/>
        <v>665688</v>
      </c>
      <c r="P106" s="284">
        <f t="shared" si="22"/>
        <v>283235</v>
      </c>
    </row>
    <row r="107" spans="2:20" x14ac:dyDescent="0.25">
      <c r="B107" s="4" t="s">
        <v>183</v>
      </c>
      <c r="D107" t="s">
        <v>177</v>
      </c>
      <c r="E107" t="s">
        <v>1</v>
      </c>
      <c r="P107" s="5"/>
    </row>
    <row r="108" spans="2:20" x14ac:dyDescent="0.25">
      <c r="B108" s="4"/>
      <c r="G108" s="19"/>
      <c r="H108" s="19"/>
      <c r="I108" s="19"/>
      <c r="J108" s="19"/>
      <c r="K108" s="19"/>
      <c r="L108" s="19"/>
      <c r="M108" s="253"/>
      <c r="N108" s="19"/>
      <c r="O108" s="19"/>
      <c r="P108" s="284"/>
    </row>
    <row r="109" spans="2:20" x14ac:dyDescent="0.25">
      <c r="B109" s="7"/>
      <c r="C109" s="8"/>
      <c r="D109" s="8"/>
      <c r="E109" s="8" t="s">
        <v>3</v>
      </c>
      <c r="F109" s="8"/>
      <c r="G109" s="121">
        <f>SUM(G100:G107)</f>
        <v>5173676</v>
      </c>
      <c r="H109" s="121">
        <f t="shared" ref="H109:O109" si="23">SUM(H100:H107)</f>
        <v>4521461</v>
      </c>
      <c r="I109" s="121">
        <f t="shared" si="23"/>
        <v>4504275</v>
      </c>
      <c r="J109" s="121">
        <f t="shared" si="23"/>
        <v>3953709</v>
      </c>
      <c r="K109" s="121">
        <f t="shared" si="23"/>
        <v>4366727</v>
      </c>
      <c r="L109" s="121">
        <f t="shared" si="23"/>
        <v>3991686</v>
      </c>
      <c r="M109" s="121">
        <f t="shared" si="23"/>
        <v>3904276</v>
      </c>
      <c r="N109" s="121">
        <f t="shared" si="23"/>
        <v>3256257.3673469387</v>
      </c>
      <c r="O109" s="121">
        <f t="shared" si="23"/>
        <v>2884727.5510204085</v>
      </c>
      <c r="P109" s="124">
        <f>SUM(P100:P107)</f>
        <v>2678246.8979591839</v>
      </c>
    </row>
    <row r="111" spans="2:20" x14ac:dyDescent="0.25">
      <c r="B111" t="s">
        <v>36</v>
      </c>
    </row>
    <row r="112" spans="2:20" x14ac:dyDescent="0.25"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16" x14ac:dyDescent="0.25">
      <c r="B113" s="4"/>
      <c r="M113" s="239" t="s">
        <v>33</v>
      </c>
      <c r="P113" s="5"/>
    </row>
    <row r="114" spans="2:16" x14ac:dyDescent="0.25">
      <c r="B114" s="4"/>
      <c r="M114" s="252">
        <v>2012</v>
      </c>
      <c r="N114" s="18">
        <v>2013</v>
      </c>
      <c r="O114" s="18">
        <v>2014</v>
      </c>
      <c r="P114" s="131">
        <v>2015</v>
      </c>
    </row>
    <row r="115" spans="2:16" x14ac:dyDescent="0.25">
      <c r="B115" s="4"/>
      <c r="D115" t="s">
        <v>24</v>
      </c>
      <c r="M115" s="248">
        <v>3904276</v>
      </c>
      <c r="N115" s="1">
        <v>4271948</v>
      </c>
      <c r="O115" s="1">
        <v>3622909</v>
      </c>
      <c r="P115" s="261">
        <v>3907513</v>
      </c>
    </row>
    <row r="116" spans="2:16" x14ac:dyDescent="0.25">
      <c r="B116" s="4"/>
      <c r="D116" t="s">
        <v>1</v>
      </c>
      <c r="M116" s="248">
        <v>3904276</v>
      </c>
      <c r="N116" s="1">
        <v>3292870</v>
      </c>
      <c r="O116" s="1">
        <v>2789291</v>
      </c>
      <c r="P116" s="261">
        <v>2490587</v>
      </c>
    </row>
    <row r="117" spans="2:16" x14ac:dyDescent="0.25">
      <c r="B117" s="4"/>
      <c r="D117" t="s">
        <v>34</v>
      </c>
      <c r="M117" s="248">
        <v>4599015</v>
      </c>
      <c r="N117" s="1">
        <v>4927550</v>
      </c>
      <c r="O117" s="1">
        <v>4401734</v>
      </c>
      <c r="P117" s="261">
        <v>4463759</v>
      </c>
    </row>
    <row r="118" spans="2:16" x14ac:dyDescent="0.25">
      <c r="B118" s="4"/>
      <c r="D118" t="s">
        <v>20</v>
      </c>
      <c r="M118" s="248">
        <v>1493420</v>
      </c>
      <c r="N118" s="1">
        <v>1295000</v>
      </c>
      <c r="O118" s="1">
        <v>1611530</v>
      </c>
      <c r="P118" s="261">
        <v>1124971</v>
      </c>
    </row>
    <row r="119" spans="2:16" x14ac:dyDescent="0.25">
      <c r="B119" s="4"/>
      <c r="D119" t="s">
        <v>35</v>
      </c>
      <c r="M119" s="248">
        <v>677891</v>
      </c>
      <c r="N119" s="1">
        <v>590356</v>
      </c>
      <c r="O119" s="1">
        <v>585728</v>
      </c>
      <c r="P119" s="261">
        <v>581399</v>
      </c>
    </row>
    <row r="120" spans="2:16" x14ac:dyDescent="0.25">
      <c r="B120" s="4"/>
      <c r="M120" s="248"/>
      <c r="N120" s="1"/>
      <c r="O120" s="1"/>
      <c r="P120" s="261"/>
    </row>
    <row r="121" spans="2:16" x14ac:dyDescent="0.25">
      <c r="B121" s="4"/>
      <c r="D121" t="s">
        <v>31</v>
      </c>
      <c r="M121" s="248">
        <f>M118+M117</f>
        <v>6092435</v>
      </c>
      <c r="N121" s="1">
        <f>N118+N117</f>
        <v>6222550</v>
      </c>
      <c r="O121" s="1">
        <f>O118+O117</f>
        <v>6013264</v>
      </c>
      <c r="P121" s="261">
        <f>P118+P117</f>
        <v>5588730</v>
      </c>
    </row>
    <row r="122" spans="2:16" x14ac:dyDescent="0.25">
      <c r="B122" s="4"/>
      <c r="D122" t="s">
        <v>32</v>
      </c>
      <c r="M122" s="253">
        <f>M116+M115+M119</f>
        <v>8486443</v>
      </c>
      <c r="N122" s="19">
        <f>N116+N115+N119</f>
        <v>8155174</v>
      </c>
      <c r="O122" s="19">
        <f>O116+O115+O119</f>
        <v>6997928</v>
      </c>
      <c r="P122" s="284">
        <f>P116+P115+P119</f>
        <v>6979499</v>
      </c>
    </row>
    <row r="123" spans="2:16" x14ac:dyDescent="0.25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51"/>
      <c r="N123" s="8"/>
      <c r="O123" s="8"/>
      <c r="P123" s="9"/>
    </row>
    <row r="127" spans="2:16" x14ac:dyDescent="0.25">
      <c r="B127" s="93" t="s">
        <v>160</v>
      </c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247"/>
      <c r="N127" s="15"/>
      <c r="O127" s="15"/>
      <c r="P127" s="3"/>
    </row>
    <row r="128" spans="2:16" x14ac:dyDescent="0.25">
      <c r="B128" s="96" t="s">
        <v>349</v>
      </c>
      <c r="P128" s="5"/>
    </row>
    <row r="129" spans="2:19" x14ac:dyDescent="0.25">
      <c r="B129" s="4"/>
      <c r="M129" s="239" t="s">
        <v>189</v>
      </c>
      <c r="P129" s="5"/>
    </row>
    <row r="130" spans="2:19" x14ac:dyDescent="0.25">
      <c r="B130" s="107" t="s">
        <v>161</v>
      </c>
      <c r="C130" s="105" t="s">
        <v>162</v>
      </c>
      <c r="D130" s="105" t="s">
        <v>163</v>
      </c>
      <c r="E130" s="105" t="s">
        <v>164</v>
      </c>
      <c r="M130" s="242">
        <v>2012</v>
      </c>
      <c r="P130" s="5"/>
    </row>
    <row r="131" spans="2:19" x14ac:dyDescent="0.25">
      <c r="B131" s="108" t="s">
        <v>166</v>
      </c>
      <c r="C131" s="106"/>
      <c r="D131" s="106"/>
      <c r="E131" s="106"/>
      <c r="M131" s="244"/>
      <c r="P131" s="5"/>
    </row>
    <row r="132" spans="2:19" x14ac:dyDescent="0.25">
      <c r="B132" s="109" t="s">
        <v>167</v>
      </c>
      <c r="C132" s="100" t="s">
        <v>168</v>
      </c>
      <c r="D132" s="100" t="s">
        <v>16</v>
      </c>
      <c r="E132" s="100" t="s">
        <v>24</v>
      </c>
      <c r="F132" t="s">
        <v>7</v>
      </c>
      <c r="M132" s="243">
        <v>2.1</v>
      </c>
      <c r="P132" s="5"/>
    </row>
    <row r="133" spans="2:19" x14ac:dyDescent="0.25">
      <c r="B133" s="109" t="s">
        <v>167</v>
      </c>
      <c r="C133" s="100" t="s">
        <v>168</v>
      </c>
      <c r="D133" s="100" t="s">
        <v>170</v>
      </c>
      <c r="E133" s="100" t="s">
        <v>1</v>
      </c>
      <c r="F133" t="s">
        <v>9</v>
      </c>
      <c r="M133" s="243">
        <v>0.95</v>
      </c>
      <c r="P133" s="5"/>
    </row>
    <row r="134" spans="2:19" x14ac:dyDescent="0.25">
      <c r="B134" s="109" t="s">
        <v>167</v>
      </c>
      <c r="C134" s="100" t="s">
        <v>173</v>
      </c>
      <c r="D134" s="100" t="s">
        <v>16</v>
      </c>
      <c r="E134" s="100" t="s">
        <v>24</v>
      </c>
      <c r="F134" t="s">
        <v>7</v>
      </c>
      <c r="M134" s="243">
        <v>1.2</v>
      </c>
      <c r="P134" s="5"/>
    </row>
    <row r="135" spans="2:19" x14ac:dyDescent="0.25">
      <c r="B135" s="109" t="s">
        <v>167</v>
      </c>
      <c r="C135" s="100" t="s">
        <v>176</v>
      </c>
      <c r="D135" s="100" t="s">
        <v>177</v>
      </c>
      <c r="E135" s="100" t="s">
        <v>1</v>
      </c>
      <c r="F135" t="s">
        <v>8</v>
      </c>
      <c r="M135" s="243">
        <v>0.26</v>
      </c>
      <c r="P135" s="5"/>
    </row>
    <row r="136" spans="2:19" x14ac:dyDescent="0.25">
      <c r="B136" s="109" t="s">
        <v>167</v>
      </c>
      <c r="C136" s="100" t="s">
        <v>179</v>
      </c>
      <c r="D136" s="100" t="s">
        <v>95</v>
      </c>
      <c r="E136" s="100" t="s">
        <v>97</v>
      </c>
      <c r="F136" s="116" t="s">
        <v>172</v>
      </c>
      <c r="M136" s="243">
        <v>0.67</v>
      </c>
      <c r="P136" s="5"/>
    </row>
    <row r="137" spans="2:19" x14ac:dyDescent="0.25">
      <c r="B137" s="109" t="s">
        <v>167</v>
      </c>
      <c r="C137" s="100" t="s">
        <v>179</v>
      </c>
      <c r="D137" s="100" t="s">
        <v>170</v>
      </c>
      <c r="E137" s="101" t="s">
        <v>97</v>
      </c>
      <c r="F137" s="116" t="s">
        <v>172</v>
      </c>
      <c r="M137" s="243">
        <v>0.54</v>
      </c>
      <c r="P137" s="5"/>
    </row>
    <row r="138" spans="2:19" x14ac:dyDescent="0.25">
      <c r="B138" s="109" t="s">
        <v>181</v>
      </c>
      <c r="C138" s="100" t="s">
        <v>182</v>
      </c>
      <c r="D138" s="100" t="s">
        <v>17</v>
      </c>
      <c r="E138" s="100" t="s">
        <v>24</v>
      </c>
      <c r="F138" t="s">
        <v>10</v>
      </c>
      <c r="M138" s="243">
        <v>0.62</v>
      </c>
      <c r="P138" s="5"/>
    </row>
    <row r="139" spans="2:19" x14ac:dyDescent="0.25">
      <c r="B139" s="109" t="s">
        <v>183</v>
      </c>
      <c r="C139" s="100"/>
      <c r="D139" s="100" t="s">
        <v>177</v>
      </c>
      <c r="E139" s="100" t="s">
        <v>1</v>
      </c>
      <c r="F139" t="s">
        <v>8</v>
      </c>
      <c r="M139" s="243">
        <v>0.6</v>
      </c>
      <c r="P139" s="5"/>
    </row>
    <row r="140" spans="2:19" x14ac:dyDescent="0.25">
      <c r="B140" s="4"/>
      <c r="M140" s="244">
        <f>SUM(M132:M139)</f>
        <v>6.9399999999999995</v>
      </c>
      <c r="P140" s="5"/>
    </row>
    <row r="141" spans="2:19" x14ac:dyDescent="0.25"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51"/>
      <c r="N141" s="8"/>
      <c r="O141" s="8"/>
      <c r="P141" s="9"/>
    </row>
    <row r="143" spans="2:19" x14ac:dyDescent="0.25">
      <c r="B143" t="s">
        <v>294</v>
      </c>
    </row>
    <row r="144" spans="2:19" x14ac:dyDescent="0.25"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247"/>
      <c r="N144" s="15"/>
      <c r="O144" s="15"/>
      <c r="P144" s="15"/>
      <c r="Q144" s="15"/>
      <c r="R144" s="247"/>
      <c r="S144" s="3"/>
    </row>
    <row r="145" spans="2:19" x14ac:dyDescent="0.25">
      <c r="B145" s="4"/>
      <c r="S145" s="5"/>
    </row>
    <row r="146" spans="2:19" x14ac:dyDescent="0.25">
      <c r="B146" s="4" t="s">
        <v>295</v>
      </c>
      <c r="C146" s="8" t="s">
        <v>296</v>
      </c>
      <c r="D146" s="8"/>
      <c r="E146" s="8"/>
      <c r="F146" s="8"/>
      <c r="G146" s="8"/>
      <c r="H146" s="8"/>
      <c r="I146" s="8"/>
      <c r="J146" s="8"/>
      <c r="K146" s="8"/>
      <c r="L146" s="8"/>
      <c r="M146" s="251"/>
      <c r="N146" s="8"/>
      <c r="O146" s="8"/>
      <c r="P146" s="8"/>
      <c r="Q146" s="264">
        <v>0.82</v>
      </c>
      <c r="R146" s="638">
        <v>0.81</v>
      </c>
      <c r="S146" s="265">
        <v>0.85</v>
      </c>
    </row>
    <row r="147" spans="2:19" x14ac:dyDescent="0.25">
      <c r="B147" s="4"/>
      <c r="C147" s="8" t="s">
        <v>5</v>
      </c>
      <c r="D147" s="8" t="s">
        <v>297</v>
      </c>
      <c r="E147" s="8"/>
      <c r="F147" s="8"/>
      <c r="G147" s="8"/>
      <c r="H147" s="8"/>
      <c r="I147" s="8"/>
      <c r="J147" s="8"/>
      <c r="K147" s="8"/>
      <c r="L147" s="8"/>
      <c r="M147" s="251"/>
      <c r="N147" s="8"/>
      <c r="O147" s="8"/>
      <c r="P147" s="8"/>
      <c r="Q147" s="8">
        <v>2.3889999999999998</v>
      </c>
      <c r="R147" s="251">
        <v>2.34</v>
      </c>
      <c r="S147" s="9">
        <v>2.4750000000000001</v>
      </c>
    </row>
    <row r="148" spans="2:19" x14ac:dyDescent="0.25">
      <c r="B148" s="4"/>
      <c r="C148" s="16" t="s">
        <v>298</v>
      </c>
      <c r="Q148" s="266">
        <f>Q147/Q146</f>
        <v>2.9134146341463412</v>
      </c>
      <c r="R148" s="639">
        <f>R147/R146</f>
        <v>2.8888888888888884</v>
      </c>
      <c r="S148" s="267">
        <f>S147/S146</f>
        <v>2.9117647058823533</v>
      </c>
    </row>
    <row r="149" spans="2:19" x14ac:dyDescent="0.25">
      <c r="B149" s="4" t="s">
        <v>138</v>
      </c>
      <c r="C149" s="8" t="s">
        <v>296</v>
      </c>
      <c r="D149" s="8"/>
      <c r="E149" s="8"/>
      <c r="F149" s="8"/>
      <c r="G149" s="8"/>
      <c r="H149" s="8"/>
      <c r="I149" s="8"/>
      <c r="J149" s="8"/>
      <c r="K149" s="8"/>
      <c r="L149" s="8"/>
      <c r="M149" s="251"/>
      <c r="N149" s="8"/>
      <c r="O149" s="8"/>
      <c r="P149" s="8"/>
      <c r="Q149" s="264">
        <v>0.65</v>
      </c>
      <c r="R149" s="638">
        <v>0.86</v>
      </c>
      <c r="S149" s="265">
        <v>0.84</v>
      </c>
    </row>
    <row r="150" spans="2:19" x14ac:dyDescent="0.25">
      <c r="B150" s="4"/>
      <c r="C150" s="8" t="s">
        <v>5</v>
      </c>
      <c r="D150" s="8" t="s">
        <v>297</v>
      </c>
      <c r="E150" s="8"/>
      <c r="F150" s="8"/>
      <c r="G150" s="8"/>
      <c r="H150" s="8"/>
      <c r="I150" s="8"/>
      <c r="J150" s="8"/>
      <c r="K150" s="8"/>
      <c r="L150" s="8"/>
      <c r="M150" s="251"/>
      <c r="N150" s="8"/>
      <c r="O150" s="8"/>
      <c r="P150" s="8"/>
      <c r="Q150" s="8">
        <v>0.83199999999999996</v>
      </c>
      <c r="R150" s="251">
        <v>1.1180000000000001</v>
      </c>
      <c r="S150" s="9">
        <v>1.0860000000000001</v>
      </c>
    </row>
    <row r="151" spans="2:19" x14ac:dyDescent="0.25">
      <c r="B151" s="4"/>
      <c r="C151" s="16" t="s">
        <v>298</v>
      </c>
      <c r="Q151" s="16">
        <f>Q150/Q149</f>
        <v>1.2799999999999998</v>
      </c>
      <c r="R151" s="639">
        <f>R150/R149</f>
        <v>1.3</v>
      </c>
      <c r="S151" s="267">
        <f>S150/S149</f>
        <v>1.2928571428571429</v>
      </c>
    </row>
    <row r="152" spans="2:19" x14ac:dyDescent="0.25">
      <c r="B152" s="4" t="s">
        <v>244</v>
      </c>
      <c r="C152" s="8" t="s">
        <v>296</v>
      </c>
      <c r="D152" s="8"/>
      <c r="E152" s="8"/>
      <c r="F152" s="8"/>
      <c r="G152" s="8"/>
      <c r="H152" s="8"/>
      <c r="I152" s="8"/>
      <c r="J152" s="8"/>
      <c r="K152" s="8"/>
      <c r="L152" s="8"/>
      <c r="M152" s="251"/>
      <c r="N152" s="8"/>
      <c r="O152" s="8"/>
      <c r="P152" s="8"/>
      <c r="Q152" s="264">
        <v>0.81</v>
      </c>
      <c r="R152" s="638">
        <v>0.76</v>
      </c>
      <c r="S152" s="265">
        <v>0.81</v>
      </c>
    </row>
    <row r="153" spans="2:19" x14ac:dyDescent="0.25">
      <c r="B153" s="4"/>
      <c r="C153" s="8" t="s">
        <v>5</v>
      </c>
      <c r="D153" s="8" t="s">
        <v>297</v>
      </c>
      <c r="E153" s="8"/>
      <c r="F153" s="8"/>
      <c r="G153" s="8"/>
      <c r="H153" s="8"/>
      <c r="I153" s="8"/>
      <c r="J153" s="8"/>
      <c r="K153" s="8"/>
      <c r="L153" s="8"/>
      <c r="M153" s="251"/>
      <c r="N153" s="8"/>
      <c r="O153" s="8"/>
      <c r="P153" s="8"/>
      <c r="Q153" s="8">
        <v>1.55</v>
      </c>
      <c r="R153" s="251">
        <v>1.452</v>
      </c>
      <c r="S153" s="9">
        <v>1.5309999999999999</v>
      </c>
    </row>
    <row r="154" spans="2:19" x14ac:dyDescent="0.25">
      <c r="B154" s="4"/>
      <c r="C154" s="16" t="s">
        <v>298</v>
      </c>
      <c r="Q154" s="266">
        <f>Q153/Q152</f>
        <v>1.9135802469135801</v>
      </c>
      <c r="R154" s="639">
        <f>R153/R152</f>
        <v>1.9105263157894736</v>
      </c>
      <c r="S154" s="267">
        <f>S153/S152</f>
        <v>1.8901234567901233</v>
      </c>
    </row>
    <row r="155" spans="2:19" x14ac:dyDescent="0.25">
      <c r="B155" s="4"/>
      <c r="C155" s="16"/>
      <c r="Q155" s="266"/>
      <c r="R155" s="639"/>
      <c r="S155" s="267"/>
    </row>
    <row r="156" spans="2:19" x14ac:dyDescent="0.25">
      <c r="B156" s="4"/>
      <c r="C156" t="s">
        <v>303</v>
      </c>
      <c r="Q156">
        <f>Q153+Q150+Q147</f>
        <v>4.7709999999999999</v>
      </c>
      <c r="R156" s="239">
        <f>R153+R150+R147</f>
        <v>4.91</v>
      </c>
      <c r="S156" s="5">
        <f>S153+S150+S147</f>
        <v>5.0920000000000005</v>
      </c>
    </row>
    <row r="157" spans="2:19" x14ac:dyDescent="0.25">
      <c r="B157" s="4"/>
      <c r="C157" t="s">
        <v>299</v>
      </c>
      <c r="Q157" s="268">
        <f>Q148+Q151+Q154</f>
        <v>6.1069948810599213</v>
      </c>
      <c r="R157" s="640">
        <f>R148+R151+R154</f>
        <v>6.0994152046783618</v>
      </c>
      <c r="S157" s="269">
        <f>S148+S151+S154</f>
        <v>6.094745305529619</v>
      </c>
    </row>
    <row r="158" spans="2:19" x14ac:dyDescent="0.25">
      <c r="B158" s="7"/>
      <c r="C158" s="8" t="s">
        <v>300</v>
      </c>
      <c r="D158" s="8"/>
      <c r="E158" s="8"/>
      <c r="F158" s="8"/>
      <c r="G158" s="8"/>
      <c r="H158" s="8"/>
      <c r="I158" s="8"/>
      <c r="J158" s="8"/>
      <c r="K158" s="8"/>
      <c r="L158" s="8"/>
      <c r="M158" s="251"/>
      <c r="N158" s="8"/>
      <c r="O158" s="8"/>
      <c r="P158" s="8"/>
      <c r="Q158" s="270">
        <f>Q146*(Q148/Q157)+Q149*(Q151/Q157)+Q152*(Q154/Q157)</f>
        <v>0.7812353036018842</v>
      </c>
      <c r="R158" s="641">
        <f>R146*(R148/R157)+R149*(R151/R157)+R152*(R154/R157)</f>
        <v>0.80499520613614584</v>
      </c>
      <c r="S158" s="271">
        <f>S146*(S148/S157)+S149*(S151/S157)+S152*(S154/S157)</f>
        <v>0.83547379664580057</v>
      </c>
    </row>
    <row r="159" spans="2:19" x14ac:dyDescent="0.25">
      <c r="Q159" s="17"/>
      <c r="R159" s="250"/>
      <c r="S159" s="17"/>
    </row>
    <row r="160" spans="2:19" x14ac:dyDescent="0.25">
      <c r="G160" t="s">
        <v>302</v>
      </c>
      <c r="Q160" s="17"/>
      <c r="R160" s="250"/>
      <c r="S160" s="17"/>
    </row>
    <row r="161" spans="2:22" x14ac:dyDescent="0.25">
      <c r="B161" s="280" t="s">
        <v>161</v>
      </c>
      <c r="C161" s="281" t="s">
        <v>162</v>
      </c>
      <c r="D161" s="281" t="s">
        <v>163</v>
      </c>
      <c r="E161" s="281" t="s">
        <v>164</v>
      </c>
      <c r="F161" s="15"/>
      <c r="G161" s="15"/>
      <c r="H161" s="15"/>
      <c r="I161" s="15"/>
      <c r="J161" s="15"/>
      <c r="K161" s="15"/>
      <c r="L161" s="15"/>
      <c r="M161" s="247"/>
      <c r="N161" s="15"/>
      <c r="O161" s="15"/>
      <c r="P161" s="15"/>
      <c r="Q161" s="282"/>
      <c r="R161" s="642"/>
      <c r="S161" s="282"/>
      <c r="T161" s="15"/>
      <c r="U161" s="3"/>
    </row>
    <row r="162" spans="2:22" ht="30" x14ac:dyDescent="0.25">
      <c r="B162" s="108" t="s">
        <v>166</v>
      </c>
      <c r="C162" s="106"/>
      <c r="D162" s="106"/>
      <c r="E162" s="106"/>
      <c r="P162" s="304" t="s">
        <v>321</v>
      </c>
      <c r="Q162" s="17"/>
      <c r="R162" s="250"/>
      <c r="S162" s="17"/>
      <c r="U162" s="5"/>
    </row>
    <row r="163" spans="2:22" x14ac:dyDescent="0.25">
      <c r="B163" s="109" t="s">
        <v>167</v>
      </c>
      <c r="C163" s="100" t="s">
        <v>168</v>
      </c>
      <c r="D163" s="100" t="s">
        <v>16</v>
      </c>
      <c r="E163" s="100" t="s">
        <v>24</v>
      </c>
      <c r="F163" t="s">
        <v>7</v>
      </c>
      <c r="P163" s="287">
        <f>Q163</f>
        <v>1.6141891891891889</v>
      </c>
      <c r="Q163" s="272">
        <f>Q147-Q164</f>
        <v>1.6141891891891889</v>
      </c>
      <c r="R163" s="395">
        <f>R147-R164</f>
        <v>1.5810810810810809</v>
      </c>
      <c r="S163" s="272">
        <f>S147-S164</f>
        <v>1.6722972972972974</v>
      </c>
      <c r="U163" s="5"/>
    </row>
    <row r="164" spans="2:22" x14ac:dyDescent="0.25">
      <c r="B164" s="109" t="s">
        <v>167</v>
      </c>
      <c r="C164" s="100" t="s">
        <v>168</v>
      </c>
      <c r="D164" s="100" t="s">
        <v>170</v>
      </c>
      <c r="E164" s="100" t="s">
        <v>1</v>
      </c>
      <c r="F164" t="s">
        <v>9</v>
      </c>
      <c r="P164" s="287">
        <f>Q164</f>
        <v>0.77481081081081082</v>
      </c>
      <c r="Q164" s="272">
        <f>Q147*Q11/SUM(Q10:Q11)</f>
        <v>0.77481081081081082</v>
      </c>
      <c r="R164" s="395">
        <f>R147*R11/SUM(R10:R11)</f>
        <v>0.75891891891891894</v>
      </c>
      <c r="S164" s="272">
        <f>S147*S11/SUM(S10:S11)</f>
        <v>0.80270270270270283</v>
      </c>
      <c r="U164" s="5"/>
    </row>
    <row r="165" spans="2:22" x14ac:dyDescent="0.25">
      <c r="B165" s="109" t="s">
        <v>167</v>
      </c>
      <c r="C165" s="100" t="s">
        <v>173</v>
      </c>
      <c r="D165" s="100" t="s">
        <v>16</v>
      </c>
      <c r="E165" s="100" t="s">
        <v>24</v>
      </c>
      <c r="F165" t="s">
        <v>7</v>
      </c>
      <c r="P165" s="287">
        <f>Q165</f>
        <v>1.55</v>
      </c>
      <c r="Q165" s="272">
        <f>Q153</f>
        <v>1.55</v>
      </c>
      <c r="R165" s="395">
        <f>R153</f>
        <v>1.452</v>
      </c>
      <c r="S165" s="272">
        <f>S153</f>
        <v>1.5309999999999999</v>
      </c>
      <c r="U165" s="5"/>
    </row>
    <row r="166" spans="2:22" ht="15.75" customHeight="1" x14ac:dyDescent="0.25">
      <c r="B166" s="109" t="s">
        <v>167</v>
      </c>
      <c r="C166" s="100" t="s">
        <v>176</v>
      </c>
      <c r="D166" s="100" t="s">
        <v>177</v>
      </c>
      <c r="E166" s="100" t="s">
        <v>1</v>
      </c>
      <c r="F166" t="s">
        <v>8</v>
      </c>
      <c r="P166" s="303">
        <f>P103/1000</f>
        <v>0.16400000000000001</v>
      </c>
      <c r="Q166" s="272">
        <v>0</v>
      </c>
      <c r="R166" s="395">
        <v>0</v>
      </c>
      <c r="S166" s="272">
        <v>0</v>
      </c>
      <c r="U166" s="5"/>
      <c r="V166" t="s">
        <v>305</v>
      </c>
    </row>
    <row r="167" spans="2:22" x14ac:dyDescent="0.25">
      <c r="B167" s="109" t="s">
        <v>167</v>
      </c>
      <c r="C167" s="100" t="s">
        <v>179</v>
      </c>
      <c r="D167" s="100" t="s">
        <v>95</v>
      </c>
      <c r="E167" s="100" t="s">
        <v>97</v>
      </c>
      <c r="F167" s="116" t="s">
        <v>172</v>
      </c>
      <c r="P167" s="303">
        <f>P104/1000</f>
        <v>0.48149999999999998</v>
      </c>
      <c r="Q167" s="272">
        <f>Q150/2</f>
        <v>0.41599999999999998</v>
      </c>
      <c r="R167" s="395">
        <f>R150/2</f>
        <v>0.55900000000000005</v>
      </c>
      <c r="S167" s="272">
        <f>S150/2</f>
        <v>0.54300000000000004</v>
      </c>
      <c r="U167" s="5"/>
    </row>
    <row r="168" spans="2:22" x14ac:dyDescent="0.25">
      <c r="B168" s="109" t="s">
        <v>167</v>
      </c>
      <c r="C168" s="100" t="s">
        <v>179</v>
      </c>
      <c r="D168" s="100" t="s">
        <v>170</v>
      </c>
      <c r="E168" s="101" t="s">
        <v>97</v>
      </c>
      <c r="F168" s="116" t="s">
        <v>172</v>
      </c>
      <c r="P168" s="303">
        <f>P105/1000</f>
        <v>0.48149999999999998</v>
      </c>
      <c r="Q168" s="272">
        <f>Q167</f>
        <v>0.41599999999999998</v>
      </c>
      <c r="R168" s="395">
        <f>R167</f>
        <v>0.55900000000000005</v>
      </c>
      <c r="S168" s="272">
        <f>S167</f>
        <v>0.54300000000000004</v>
      </c>
      <c r="U168" s="5"/>
    </row>
    <row r="169" spans="2:22" x14ac:dyDescent="0.25">
      <c r="B169" s="109" t="s">
        <v>181</v>
      </c>
      <c r="C169" s="100" t="s">
        <v>182</v>
      </c>
      <c r="D169" s="100" t="s">
        <v>17</v>
      </c>
      <c r="E169" s="100" t="s">
        <v>24</v>
      </c>
      <c r="F169" t="s">
        <v>10</v>
      </c>
      <c r="P169" s="287">
        <f>P177-Q176-P166</f>
        <v>0.1360000000000007</v>
      </c>
      <c r="Q169" s="272">
        <v>0</v>
      </c>
      <c r="R169" s="395">
        <v>0</v>
      </c>
      <c r="S169" s="272">
        <v>0</v>
      </c>
      <c r="U169" s="5"/>
      <c r="V169" t="s">
        <v>613</v>
      </c>
    </row>
    <row r="170" spans="2:22" x14ac:dyDescent="0.25">
      <c r="B170" s="109" t="s">
        <v>183</v>
      </c>
      <c r="C170" s="100"/>
      <c r="D170" s="100" t="s">
        <v>177</v>
      </c>
      <c r="E170" s="100" t="s">
        <v>1</v>
      </c>
      <c r="F170" t="s">
        <v>8</v>
      </c>
      <c r="P170" s="283">
        <f>MIN(P177-SUM(P163:P169),P17)</f>
        <v>1.1980000000000004</v>
      </c>
      <c r="Q170" s="283">
        <f>MIN(Q17,Q176-SUM(Q163:Q169))</f>
        <v>1.3200000000000003</v>
      </c>
      <c r="R170" s="643">
        <f>MIN(R17,R176-SUM(R163:R169))</f>
        <v>1.3200000000000003</v>
      </c>
      <c r="S170" s="283">
        <f>MIN(S17,S176-SUM(S163:S169))</f>
        <v>1.2079999999999993</v>
      </c>
      <c r="U170" s="5"/>
      <c r="V170" s="18" t="s">
        <v>312</v>
      </c>
    </row>
    <row r="171" spans="2:22" x14ac:dyDescent="0.25">
      <c r="B171" s="278"/>
      <c r="C171" s="110"/>
      <c r="D171" s="110"/>
      <c r="E171" s="110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79"/>
      <c r="R171" s="644"/>
      <c r="S171" s="279"/>
      <c r="T171" s="8"/>
      <c r="U171" s="9"/>
    </row>
    <row r="172" spans="2:22" x14ac:dyDescent="0.25">
      <c r="B172" s="100"/>
      <c r="C172" s="100"/>
      <c r="D172" s="100"/>
      <c r="E172" s="100"/>
      <c r="Q172" s="272"/>
      <c r="R172" s="395"/>
      <c r="S172" s="272"/>
    </row>
    <row r="173" spans="2:22" x14ac:dyDescent="0.25">
      <c r="B173" s="100"/>
      <c r="C173" s="100"/>
      <c r="D173" s="100"/>
      <c r="E173" s="100"/>
      <c r="Q173" s="272"/>
      <c r="R173" s="395"/>
      <c r="S173" s="272"/>
    </row>
    <row r="174" spans="2:22" x14ac:dyDescent="0.25">
      <c r="B174" s="100" t="s">
        <v>355</v>
      </c>
      <c r="C174" s="100"/>
      <c r="D174" s="100"/>
      <c r="E174" s="100"/>
      <c r="Q174" s="272"/>
      <c r="R174" s="395"/>
      <c r="S174" s="272"/>
    </row>
    <row r="175" spans="2:22" x14ac:dyDescent="0.25">
      <c r="B175" s="275" t="s">
        <v>304</v>
      </c>
      <c r="C175" s="276"/>
      <c r="D175" s="276"/>
      <c r="E175" s="276"/>
      <c r="F175" s="15"/>
      <c r="G175" s="15"/>
      <c r="H175" s="15"/>
      <c r="I175" s="15"/>
      <c r="J175" s="15"/>
      <c r="K175" s="15"/>
      <c r="L175" s="15"/>
      <c r="M175" s="247"/>
      <c r="N175" s="15"/>
      <c r="O175" s="15"/>
      <c r="P175" s="15"/>
      <c r="Q175" s="277"/>
      <c r="R175" s="645"/>
      <c r="S175" s="277"/>
      <c r="T175" s="15"/>
      <c r="U175" s="3"/>
    </row>
    <row r="176" spans="2:22" x14ac:dyDescent="0.25">
      <c r="B176" s="109"/>
      <c r="C176" s="413" t="s">
        <v>5</v>
      </c>
      <c r="D176" s="413" t="s">
        <v>354</v>
      </c>
      <c r="E176" s="413"/>
      <c r="F176" s="406"/>
      <c r="G176" s="406"/>
      <c r="H176" s="406"/>
      <c r="I176" s="406"/>
      <c r="J176" s="406"/>
      <c r="K176" s="406"/>
      <c r="L176" s="406"/>
      <c r="M176" s="407"/>
      <c r="N176" s="406"/>
      <c r="O176" s="406"/>
      <c r="P176" s="406"/>
      <c r="Q176" s="415">
        <v>6.1</v>
      </c>
      <c r="R176" s="646">
        <v>6.3</v>
      </c>
      <c r="S176" s="415">
        <v>6.3</v>
      </c>
      <c r="U176" s="5"/>
    </row>
    <row r="177" spans="2:21" x14ac:dyDescent="0.25">
      <c r="B177" s="109"/>
      <c r="C177" s="405" t="s">
        <v>5</v>
      </c>
      <c r="D177" s="405" t="s">
        <v>320</v>
      </c>
      <c r="E177" s="405"/>
      <c r="F177" s="406"/>
      <c r="G177" s="406"/>
      <c r="H177" s="406"/>
      <c r="I177" s="406"/>
      <c r="J177" s="406"/>
      <c r="K177" s="406"/>
      <c r="L177" s="406"/>
      <c r="M177" s="407"/>
      <c r="N177" s="406"/>
      <c r="O177" s="406"/>
      <c r="P177" s="406">
        <v>6.4</v>
      </c>
      <c r="Q177" s="408"/>
      <c r="R177" s="647"/>
      <c r="S177" s="408"/>
      <c r="U177" s="5"/>
    </row>
    <row r="178" spans="2:21" x14ac:dyDescent="0.25">
      <c r="B178" s="109"/>
      <c r="C178" s="405"/>
      <c r="D178" s="405" t="s">
        <v>353</v>
      </c>
      <c r="E178" s="405"/>
      <c r="F178" s="406"/>
      <c r="G178" s="406"/>
      <c r="H178" s="406"/>
      <c r="I178" s="406"/>
      <c r="J178" s="406"/>
      <c r="K178" s="406"/>
      <c r="L178" s="406"/>
      <c r="M178" s="407">
        <v>6.9</v>
      </c>
      <c r="N178" s="406">
        <v>7.1</v>
      </c>
      <c r="O178" s="406">
        <v>6.5</v>
      </c>
      <c r="P178" s="406"/>
      <c r="Q178" s="408"/>
      <c r="R178" s="647"/>
      <c r="S178" s="408"/>
      <c r="U178" s="5"/>
    </row>
    <row r="179" spans="2:21" x14ac:dyDescent="0.25">
      <c r="B179" s="109"/>
      <c r="C179" s="409" t="s">
        <v>610</v>
      </c>
      <c r="D179" s="100"/>
      <c r="E179" s="100"/>
      <c r="M179" s="252">
        <f t="shared" ref="M179:S179" si="24">SUM(M176:M178)</f>
        <v>6.9</v>
      </c>
      <c r="N179" s="18">
        <f t="shared" si="24"/>
        <v>7.1</v>
      </c>
      <c r="O179" s="18">
        <f t="shared" si="24"/>
        <v>6.5</v>
      </c>
      <c r="P179" s="18">
        <f t="shared" si="24"/>
        <v>6.4</v>
      </c>
      <c r="Q179" s="388">
        <f t="shared" si="24"/>
        <v>6.1</v>
      </c>
      <c r="R179" s="648">
        <f t="shared" si="24"/>
        <v>6.3</v>
      </c>
      <c r="S179" s="388">
        <f t="shared" si="24"/>
        <v>6.3</v>
      </c>
      <c r="U179" s="5"/>
    </row>
    <row r="180" spans="2:21" x14ac:dyDescent="0.25">
      <c r="B180" s="109"/>
      <c r="U180" s="5"/>
    </row>
    <row r="181" spans="2:21" x14ac:dyDescent="0.25">
      <c r="B181" s="109"/>
      <c r="C181" s="405" t="s">
        <v>601</v>
      </c>
      <c r="D181" s="405" t="s">
        <v>602</v>
      </c>
      <c r="E181" s="405" t="s">
        <v>607</v>
      </c>
      <c r="F181" s="406"/>
      <c r="G181" s="406"/>
      <c r="H181" s="406"/>
      <c r="I181" s="406"/>
      <c r="J181" s="406"/>
      <c r="K181" s="406"/>
      <c r="L181" s="406"/>
      <c r="M181" s="407"/>
      <c r="N181" s="406"/>
      <c r="O181" s="406"/>
      <c r="P181" s="406"/>
      <c r="Q181" s="417">
        <v>0.622</v>
      </c>
      <c r="R181" s="649">
        <v>0.59</v>
      </c>
      <c r="S181" s="414">
        <v>0.61599999999999999</v>
      </c>
      <c r="U181" s="5"/>
    </row>
    <row r="182" spans="2:21" x14ac:dyDescent="0.25">
      <c r="B182" s="109"/>
      <c r="C182" s="405" t="s">
        <v>374</v>
      </c>
      <c r="D182" s="405" t="s">
        <v>603</v>
      </c>
      <c r="E182" s="405" t="s">
        <v>607</v>
      </c>
      <c r="F182" s="406"/>
      <c r="G182" s="406"/>
      <c r="H182" s="406"/>
      <c r="I182" s="406"/>
      <c r="J182" s="406"/>
      <c r="K182" s="406"/>
      <c r="L182" s="406"/>
      <c r="M182" s="407"/>
      <c r="N182" s="406"/>
      <c r="O182" s="406"/>
      <c r="P182" s="406"/>
      <c r="Q182" s="408">
        <v>4.3</v>
      </c>
      <c r="R182" s="650">
        <v>4.4000000000000004</v>
      </c>
      <c r="S182" s="415">
        <v>4.5999999999999996</v>
      </c>
      <c r="U182" s="5"/>
    </row>
    <row r="183" spans="2:21" x14ac:dyDescent="0.25">
      <c r="B183" s="109"/>
      <c r="C183" s="405" t="s">
        <v>20</v>
      </c>
      <c r="D183" s="405" t="s">
        <v>603</v>
      </c>
      <c r="E183" s="405" t="s">
        <v>607</v>
      </c>
      <c r="F183" s="406"/>
      <c r="G183" s="406"/>
      <c r="H183" s="406"/>
      <c r="I183" s="406"/>
      <c r="J183" s="406"/>
      <c r="K183" s="406"/>
      <c r="L183" s="406"/>
      <c r="M183" s="407"/>
      <c r="N183" s="406"/>
      <c r="O183" s="406"/>
      <c r="P183" s="406">
        <v>1.1000000000000001</v>
      </c>
      <c r="Q183" s="408">
        <v>0.7</v>
      </c>
      <c r="R183" s="647">
        <v>0.9</v>
      </c>
      <c r="S183" s="416">
        <v>0.8</v>
      </c>
      <c r="U183" s="5"/>
    </row>
    <row r="184" spans="2:21" x14ac:dyDescent="0.25">
      <c r="B184" s="109"/>
      <c r="C184" s="409" t="s">
        <v>604</v>
      </c>
      <c r="D184" s="409" t="s">
        <v>603</v>
      </c>
      <c r="E184" s="409" t="s">
        <v>605</v>
      </c>
      <c r="F184" s="18"/>
      <c r="G184" s="18"/>
      <c r="H184" s="18"/>
      <c r="I184" s="18"/>
      <c r="J184" s="18"/>
      <c r="K184" s="18"/>
      <c r="L184" s="18"/>
      <c r="M184" s="252"/>
      <c r="N184" s="18"/>
      <c r="O184" s="18"/>
      <c r="P184" s="18"/>
      <c r="Q184" s="18">
        <f>SUM(Q182:Q183)</f>
        <v>5</v>
      </c>
      <c r="R184" s="252">
        <f>SUM(R182:R183)</f>
        <v>5.3000000000000007</v>
      </c>
      <c r="S184" s="18">
        <f>SUM(S182:S183)</f>
        <v>5.3999999999999995</v>
      </c>
      <c r="U184" s="5"/>
    </row>
    <row r="185" spans="2:21" x14ac:dyDescent="0.25">
      <c r="B185" s="109"/>
      <c r="C185" s="409" t="s">
        <v>609</v>
      </c>
      <c r="D185" s="409"/>
      <c r="E185" s="409"/>
      <c r="F185" s="18"/>
      <c r="G185" s="18"/>
      <c r="H185" s="18"/>
      <c r="I185" s="18"/>
      <c r="J185" s="18"/>
      <c r="K185" s="18"/>
      <c r="L185" s="18"/>
      <c r="M185" s="252"/>
      <c r="N185" s="18"/>
      <c r="O185" s="18"/>
      <c r="P185" s="18"/>
      <c r="Q185" s="18"/>
      <c r="R185" s="252"/>
      <c r="S185" s="18"/>
      <c r="U185" s="5"/>
    </row>
    <row r="186" spans="2:21" x14ac:dyDescent="0.25">
      <c r="B186" s="109"/>
      <c r="C186" s="100" t="s">
        <v>24</v>
      </c>
      <c r="D186" s="100" t="s">
        <v>603</v>
      </c>
      <c r="E186" s="100" t="s">
        <v>605</v>
      </c>
      <c r="Q186" s="272">
        <f>Q181*Q179</f>
        <v>3.7941999999999996</v>
      </c>
      <c r="R186" s="395">
        <f>R181*R179</f>
        <v>3.7169999999999996</v>
      </c>
      <c r="S186" s="272">
        <f>S181*S179</f>
        <v>3.8807999999999998</v>
      </c>
      <c r="U186" s="5"/>
    </row>
    <row r="187" spans="2:21" x14ac:dyDescent="0.25">
      <c r="B187" s="278"/>
      <c r="C187" s="110" t="s">
        <v>1</v>
      </c>
      <c r="D187" s="110" t="s">
        <v>603</v>
      </c>
      <c r="E187" s="110" t="s">
        <v>605</v>
      </c>
      <c r="F187" s="8"/>
      <c r="G187" s="8"/>
      <c r="H187" s="8"/>
      <c r="I187" s="8"/>
      <c r="J187" s="8"/>
      <c r="K187" s="8"/>
      <c r="L187" s="8"/>
      <c r="M187" s="251"/>
      <c r="N187" s="8"/>
      <c r="O187" s="8"/>
      <c r="P187" s="8"/>
      <c r="Q187" s="279">
        <f>Q179-Q186</f>
        <v>2.3058000000000001</v>
      </c>
      <c r="R187" s="644">
        <f>R179-R186</f>
        <v>2.5830000000000002</v>
      </c>
      <c r="S187" s="279">
        <f>S179-S186</f>
        <v>2.4192</v>
      </c>
      <c r="T187" s="8"/>
      <c r="U187" s="9"/>
    </row>
    <row r="188" spans="2:21" x14ac:dyDescent="0.25">
      <c r="B188" s="100"/>
      <c r="C188" s="100"/>
      <c r="D188" s="100"/>
      <c r="E188" s="100"/>
      <c r="Q188" s="272"/>
      <c r="R188" s="395"/>
      <c r="S188" s="272"/>
    </row>
    <row r="189" spans="2:21" x14ac:dyDescent="0.25">
      <c r="B189" s="100"/>
      <c r="C189" s="409" t="s">
        <v>640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252"/>
      <c r="N189" s="18"/>
      <c r="O189" s="18"/>
      <c r="P189" s="18"/>
      <c r="Q189" s="18">
        <f>Q156</f>
        <v>4.7709999999999999</v>
      </c>
      <c r="R189" s="252">
        <f>R156</f>
        <v>4.91</v>
      </c>
      <c r="S189" s="18">
        <f>S156</f>
        <v>5.0920000000000005</v>
      </c>
    </row>
    <row r="190" spans="2:21" x14ac:dyDescent="0.25">
      <c r="B190" s="100"/>
      <c r="C190" s="409" t="s">
        <v>644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252"/>
      <c r="N190" s="18"/>
      <c r="O190" s="18"/>
      <c r="P190" s="18"/>
      <c r="Q190" s="328">
        <f>Q179-Q189</f>
        <v>1.3289999999999997</v>
      </c>
      <c r="R190" s="651">
        <f>R179-R189</f>
        <v>1.3899999999999997</v>
      </c>
      <c r="S190" s="328">
        <f>S179-S189</f>
        <v>1.2079999999999993</v>
      </c>
    </row>
    <row r="191" spans="2:21" x14ac:dyDescent="0.25">
      <c r="B191" s="100"/>
    </row>
    <row r="192" spans="2:21" x14ac:dyDescent="0.25">
      <c r="B192" s="100"/>
    </row>
    <row r="193" spans="2:21" x14ac:dyDescent="0.25">
      <c r="C193" s="409" t="s">
        <v>625</v>
      </c>
      <c r="E193" s="100"/>
      <c r="Q193" s="388">
        <f>SUM(Q194:Q198,Q201:Q202)</f>
        <v>4.7709999999999999</v>
      </c>
      <c r="R193" s="648">
        <f>SUM(R194:R198,R201:R202)</f>
        <v>4.91</v>
      </c>
      <c r="S193" s="388">
        <f>SUM(S194:S198,S201:S202)</f>
        <v>5.0920000000000005</v>
      </c>
    </row>
    <row r="194" spans="2:21" x14ac:dyDescent="0.25">
      <c r="B194" s="100" t="s">
        <v>167</v>
      </c>
      <c r="C194" s="100" t="s">
        <v>168</v>
      </c>
      <c r="D194" s="100" t="s">
        <v>16</v>
      </c>
      <c r="E194" s="100" t="s">
        <v>24</v>
      </c>
      <c r="G194" t="s">
        <v>7</v>
      </c>
      <c r="Q194" s="272">
        <f>Q147</f>
        <v>2.3889999999999998</v>
      </c>
      <c r="R194" s="395">
        <f>R147</f>
        <v>2.34</v>
      </c>
      <c r="S194" s="272">
        <f>S147</f>
        <v>2.4750000000000001</v>
      </c>
      <c r="T194" t="s">
        <v>628</v>
      </c>
    </row>
    <row r="195" spans="2:21" x14ac:dyDescent="0.25">
      <c r="B195" s="100" t="s">
        <v>167</v>
      </c>
      <c r="C195" s="100" t="s">
        <v>168</v>
      </c>
      <c r="D195" s="100" t="s">
        <v>170</v>
      </c>
      <c r="E195" s="100" t="s">
        <v>1</v>
      </c>
      <c r="G195" t="s">
        <v>9</v>
      </c>
      <c r="Q195" s="272">
        <v>0</v>
      </c>
      <c r="R195" s="395">
        <v>0</v>
      </c>
      <c r="S195" s="272">
        <v>0</v>
      </c>
      <c r="U195" t="s">
        <v>620</v>
      </c>
    </row>
    <row r="196" spans="2:21" x14ac:dyDescent="0.25">
      <c r="B196" s="100" t="s">
        <v>167</v>
      </c>
      <c r="C196" s="100" t="s">
        <v>173</v>
      </c>
      <c r="D196" s="100" t="s">
        <v>16</v>
      </c>
      <c r="E196" s="100" t="s">
        <v>24</v>
      </c>
      <c r="G196" t="s">
        <v>7</v>
      </c>
      <c r="Q196" s="272">
        <f>Q153</f>
        <v>1.55</v>
      </c>
      <c r="R196" s="395">
        <f>R153</f>
        <v>1.452</v>
      </c>
      <c r="S196" s="272">
        <f>S153</f>
        <v>1.5309999999999999</v>
      </c>
      <c r="T196" t="s">
        <v>628</v>
      </c>
    </row>
    <row r="197" spans="2:21" x14ac:dyDescent="0.25">
      <c r="B197" s="100" t="s">
        <v>167</v>
      </c>
      <c r="C197" s="100" t="s">
        <v>176</v>
      </c>
      <c r="D197" s="100" t="s">
        <v>177</v>
      </c>
      <c r="E197" s="100" t="s">
        <v>1</v>
      </c>
      <c r="G197" t="s">
        <v>8</v>
      </c>
      <c r="Q197" s="272">
        <v>0</v>
      </c>
      <c r="R197" s="395">
        <v>0</v>
      </c>
      <c r="S197" s="272">
        <v>0</v>
      </c>
      <c r="U197" t="s">
        <v>624</v>
      </c>
    </row>
    <row r="198" spans="2:21" x14ac:dyDescent="0.25">
      <c r="B198" s="100" t="s">
        <v>167</v>
      </c>
      <c r="C198" s="100" t="s">
        <v>179</v>
      </c>
      <c r="D198" s="100" t="s">
        <v>614</v>
      </c>
      <c r="E198" s="100" t="s">
        <v>614</v>
      </c>
      <c r="F198" s="116"/>
      <c r="G198" s="116" t="s">
        <v>614</v>
      </c>
      <c r="Q198" s="272">
        <f>Q150</f>
        <v>0.83199999999999996</v>
      </c>
      <c r="R198" s="395">
        <f>R150</f>
        <v>1.1180000000000001</v>
      </c>
      <c r="S198" s="272">
        <f>S150</f>
        <v>1.0860000000000001</v>
      </c>
      <c r="T198" t="s">
        <v>628</v>
      </c>
    </row>
    <row r="199" spans="2:21" x14ac:dyDescent="0.25">
      <c r="B199" s="100" t="s">
        <v>167</v>
      </c>
      <c r="C199" s="100" t="s">
        <v>179</v>
      </c>
      <c r="D199" s="100" t="s">
        <v>95</v>
      </c>
      <c r="E199" s="100" t="s">
        <v>97</v>
      </c>
      <c r="F199" s="116"/>
      <c r="G199" s="116" t="s">
        <v>172</v>
      </c>
      <c r="Q199" s="272">
        <f t="shared" ref="Q199:S200" si="25">Q$198*(Q210/Q$209)</f>
        <v>0.45165714285714281</v>
      </c>
      <c r="R199" s="395">
        <f t="shared" si="25"/>
        <v>0.60691428571428574</v>
      </c>
      <c r="S199" s="272">
        <f t="shared" si="25"/>
        <v>0.58954285714285715</v>
      </c>
      <c r="T199" t="s">
        <v>635</v>
      </c>
    </row>
    <row r="200" spans="2:21" x14ac:dyDescent="0.25">
      <c r="B200" s="100" t="s">
        <v>167</v>
      </c>
      <c r="C200" s="100" t="s">
        <v>179</v>
      </c>
      <c r="D200" s="100" t="s">
        <v>170</v>
      </c>
      <c r="E200" s="101" t="s">
        <v>97</v>
      </c>
      <c r="F200" s="116"/>
      <c r="G200" s="116" t="s">
        <v>172</v>
      </c>
      <c r="Q200" s="272">
        <f t="shared" si="25"/>
        <v>0.38034285714285715</v>
      </c>
      <c r="R200" s="395">
        <f t="shared" si="25"/>
        <v>0.51108571428571437</v>
      </c>
      <c r="S200" s="272">
        <f t="shared" si="25"/>
        <v>0.49645714285714293</v>
      </c>
      <c r="T200" t="s">
        <v>636</v>
      </c>
    </row>
    <row r="201" spans="2:21" x14ac:dyDescent="0.25">
      <c r="B201" s="100" t="s">
        <v>181</v>
      </c>
      <c r="C201" s="100" t="s">
        <v>182</v>
      </c>
      <c r="D201" s="100" t="s">
        <v>17</v>
      </c>
      <c r="E201" s="100" t="s">
        <v>24</v>
      </c>
      <c r="G201" t="s">
        <v>10</v>
      </c>
      <c r="Q201" s="272">
        <v>0</v>
      </c>
      <c r="R201" s="395">
        <v>0</v>
      </c>
      <c r="S201" s="272">
        <v>0</v>
      </c>
      <c r="U201" t="s">
        <v>612</v>
      </c>
    </row>
    <row r="202" spans="2:21" x14ac:dyDescent="0.25">
      <c r="B202" s="100" t="s">
        <v>183</v>
      </c>
      <c r="C202" s="100"/>
      <c r="D202" s="100" t="s">
        <v>177</v>
      </c>
      <c r="E202" s="100" t="s">
        <v>1</v>
      </c>
      <c r="G202" t="s">
        <v>8</v>
      </c>
      <c r="Q202" s="272"/>
      <c r="R202" s="395"/>
      <c r="S202" s="272"/>
    </row>
    <row r="203" spans="2:21" x14ac:dyDescent="0.25">
      <c r="B203" s="100"/>
      <c r="C203" s="100"/>
      <c r="D203" s="100"/>
      <c r="E203" s="100"/>
      <c r="Q203" s="272"/>
      <c r="R203" s="395"/>
      <c r="S203" s="272"/>
    </row>
    <row r="204" spans="2:21" x14ac:dyDescent="0.25">
      <c r="B204" s="100"/>
      <c r="C204" s="409" t="s">
        <v>629</v>
      </c>
      <c r="D204" s="100"/>
      <c r="E204" s="100"/>
      <c r="G204" s="18"/>
      <c r="H204" s="18"/>
      <c r="I204" s="18"/>
      <c r="J204" s="18"/>
      <c r="K204" s="18"/>
      <c r="L204" s="18"/>
      <c r="M204" s="252"/>
      <c r="N204" s="18"/>
      <c r="O204" s="18"/>
      <c r="P204" s="18"/>
      <c r="Q204" s="388">
        <f>SUM(Q205:Q209)</f>
        <v>4.7709999999999999</v>
      </c>
      <c r="R204" s="648">
        <f>SUM(R205:R209)</f>
        <v>4.91</v>
      </c>
      <c r="S204" s="388">
        <f>SUM(S205:S209)</f>
        <v>5.0920000000000005</v>
      </c>
    </row>
    <row r="205" spans="2:21" x14ac:dyDescent="0.25">
      <c r="B205" s="100" t="s">
        <v>167</v>
      </c>
      <c r="C205" s="100" t="s">
        <v>168</v>
      </c>
      <c r="D205" s="100" t="s">
        <v>16</v>
      </c>
      <c r="E205" s="100" t="s">
        <v>24</v>
      </c>
      <c r="G205" s="100" t="s">
        <v>16</v>
      </c>
      <c r="Q205" s="272">
        <f>Q147-Q206</f>
        <v>2.0693428571428569</v>
      </c>
      <c r="R205" s="395">
        <f>R147-R206</f>
        <v>1.9510857142857141</v>
      </c>
      <c r="S205" s="272">
        <f>S147-S206</f>
        <v>2.1714571428571432</v>
      </c>
      <c r="U205" t="s">
        <v>623</v>
      </c>
    </row>
    <row r="206" spans="2:21" x14ac:dyDescent="0.25">
      <c r="B206" s="100" t="s">
        <v>167</v>
      </c>
      <c r="C206" s="100" t="s">
        <v>168</v>
      </c>
      <c r="D206" s="100" t="s">
        <v>170</v>
      </c>
      <c r="E206" s="100" t="s">
        <v>1</v>
      </c>
      <c r="G206" s="100" t="s">
        <v>170</v>
      </c>
      <c r="Q206" s="272">
        <f>Q183-Q211</f>
        <v>0.31965714285714281</v>
      </c>
      <c r="R206" s="395">
        <f>R183-R211</f>
        <v>0.38891428571428566</v>
      </c>
      <c r="S206" s="272">
        <f>S183-S211</f>
        <v>0.30354285714285711</v>
      </c>
      <c r="T206" t="s">
        <v>622</v>
      </c>
      <c r="U206" t="s">
        <v>621</v>
      </c>
    </row>
    <row r="207" spans="2:21" x14ac:dyDescent="0.25">
      <c r="B207" s="100" t="s">
        <v>167</v>
      </c>
      <c r="C207" s="100" t="s">
        <v>173</v>
      </c>
      <c r="D207" s="100" t="s">
        <v>16</v>
      </c>
      <c r="E207" s="100" t="s">
        <v>24</v>
      </c>
      <c r="G207" s="100" t="s">
        <v>16</v>
      </c>
      <c r="Q207" s="272">
        <f>Q153</f>
        <v>1.55</v>
      </c>
      <c r="R207" s="395">
        <f>R153</f>
        <v>1.452</v>
      </c>
      <c r="S207" s="272">
        <f>S153</f>
        <v>1.5309999999999999</v>
      </c>
      <c r="T207" t="s">
        <v>628</v>
      </c>
      <c r="U207" t="s">
        <v>222</v>
      </c>
    </row>
    <row r="208" spans="2:21" x14ac:dyDescent="0.25">
      <c r="B208" s="100" t="s">
        <v>167</v>
      </c>
      <c r="C208" s="100" t="s">
        <v>176</v>
      </c>
      <c r="D208" s="100" t="s">
        <v>177</v>
      </c>
      <c r="E208" s="100" t="s">
        <v>1</v>
      </c>
      <c r="G208" s="100" t="s">
        <v>177</v>
      </c>
      <c r="Q208" s="272"/>
      <c r="R208" s="395"/>
      <c r="S208" s="272"/>
    </row>
    <row r="209" spans="2:20" x14ac:dyDescent="0.25">
      <c r="B209" s="100" t="s">
        <v>167</v>
      </c>
      <c r="C209" s="100" t="s">
        <v>179</v>
      </c>
      <c r="D209" s="100" t="s">
        <v>614</v>
      </c>
      <c r="E209" s="100" t="s">
        <v>614</v>
      </c>
      <c r="F209" s="116"/>
      <c r="G209" s="100" t="s">
        <v>614</v>
      </c>
      <c r="Q209" s="272">
        <f>SUM(Q210:Q211)</f>
        <v>0.83199999999999996</v>
      </c>
      <c r="R209" s="395">
        <f>SUM(R210:R211)</f>
        <v>1.1180000000000001</v>
      </c>
      <c r="S209" s="272">
        <f>SUM(S210:S211)</f>
        <v>1.0860000000000001</v>
      </c>
    </row>
    <row r="210" spans="2:20" x14ac:dyDescent="0.25">
      <c r="B210" s="100" t="s">
        <v>167</v>
      </c>
      <c r="C210" s="100" t="s">
        <v>179</v>
      </c>
      <c r="D210" s="100" t="s">
        <v>95</v>
      </c>
      <c r="E210" s="100" t="s">
        <v>97</v>
      </c>
      <c r="F210" s="116"/>
      <c r="G210" s="100" t="s">
        <v>95</v>
      </c>
      <c r="Q210" s="272">
        <f>'AMSA - Saldanha'!$I54*(Q$198)</f>
        <v>0.45165714285714281</v>
      </c>
      <c r="R210" s="395">
        <f>'AMSA - Saldanha'!$I54*(R$198)</f>
        <v>0.60691428571428574</v>
      </c>
      <c r="S210" s="272">
        <f>'AMSA - Saldanha'!$I54*(S$198)</f>
        <v>0.58954285714285715</v>
      </c>
    </row>
    <row r="211" spans="2:20" x14ac:dyDescent="0.25">
      <c r="B211" s="100" t="s">
        <v>167</v>
      </c>
      <c r="C211" s="100" t="s">
        <v>179</v>
      </c>
      <c r="D211" s="100" t="s">
        <v>170</v>
      </c>
      <c r="E211" s="101" t="s">
        <v>97</v>
      </c>
      <c r="F211" s="116"/>
      <c r="G211" s="100" t="s">
        <v>170</v>
      </c>
      <c r="Q211" s="272">
        <f>'AMSA - Saldanha'!$I55*(Q$198)</f>
        <v>0.38034285714285715</v>
      </c>
      <c r="R211" s="395">
        <f>'AMSA - Saldanha'!$I55*(R$198)</f>
        <v>0.51108571428571437</v>
      </c>
      <c r="S211" s="272">
        <f>'AMSA - Saldanha'!$I55*(S$198)</f>
        <v>0.49645714285714293</v>
      </c>
    </row>
    <row r="212" spans="2:20" x14ac:dyDescent="0.25">
      <c r="B212" s="100" t="s">
        <v>181</v>
      </c>
      <c r="C212" s="100" t="s">
        <v>182</v>
      </c>
      <c r="D212" s="100" t="s">
        <v>17</v>
      </c>
      <c r="E212" s="100" t="s">
        <v>24</v>
      </c>
      <c r="G212" s="100" t="s">
        <v>17</v>
      </c>
      <c r="Q212" s="272"/>
      <c r="R212" s="395"/>
      <c r="S212" s="272"/>
    </row>
    <row r="213" spans="2:20" x14ac:dyDescent="0.25">
      <c r="B213" s="100" t="s">
        <v>183</v>
      </c>
      <c r="C213" s="100"/>
      <c r="D213" s="100" t="s">
        <v>177</v>
      </c>
      <c r="E213" s="100" t="s">
        <v>1</v>
      </c>
      <c r="G213" s="100" t="s">
        <v>177</v>
      </c>
      <c r="Q213" s="272"/>
      <c r="R213" s="395"/>
      <c r="S213" s="272"/>
    </row>
    <row r="214" spans="2:20" x14ac:dyDescent="0.25">
      <c r="B214" s="100"/>
      <c r="C214" s="100"/>
      <c r="D214" s="100"/>
      <c r="E214" s="100"/>
      <c r="G214" s="100"/>
      <c r="Q214" s="272"/>
      <c r="R214" s="395"/>
      <c r="S214" s="272"/>
    </row>
    <row r="215" spans="2:20" x14ac:dyDescent="0.25">
      <c r="B215" s="100"/>
      <c r="C215" s="100" t="s">
        <v>630</v>
      </c>
      <c r="D215" s="100"/>
      <c r="E215" s="100"/>
      <c r="G215" s="100"/>
      <c r="Q215" s="272"/>
      <c r="R215" s="395"/>
      <c r="S215" s="272"/>
    </row>
    <row r="216" spans="2:20" x14ac:dyDescent="0.25">
      <c r="B216" s="100" t="s">
        <v>167</v>
      </c>
      <c r="C216" s="100" t="s">
        <v>168</v>
      </c>
      <c r="D216" s="100" t="s">
        <v>16</v>
      </c>
      <c r="E216" s="100" t="s">
        <v>24</v>
      </c>
      <c r="G216" s="100" t="s">
        <v>16</v>
      </c>
      <c r="Q216" s="272">
        <v>0.23</v>
      </c>
      <c r="R216" s="395">
        <v>0.39</v>
      </c>
      <c r="S216" s="272">
        <v>0.31</v>
      </c>
      <c r="T216" t="s">
        <v>631</v>
      </c>
    </row>
    <row r="217" spans="2:20" x14ac:dyDescent="0.25">
      <c r="B217" s="100"/>
      <c r="C217" s="100" t="s">
        <v>637</v>
      </c>
      <c r="D217" s="100"/>
      <c r="E217" s="100"/>
      <c r="G217" s="100"/>
      <c r="Q217" s="272"/>
      <c r="R217" s="395"/>
      <c r="S217" s="272"/>
    </row>
    <row r="218" spans="2:20" x14ac:dyDescent="0.25">
      <c r="B218" s="100" t="s">
        <v>183</v>
      </c>
      <c r="C218" s="100"/>
      <c r="D218" s="100" t="s">
        <v>177</v>
      </c>
      <c r="E218" s="100" t="s">
        <v>1</v>
      </c>
      <c r="G218" t="s">
        <v>8</v>
      </c>
      <c r="Q218" s="272">
        <f>Q188+0.24</f>
        <v>0.24</v>
      </c>
      <c r="R218" s="395">
        <f>R188+0.39</f>
        <v>0.39</v>
      </c>
      <c r="S218" s="272">
        <f>S188+0.31</f>
        <v>0.31</v>
      </c>
      <c r="T218" t="s">
        <v>631</v>
      </c>
    </row>
    <row r="219" spans="2:20" x14ac:dyDescent="0.25">
      <c r="B219" s="100"/>
      <c r="C219" s="100"/>
      <c r="D219" s="100"/>
      <c r="E219" s="100"/>
      <c r="G219" s="100"/>
      <c r="Q219" s="272"/>
      <c r="R219" s="395"/>
      <c r="S219" s="272"/>
    </row>
    <row r="220" spans="2:20" x14ac:dyDescent="0.25">
      <c r="B220" s="100"/>
      <c r="C220" s="409" t="s">
        <v>632</v>
      </c>
      <c r="D220" s="100"/>
      <c r="E220" s="100"/>
      <c r="Q220" s="272"/>
      <c r="R220" s="395"/>
      <c r="S220" s="272"/>
    </row>
    <row r="221" spans="2:20" x14ac:dyDescent="0.25">
      <c r="B221" s="100"/>
      <c r="C221" s="100" t="s">
        <v>626</v>
      </c>
      <c r="D221" s="100"/>
      <c r="E221" s="100"/>
      <c r="Q221" s="272">
        <f>Q205+Q207+Q210+Q216</f>
        <v>4.3010000000000002</v>
      </c>
      <c r="R221" s="395">
        <f>R205+R207+R210+R216</f>
        <v>4.3999999999999995</v>
      </c>
      <c r="S221" s="272">
        <f>S205+S207+S210+S216</f>
        <v>4.6019999999999994</v>
      </c>
    </row>
    <row r="222" spans="2:20" x14ac:dyDescent="0.25">
      <c r="B222" s="100"/>
      <c r="C222" s="100" t="s">
        <v>627</v>
      </c>
      <c r="D222" s="100"/>
      <c r="E222" s="100"/>
      <c r="Q222" s="272">
        <f>Q206+Q211</f>
        <v>0.7</v>
      </c>
      <c r="R222" s="395">
        <f>R206+R211</f>
        <v>0.9</v>
      </c>
      <c r="S222" s="272">
        <f>S206+S211</f>
        <v>0.8</v>
      </c>
    </row>
    <row r="223" spans="2:20" x14ac:dyDescent="0.25">
      <c r="B223" s="100"/>
      <c r="C223" s="409" t="s">
        <v>643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252"/>
      <c r="N223" s="18"/>
      <c r="O223" s="18"/>
      <c r="P223" s="18"/>
      <c r="Q223" s="329">
        <f>SUM(Q221:Q222)</f>
        <v>5.0010000000000003</v>
      </c>
      <c r="R223" s="652">
        <f>SUM(R221:R222)</f>
        <v>5.3</v>
      </c>
      <c r="S223" s="329">
        <f>SUM(S221:S222)</f>
        <v>5.4019999999999992</v>
      </c>
    </row>
    <row r="224" spans="2:20" x14ac:dyDescent="0.25">
      <c r="B224" s="100"/>
      <c r="C224" s="100" t="s">
        <v>634</v>
      </c>
      <c r="D224" s="100"/>
      <c r="E224" s="100"/>
      <c r="Q224" s="272">
        <f>Q194+Q196+Q199</f>
        <v>4.390657142857143</v>
      </c>
      <c r="R224" s="395">
        <f>R194+R196+R199</f>
        <v>4.3989142857142856</v>
      </c>
      <c r="S224" s="272">
        <f>S194+S196+S199</f>
        <v>4.5955428571428572</v>
      </c>
    </row>
    <row r="225" spans="2:19" x14ac:dyDescent="0.25">
      <c r="B225" s="100"/>
      <c r="C225" s="100" t="s">
        <v>633</v>
      </c>
      <c r="D225" s="100"/>
      <c r="E225" s="100"/>
      <c r="Q225" s="272">
        <f>Q195+Q197+Q200+Q201+Q202+Q218</f>
        <v>0.62034285714285708</v>
      </c>
      <c r="R225" s="395">
        <f>R195+R197+R200+R201+R202+R218</f>
        <v>0.90108571428571438</v>
      </c>
      <c r="S225" s="272">
        <f>S195+S197+S200+S201+S202+S218</f>
        <v>0.80645714285714298</v>
      </c>
    </row>
    <row r="226" spans="2:19" x14ac:dyDescent="0.25">
      <c r="B226" s="100"/>
      <c r="C226" s="409" t="s">
        <v>641</v>
      </c>
      <c r="D226" s="409"/>
      <c r="E226" s="409"/>
      <c r="F226" s="18"/>
      <c r="G226" s="18"/>
      <c r="H226" s="18"/>
      <c r="I226" s="18"/>
      <c r="J226" s="18"/>
      <c r="K226" s="18"/>
      <c r="L226" s="18"/>
      <c r="M226" s="252"/>
      <c r="N226" s="18"/>
      <c r="O226" s="18"/>
      <c r="P226" s="18"/>
      <c r="Q226" s="388">
        <f>SUM(Q224:Q225)</f>
        <v>5.0110000000000001</v>
      </c>
      <c r="R226" s="648">
        <f>SUM(R224:R225)</f>
        <v>5.3</v>
      </c>
      <c r="S226" s="388">
        <f>SUM(S224:S225)</f>
        <v>5.4020000000000001</v>
      </c>
    </row>
    <row r="227" spans="2:19" x14ac:dyDescent="0.25">
      <c r="B227" s="100"/>
      <c r="C227" s="100" t="s">
        <v>638</v>
      </c>
      <c r="D227" s="100"/>
      <c r="E227" s="100"/>
      <c r="Q227" s="17">
        <f>Q224/SUM(Q224:Q225)</f>
        <v>0.87620378025486789</v>
      </c>
      <c r="R227" s="250">
        <f>R224/SUM(R224:R225)</f>
        <v>0.82998382749326149</v>
      </c>
      <c r="S227" s="17">
        <f>S224/SUM(S224:S225)</f>
        <v>0.85071137673877395</v>
      </c>
    </row>
    <row r="228" spans="2:19" x14ac:dyDescent="0.25">
      <c r="B228" s="100"/>
      <c r="C228" s="100" t="s">
        <v>639</v>
      </c>
      <c r="D228" s="100"/>
      <c r="E228" s="100"/>
      <c r="Q228" s="17">
        <f>1-Q227</f>
        <v>0.12379621974513211</v>
      </c>
      <c r="R228" s="250">
        <f>1-R227</f>
        <v>0.17001617250673851</v>
      </c>
      <c r="S228" s="17">
        <f>1-S227</f>
        <v>0.14928862326122605</v>
      </c>
    </row>
    <row r="229" spans="2:19" x14ac:dyDescent="0.25">
      <c r="B229" s="100"/>
      <c r="C229" s="409" t="s">
        <v>642</v>
      </c>
      <c r="D229" s="100"/>
      <c r="E229" s="100"/>
      <c r="Q229" s="17"/>
      <c r="R229" s="250"/>
      <c r="S229" s="17"/>
    </row>
    <row r="230" spans="2:19" x14ac:dyDescent="0.25">
      <c r="B230" s="100" t="s">
        <v>167</v>
      </c>
      <c r="C230" s="100" t="s">
        <v>168</v>
      </c>
      <c r="D230" s="100" t="s">
        <v>16</v>
      </c>
      <c r="E230" s="100" t="s">
        <v>24</v>
      </c>
      <c r="G230" t="s">
        <v>7</v>
      </c>
      <c r="Q230" s="418"/>
      <c r="R230" s="653"/>
      <c r="S230" s="418"/>
    </row>
    <row r="231" spans="2:19" x14ac:dyDescent="0.25">
      <c r="B231" s="100" t="s">
        <v>167</v>
      </c>
      <c r="C231" s="100" t="s">
        <v>168</v>
      </c>
      <c r="D231" s="100" t="s">
        <v>170</v>
      </c>
      <c r="E231" s="100" t="s">
        <v>1</v>
      </c>
      <c r="G231" t="s">
        <v>9</v>
      </c>
      <c r="Q231" s="17"/>
      <c r="R231" s="250"/>
      <c r="S231" s="17"/>
    </row>
    <row r="232" spans="2:19" x14ac:dyDescent="0.25">
      <c r="B232" s="100" t="s">
        <v>167</v>
      </c>
      <c r="C232" s="100" t="s">
        <v>173</v>
      </c>
      <c r="D232" s="100" t="s">
        <v>16</v>
      </c>
      <c r="E232" s="100" t="s">
        <v>24</v>
      </c>
      <c r="G232" t="s">
        <v>7</v>
      </c>
      <c r="Q232" s="17"/>
      <c r="R232" s="250"/>
      <c r="S232" s="17"/>
    </row>
    <row r="233" spans="2:19" x14ac:dyDescent="0.25">
      <c r="B233" s="100" t="s">
        <v>167</v>
      </c>
      <c r="C233" s="100" t="s">
        <v>176</v>
      </c>
      <c r="D233" s="100" t="s">
        <v>177</v>
      </c>
      <c r="E233" s="100" t="s">
        <v>1</v>
      </c>
      <c r="G233" t="s">
        <v>8</v>
      </c>
      <c r="Q233" s="17"/>
      <c r="R233" s="250"/>
      <c r="S233" s="17"/>
    </row>
    <row r="234" spans="2:19" x14ac:dyDescent="0.25">
      <c r="B234" s="100" t="s">
        <v>167</v>
      </c>
      <c r="C234" s="100" t="s">
        <v>179</v>
      </c>
      <c r="D234" s="100" t="s">
        <v>614</v>
      </c>
      <c r="E234" s="100" t="s">
        <v>614</v>
      </c>
      <c r="F234" s="116"/>
      <c r="G234" s="116" t="s">
        <v>614</v>
      </c>
      <c r="Q234" s="17"/>
      <c r="R234" s="250"/>
      <c r="S234" s="17"/>
    </row>
    <row r="235" spans="2:19" x14ac:dyDescent="0.25">
      <c r="B235" s="100" t="s">
        <v>167</v>
      </c>
      <c r="C235" s="100" t="s">
        <v>179</v>
      </c>
      <c r="D235" s="100" t="s">
        <v>95</v>
      </c>
      <c r="E235" s="100" t="s">
        <v>97</v>
      </c>
      <c r="F235" s="116"/>
      <c r="G235" s="116" t="s">
        <v>172</v>
      </c>
      <c r="Q235" s="17"/>
      <c r="R235" s="250"/>
      <c r="S235" s="17"/>
    </row>
    <row r="236" spans="2:19" x14ac:dyDescent="0.25">
      <c r="B236" s="100" t="s">
        <v>167</v>
      </c>
      <c r="C236" s="100" t="s">
        <v>179</v>
      </c>
      <c r="D236" s="100" t="s">
        <v>170</v>
      </c>
      <c r="E236" s="101" t="s">
        <v>97</v>
      </c>
      <c r="F236" s="116"/>
      <c r="G236" s="116" t="s">
        <v>172</v>
      </c>
      <c r="Q236" s="17"/>
      <c r="R236" s="250"/>
      <c r="S236" s="17"/>
    </row>
    <row r="237" spans="2:19" x14ac:dyDescent="0.25">
      <c r="B237" s="100" t="s">
        <v>181</v>
      </c>
      <c r="C237" s="100" t="s">
        <v>182</v>
      </c>
      <c r="D237" s="100" t="s">
        <v>17</v>
      </c>
      <c r="E237" s="100" t="s">
        <v>24</v>
      </c>
      <c r="G237" t="s">
        <v>10</v>
      </c>
      <c r="Q237" s="17"/>
      <c r="R237" s="250"/>
      <c r="S237" s="17"/>
    </row>
    <row r="238" spans="2:19" x14ac:dyDescent="0.25">
      <c r="B238" s="100" t="s">
        <v>183</v>
      </c>
      <c r="C238" s="100"/>
      <c r="D238" s="100" t="s">
        <v>177</v>
      </c>
      <c r="E238" s="100" t="s">
        <v>1</v>
      </c>
      <c r="G238" t="s">
        <v>8</v>
      </c>
      <c r="Q238" s="17"/>
      <c r="R238" s="250"/>
      <c r="S238" s="17"/>
    </row>
    <row r="239" spans="2:19" x14ac:dyDescent="0.25">
      <c r="B239" s="100"/>
      <c r="C239" s="100"/>
      <c r="D239" s="100"/>
      <c r="E239" s="100"/>
      <c r="Q239" s="17"/>
      <c r="R239" s="250"/>
      <c r="S239" s="17"/>
    </row>
    <row r="240" spans="2:19" x14ac:dyDescent="0.25">
      <c r="B240" s="100"/>
      <c r="C240" s="100"/>
      <c r="D240" s="100"/>
      <c r="E240" s="100"/>
      <c r="Q240" s="272"/>
      <c r="R240" s="395"/>
      <c r="S240" s="272"/>
    </row>
    <row r="241" spans="2:22" ht="15.75" x14ac:dyDescent="0.25">
      <c r="B241" s="289" t="s">
        <v>306</v>
      </c>
      <c r="C241" s="100"/>
      <c r="D241" s="100"/>
      <c r="E241" s="100"/>
      <c r="Q241" s="272"/>
      <c r="R241" s="395"/>
      <c r="S241" s="272"/>
    </row>
    <row r="242" spans="2:22" x14ac:dyDescent="0.25">
      <c r="B242" s="275" t="s">
        <v>167</v>
      </c>
      <c r="C242" s="276" t="s">
        <v>168</v>
      </c>
      <c r="D242" s="276" t="s">
        <v>16</v>
      </c>
      <c r="E242" s="276" t="s">
        <v>24</v>
      </c>
      <c r="F242" s="15"/>
      <c r="G242" s="15"/>
      <c r="H242" s="276" t="s">
        <v>309</v>
      </c>
      <c r="I242" s="15"/>
      <c r="J242" s="15"/>
      <c r="K242" s="15"/>
      <c r="L242" s="15"/>
      <c r="M242" s="247"/>
      <c r="N242" s="15"/>
      <c r="O242" s="15"/>
      <c r="P242" s="15"/>
      <c r="Q242" s="290">
        <f>Q146</f>
        <v>0.82</v>
      </c>
      <c r="R242" s="654">
        <f>R146</f>
        <v>0.81</v>
      </c>
      <c r="S242" s="290">
        <f>S146</f>
        <v>0.85</v>
      </c>
      <c r="T242" s="291">
        <f>R242</f>
        <v>0.81</v>
      </c>
      <c r="U242" s="292">
        <f>T242</f>
        <v>0.81</v>
      </c>
      <c r="V242" t="s">
        <v>310</v>
      </c>
    </row>
    <row r="243" spans="2:22" x14ac:dyDescent="0.25">
      <c r="B243" s="109" t="s">
        <v>167</v>
      </c>
      <c r="C243" s="100" t="s">
        <v>168</v>
      </c>
      <c r="D243" s="100" t="s">
        <v>170</v>
      </c>
      <c r="E243" s="100" t="s">
        <v>1</v>
      </c>
      <c r="H243" s="100" t="s">
        <v>309</v>
      </c>
      <c r="Q243" s="286">
        <f>Q242</f>
        <v>0.82</v>
      </c>
      <c r="R243" s="655">
        <f>R242</f>
        <v>0.81</v>
      </c>
      <c r="S243" s="286">
        <f>S242</f>
        <v>0.85</v>
      </c>
      <c r="T243" s="285">
        <v>0.85</v>
      </c>
      <c r="U243" s="293">
        <v>0.81</v>
      </c>
      <c r="V243" t="s">
        <v>310</v>
      </c>
    </row>
    <row r="244" spans="2:22" x14ac:dyDescent="0.25">
      <c r="B244" s="109" t="s">
        <v>167</v>
      </c>
      <c r="C244" s="100" t="s">
        <v>173</v>
      </c>
      <c r="D244" s="100" t="s">
        <v>16</v>
      </c>
      <c r="E244" s="100" t="s">
        <v>24</v>
      </c>
      <c r="H244" s="100" t="s">
        <v>309</v>
      </c>
      <c r="Q244" s="286">
        <f>Q152</f>
        <v>0.81</v>
      </c>
      <c r="R244" s="655">
        <f>R152</f>
        <v>0.76</v>
      </c>
      <c r="S244" s="286">
        <f>S152</f>
        <v>0.81</v>
      </c>
      <c r="T244" s="285">
        <f>R244</f>
        <v>0.76</v>
      </c>
      <c r="U244" s="293">
        <f>T244</f>
        <v>0.76</v>
      </c>
      <c r="V244" t="s">
        <v>310</v>
      </c>
    </row>
    <row r="245" spans="2:22" x14ac:dyDescent="0.25">
      <c r="B245" s="109" t="s">
        <v>167</v>
      </c>
      <c r="C245" s="100" t="s">
        <v>176</v>
      </c>
      <c r="D245" s="100" t="s">
        <v>177</v>
      </c>
      <c r="E245" s="100" t="s">
        <v>1</v>
      </c>
      <c r="Q245" s="272"/>
      <c r="R245" s="395"/>
      <c r="S245" s="272"/>
      <c r="U245" s="5"/>
    </row>
    <row r="246" spans="2:22" x14ac:dyDescent="0.25">
      <c r="B246" s="109" t="s">
        <v>167</v>
      </c>
      <c r="C246" s="100" t="s">
        <v>179</v>
      </c>
      <c r="D246" s="100" t="s">
        <v>95</v>
      </c>
      <c r="E246" s="100" t="s">
        <v>97</v>
      </c>
      <c r="G246" s="116"/>
      <c r="H246" s="100" t="s">
        <v>307</v>
      </c>
      <c r="Q246" s="272"/>
      <c r="R246" s="395"/>
      <c r="S246" s="272"/>
      <c r="U246" s="5">
        <v>0</v>
      </c>
      <c r="V246" t="s">
        <v>308</v>
      </c>
    </row>
    <row r="247" spans="2:22" x14ac:dyDescent="0.25">
      <c r="B247" s="109" t="s">
        <v>167</v>
      </c>
      <c r="C247" s="100" t="s">
        <v>179</v>
      </c>
      <c r="D247" s="100" t="s">
        <v>170</v>
      </c>
      <c r="E247" s="101" t="s">
        <v>97</v>
      </c>
      <c r="G247" s="116"/>
      <c r="H247" t="s">
        <v>307</v>
      </c>
      <c r="Q247" s="272"/>
      <c r="R247" s="395"/>
      <c r="S247" s="272"/>
      <c r="U247" s="5">
        <v>0</v>
      </c>
      <c r="V247" t="s">
        <v>308</v>
      </c>
    </row>
    <row r="248" spans="2:22" x14ac:dyDescent="0.25">
      <c r="B248" s="109" t="s">
        <v>181</v>
      </c>
      <c r="C248" s="100" t="s">
        <v>182</v>
      </c>
      <c r="D248" s="100" t="s">
        <v>17</v>
      </c>
      <c r="E248" s="100" t="s">
        <v>24</v>
      </c>
      <c r="H248" s="100" t="s">
        <v>307</v>
      </c>
      <c r="Q248" s="272"/>
      <c r="R248" s="395"/>
      <c r="S248" s="272"/>
      <c r="U248" s="5">
        <v>0</v>
      </c>
    </row>
    <row r="249" spans="2:22" x14ac:dyDescent="0.25">
      <c r="B249" s="109" t="s">
        <v>183</v>
      </c>
      <c r="C249" s="100"/>
      <c r="D249" s="100" t="s">
        <v>177</v>
      </c>
      <c r="E249" s="100" t="s">
        <v>1</v>
      </c>
      <c r="H249" s="100" t="s">
        <v>309</v>
      </c>
      <c r="Q249" s="272"/>
      <c r="R249" s="395"/>
      <c r="S249" s="272"/>
      <c r="T249" s="285"/>
      <c r="U249" s="293"/>
    </row>
    <row r="250" spans="2:22" x14ac:dyDescent="0.25">
      <c r="B250" s="109"/>
      <c r="C250" s="100"/>
      <c r="D250" s="100"/>
      <c r="E250" s="100"/>
      <c r="H250" s="100"/>
      <c r="Q250" s="272"/>
      <c r="R250" s="395"/>
      <c r="S250" s="272"/>
      <c r="T250" s="285"/>
      <c r="U250" s="293"/>
    </row>
    <row r="251" spans="2:22" x14ac:dyDescent="0.25">
      <c r="B251" s="109"/>
      <c r="C251" s="100"/>
      <c r="D251" s="100"/>
      <c r="E251" s="100"/>
      <c r="Q251" s="272"/>
      <c r="R251" s="395"/>
      <c r="S251" s="272"/>
      <c r="U251" s="5"/>
    </row>
    <row r="252" spans="2:22" ht="15.75" x14ac:dyDescent="0.25">
      <c r="B252" s="337" t="s">
        <v>311</v>
      </c>
      <c r="C252" s="100"/>
      <c r="D252" s="100"/>
      <c r="E252" s="100"/>
      <c r="Q252" s="272"/>
      <c r="R252" s="395"/>
      <c r="S252" s="272"/>
      <c r="U252" s="5"/>
    </row>
    <row r="253" spans="2:22" x14ac:dyDescent="0.25">
      <c r="B253" s="109" t="s">
        <v>167</v>
      </c>
      <c r="C253" s="100" t="s">
        <v>168</v>
      </c>
      <c r="D253" s="100" t="s">
        <v>16</v>
      </c>
      <c r="E253" s="100" t="s">
        <v>24</v>
      </c>
      <c r="F253" t="s">
        <v>7</v>
      </c>
      <c r="H253" s="100" t="s">
        <v>307</v>
      </c>
      <c r="Q253" s="272"/>
      <c r="R253" s="395"/>
      <c r="S253" s="272"/>
      <c r="T253" s="287">
        <f>S163*(T242/S242)</f>
        <v>1.5936009538950717</v>
      </c>
      <c r="U253" s="294">
        <f>T253*(U242/T242)</f>
        <v>1.5936009538950717</v>
      </c>
    </row>
    <row r="254" spans="2:22" x14ac:dyDescent="0.25">
      <c r="B254" s="109" t="s">
        <v>167</v>
      </c>
      <c r="C254" s="100" t="s">
        <v>168</v>
      </c>
      <c r="D254" s="100" t="s">
        <v>170</v>
      </c>
      <c r="E254" s="100" t="s">
        <v>1</v>
      </c>
      <c r="F254" t="s">
        <v>9</v>
      </c>
      <c r="H254" s="100" t="s">
        <v>307</v>
      </c>
      <c r="Q254" s="272"/>
      <c r="R254" s="395"/>
      <c r="S254" s="272"/>
      <c r="T254" s="287">
        <f>S164*(T243/S243)</f>
        <v>0.80270270270270283</v>
      </c>
      <c r="U254" s="294">
        <f>T254*(U243/T243)</f>
        <v>0.76492845786963448</v>
      </c>
    </row>
    <row r="255" spans="2:22" x14ac:dyDescent="0.25">
      <c r="B255" s="109" t="s">
        <v>167</v>
      </c>
      <c r="C255" s="100" t="s">
        <v>173</v>
      </c>
      <c r="D255" s="100" t="s">
        <v>16</v>
      </c>
      <c r="E255" s="100" t="s">
        <v>24</v>
      </c>
      <c r="F255" t="s">
        <v>7</v>
      </c>
      <c r="H255" s="100" t="s">
        <v>307</v>
      </c>
      <c r="Q255" s="272"/>
      <c r="R255" s="395"/>
      <c r="S255" s="272"/>
      <c r="T255" s="287">
        <f>S165*(T244/S244)</f>
        <v>1.4364938271604937</v>
      </c>
      <c r="U255" s="294">
        <f>T255*(U244/T244)</f>
        <v>1.4364938271604937</v>
      </c>
    </row>
    <row r="256" spans="2:22" x14ac:dyDescent="0.25">
      <c r="B256" s="109" t="s">
        <v>167</v>
      </c>
      <c r="C256" s="100" t="s">
        <v>176</v>
      </c>
      <c r="D256" s="100" t="s">
        <v>177</v>
      </c>
      <c r="E256" s="100" t="s">
        <v>1</v>
      </c>
      <c r="F256" t="s">
        <v>8</v>
      </c>
      <c r="H256" s="100" t="s">
        <v>307</v>
      </c>
      <c r="Q256" s="272"/>
      <c r="R256" s="395"/>
      <c r="S256" s="272"/>
      <c r="T256">
        <v>0</v>
      </c>
      <c r="U256" s="5">
        <v>0</v>
      </c>
    </row>
    <row r="257" spans="2:31" x14ac:dyDescent="0.25">
      <c r="B257" s="109" t="s">
        <v>167</v>
      </c>
      <c r="C257" s="100" t="s">
        <v>179</v>
      </c>
      <c r="D257" s="100" t="s">
        <v>95</v>
      </c>
      <c r="E257" s="100" t="s">
        <v>97</v>
      </c>
      <c r="F257" s="116" t="s">
        <v>172</v>
      </c>
      <c r="H257" s="100" t="s">
        <v>307</v>
      </c>
      <c r="Q257" s="272"/>
      <c r="R257" s="395"/>
      <c r="S257" s="272"/>
      <c r="T257" s="287">
        <f>S167</f>
        <v>0.54300000000000004</v>
      </c>
      <c r="U257" s="294">
        <v>0</v>
      </c>
    </row>
    <row r="258" spans="2:31" x14ac:dyDescent="0.25">
      <c r="B258" s="109" t="s">
        <v>167</v>
      </c>
      <c r="C258" s="100" t="s">
        <v>179</v>
      </c>
      <c r="D258" s="100" t="s">
        <v>170</v>
      </c>
      <c r="E258" s="101" t="s">
        <v>97</v>
      </c>
      <c r="F258" s="116" t="s">
        <v>172</v>
      </c>
      <c r="H258" s="100" t="s">
        <v>307</v>
      </c>
      <c r="Q258" s="272"/>
      <c r="R258" s="395"/>
      <c r="S258" s="272"/>
      <c r="T258" s="287">
        <f>S168</f>
        <v>0.54300000000000004</v>
      </c>
      <c r="U258" s="294">
        <v>0</v>
      </c>
    </row>
    <row r="259" spans="2:31" x14ac:dyDescent="0.25">
      <c r="B259" s="109" t="s">
        <v>181</v>
      </c>
      <c r="C259" s="100" t="s">
        <v>182</v>
      </c>
      <c r="D259" s="100" t="s">
        <v>17</v>
      </c>
      <c r="E259" s="100" t="s">
        <v>24</v>
      </c>
      <c r="F259" t="s">
        <v>10</v>
      </c>
      <c r="H259" s="100" t="s">
        <v>307</v>
      </c>
      <c r="Q259" s="272"/>
      <c r="R259" s="395"/>
      <c r="S259" s="272"/>
      <c r="T259" s="287">
        <v>0</v>
      </c>
      <c r="U259" s="294">
        <v>0</v>
      </c>
    </row>
    <row r="260" spans="2:31" x14ac:dyDescent="0.25">
      <c r="B260" s="278" t="s">
        <v>183</v>
      </c>
      <c r="C260" s="110"/>
      <c r="D260" s="110" t="s">
        <v>177</v>
      </c>
      <c r="E260" s="110" t="s">
        <v>1</v>
      </c>
      <c r="F260" s="8" t="s">
        <v>8</v>
      </c>
      <c r="G260" s="8"/>
      <c r="H260" s="110" t="s">
        <v>307</v>
      </c>
      <c r="I260" s="8"/>
      <c r="J260" s="8"/>
      <c r="K260" s="8"/>
      <c r="L260" s="8"/>
      <c r="M260" s="251"/>
      <c r="N260" s="8"/>
      <c r="O260" s="8"/>
      <c r="P260" s="8"/>
      <c r="Q260" s="279"/>
      <c r="R260" s="644"/>
      <c r="S260" s="279"/>
      <c r="T260" s="295">
        <f>S170</f>
        <v>1.2079999999999993</v>
      </c>
      <c r="U260" s="296">
        <f>T260</f>
        <v>1.2079999999999993</v>
      </c>
    </row>
    <row r="261" spans="2:31" x14ac:dyDescent="0.25">
      <c r="B261" s="100"/>
      <c r="C261" s="100"/>
      <c r="D261" s="100"/>
      <c r="E261" s="100"/>
      <c r="Q261" s="272"/>
      <c r="R261" s="395"/>
      <c r="S261" s="272"/>
    </row>
    <row r="262" spans="2:31" x14ac:dyDescent="0.25">
      <c r="Q262" s="272"/>
      <c r="R262" s="395"/>
      <c r="S262" s="272"/>
    </row>
    <row r="263" spans="2:31" ht="18.75" x14ac:dyDescent="0.3">
      <c r="B263" s="112" t="s">
        <v>319</v>
      </c>
    </row>
    <row r="264" spans="2:31" x14ac:dyDescent="0.25"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247"/>
      <c r="N264" s="15"/>
      <c r="O264" s="15"/>
      <c r="P264" s="15"/>
      <c r="Q264" s="15"/>
      <c r="R264" s="247"/>
      <c r="S264" s="15"/>
      <c r="T264" s="15"/>
      <c r="U264" s="15"/>
      <c r="V264" s="3"/>
    </row>
    <row r="265" spans="2:31" ht="16.5" customHeight="1" x14ac:dyDescent="0.25">
      <c r="B265" s="6" t="s">
        <v>207</v>
      </c>
      <c r="N265" s="669" t="s">
        <v>530</v>
      </c>
      <c r="O265" s="670"/>
      <c r="V265" s="5"/>
      <c r="Y265" s="117"/>
      <c r="Z265" s="117">
        <v>2015</v>
      </c>
      <c r="AA265" s="117">
        <v>2016</v>
      </c>
      <c r="AB265" s="117">
        <v>2017</v>
      </c>
      <c r="AC265" s="117">
        <v>2018</v>
      </c>
      <c r="AD265" s="117">
        <v>2019</v>
      </c>
      <c r="AE265" s="117">
        <v>2020</v>
      </c>
    </row>
    <row r="266" spans="2:31" x14ac:dyDescent="0.25">
      <c r="B266" s="129" t="s">
        <v>7</v>
      </c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251">
        <f>SUMIFS(M$132:M$260,$F$132:$F$260,$B266)</f>
        <v>3.3</v>
      </c>
      <c r="N266" s="380">
        <f t="shared" ref="N266:O270" si="26">M266*(N$271/M$271)</f>
        <v>3.3760806916426511</v>
      </c>
      <c r="O266" s="380">
        <f t="shared" si="26"/>
        <v>3.0907780979827089</v>
      </c>
      <c r="P266" s="288">
        <f>SUMIFS(P$132:P$260,$F$132:$F$260,$B266)</f>
        <v>3.1641891891891891</v>
      </c>
      <c r="Q266" s="288">
        <f>SUMIFS(Q$132:Q$260,$F$132:$F$260,$B266)</f>
        <v>3.1641891891891891</v>
      </c>
      <c r="R266" s="656">
        <f t="shared" ref="P266:U270" si="27">SUMIFS(R$132:R$260,$F$132:$F$260,$B266)</f>
        <v>3.0330810810810807</v>
      </c>
      <c r="S266" s="288">
        <f t="shared" si="27"/>
        <v>3.2032972972972971</v>
      </c>
      <c r="T266" s="288">
        <f t="shared" si="27"/>
        <v>3.0300947810555652</v>
      </c>
      <c r="U266" s="288">
        <f t="shared" si="27"/>
        <v>3.0300947810555652</v>
      </c>
      <c r="V266" s="5"/>
      <c r="Y266" s="440" t="s">
        <v>7</v>
      </c>
      <c r="Z266" s="440">
        <v>3.1641891891891891</v>
      </c>
      <c r="AA266" s="440">
        <v>3.1641891891891891</v>
      </c>
      <c r="AB266" s="440">
        <v>3.0330810810810807</v>
      </c>
      <c r="AC266" s="440">
        <v>3.2032972972972971</v>
      </c>
      <c r="AD266" s="440">
        <v>3.0300947810555652</v>
      </c>
      <c r="AE266" s="440">
        <v>3.0300947810555652</v>
      </c>
    </row>
    <row r="267" spans="2:31" x14ac:dyDescent="0.25">
      <c r="B267" s="129" t="s">
        <v>172</v>
      </c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251">
        <f>SUMIFS(M$132:M$260,$F$132:$F$260,$B267)</f>
        <v>1.21</v>
      </c>
      <c r="N267" s="380">
        <f t="shared" si="26"/>
        <v>1.2378962536023055</v>
      </c>
      <c r="O267" s="380">
        <f t="shared" si="26"/>
        <v>1.13328530259366</v>
      </c>
      <c r="P267" s="288">
        <f t="shared" si="27"/>
        <v>0.96299999999999997</v>
      </c>
      <c r="Q267" s="288">
        <f t="shared" si="27"/>
        <v>0.83199999999999996</v>
      </c>
      <c r="R267" s="656">
        <f t="shared" si="27"/>
        <v>1.1180000000000001</v>
      </c>
      <c r="S267" s="288">
        <f t="shared" si="27"/>
        <v>1.0860000000000001</v>
      </c>
      <c r="T267" s="288">
        <f t="shared" si="27"/>
        <v>1.0860000000000001</v>
      </c>
      <c r="U267" s="288">
        <f t="shared" si="27"/>
        <v>0</v>
      </c>
      <c r="V267" s="5"/>
      <c r="Y267" s="440" t="s">
        <v>172</v>
      </c>
      <c r="Z267" s="440">
        <v>0.96299999999999997</v>
      </c>
      <c r="AA267" s="440">
        <v>0.83199999999999996</v>
      </c>
      <c r="AB267" s="440">
        <v>1.1180000000000001</v>
      </c>
      <c r="AC267" s="440">
        <v>1.0860000000000001</v>
      </c>
      <c r="AD267" s="440">
        <v>1.0860000000000001</v>
      </c>
      <c r="AE267" s="440">
        <v>0</v>
      </c>
    </row>
    <row r="268" spans="2:31" x14ac:dyDescent="0.25">
      <c r="B268" s="129" t="s">
        <v>9</v>
      </c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251">
        <f>SUMIFS(M$132:M$260,$F$132:$F$260,$B268)</f>
        <v>0.95</v>
      </c>
      <c r="N268" s="380">
        <f>M268*(N$271/M$271)</f>
        <v>0.97190201729106618</v>
      </c>
      <c r="O268" s="380">
        <f t="shared" si="26"/>
        <v>0.88976945244956762</v>
      </c>
      <c r="P268" s="288">
        <f t="shared" si="27"/>
        <v>0.77481081081081082</v>
      </c>
      <c r="Q268" s="288">
        <f t="shared" si="27"/>
        <v>0.77481081081081082</v>
      </c>
      <c r="R268" s="656">
        <f t="shared" si="27"/>
        <v>0.75891891891891894</v>
      </c>
      <c r="S268" s="288">
        <f t="shared" si="27"/>
        <v>0.80270270270270283</v>
      </c>
      <c r="T268" s="288">
        <f t="shared" si="27"/>
        <v>0.80270270270270283</v>
      </c>
      <c r="U268" s="288">
        <f t="shared" si="27"/>
        <v>0.76492845786963448</v>
      </c>
      <c r="V268" s="5"/>
      <c r="Y268" s="440" t="s">
        <v>9</v>
      </c>
      <c r="Z268" s="440">
        <v>0.77481081081081082</v>
      </c>
      <c r="AA268" s="440">
        <v>0.77481081081081082</v>
      </c>
      <c r="AB268" s="440">
        <v>0.75891891891891894</v>
      </c>
      <c r="AC268" s="440">
        <v>0.80270270270270283</v>
      </c>
      <c r="AD268" s="440">
        <v>0.80270270270270283</v>
      </c>
      <c r="AE268" s="440">
        <v>0.76492845786963448</v>
      </c>
    </row>
    <row r="269" spans="2:31" x14ac:dyDescent="0.25">
      <c r="B269" s="129" t="s">
        <v>10</v>
      </c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251">
        <f>SUMIFS(M$132:M$260,$F$132:$F$260,$B269)</f>
        <v>0.62</v>
      </c>
      <c r="N269" s="380">
        <f t="shared" si="26"/>
        <v>0.63429394812680118</v>
      </c>
      <c r="O269" s="380">
        <f t="shared" si="26"/>
        <v>0.5806916426512968</v>
      </c>
      <c r="P269" s="288">
        <f t="shared" si="27"/>
        <v>0.1360000000000007</v>
      </c>
      <c r="Q269" s="288">
        <f t="shared" si="27"/>
        <v>0</v>
      </c>
      <c r="R269" s="656">
        <f t="shared" si="27"/>
        <v>0</v>
      </c>
      <c r="S269" s="288">
        <f t="shared" si="27"/>
        <v>0</v>
      </c>
      <c r="T269" s="288">
        <f t="shared" si="27"/>
        <v>0</v>
      </c>
      <c r="U269" s="288">
        <f t="shared" si="27"/>
        <v>0</v>
      </c>
      <c r="V269" s="5"/>
      <c r="Y269" s="440" t="s">
        <v>10</v>
      </c>
      <c r="Z269" s="440">
        <v>0.1360000000000007</v>
      </c>
      <c r="AA269" s="440">
        <v>0</v>
      </c>
      <c r="AB269" s="440">
        <v>0</v>
      </c>
      <c r="AC269" s="440">
        <v>0</v>
      </c>
      <c r="AD269" s="440">
        <v>0</v>
      </c>
      <c r="AE269" s="440">
        <v>0</v>
      </c>
    </row>
    <row r="270" spans="2:31" x14ac:dyDescent="0.25">
      <c r="B270" s="129" t="s">
        <v>8</v>
      </c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251">
        <f>SUMIFS(M$132:M$260,$F$132:$F$260,$B270)</f>
        <v>0.86</v>
      </c>
      <c r="N270" s="380">
        <f t="shared" si="26"/>
        <v>0.87982708933717579</v>
      </c>
      <c r="O270" s="380">
        <f t="shared" si="26"/>
        <v>0.8054755043227666</v>
      </c>
      <c r="P270" s="288">
        <f t="shared" si="27"/>
        <v>1.3620000000000003</v>
      </c>
      <c r="Q270" s="288">
        <f t="shared" si="27"/>
        <v>1.3200000000000003</v>
      </c>
      <c r="R270" s="656">
        <f t="shared" si="27"/>
        <v>1.3200000000000003</v>
      </c>
      <c r="S270" s="288">
        <f t="shared" si="27"/>
        <v>1.2079999999999993</v>
      </c>
      <c r="T270" s="288">
        <f t="shared" si="27"/>
        <v>1.2079999999999993</v>
      </c>
      <c r="U270" s="288">
        <f t="shared" si="27"/>
        <v>1.2079999999999993</v>
      </c>
      <c r="V270" s="5"/>
      <c r="Y270" s="440" t="s">
        <v>8</v>
      </c>
      <c r="Z270" s="440">
        <v>1.3620000000000003</v>
      </c>
      <c r="AA270" s="440">
        <v>1.3200000000000003</v>
      </c>
      <c r="AB270" s="440">
        <v>1.3200000000000003</v>
      </c>
      <c r="AC270" s="440">
        <v>1.2079999999999993</v>
      </c>
      <c r="AD270" s="440">
        <v>1.2079999999999993</v>
      </c>
      <c r="AE270" s="440">
        <v>1.2079999999999993</v>
      </c>
    </row>
    <row r="271" spans="2:31" x14ac:dyDescent="0.25">
      <c r="B271" s="115" t="s">
        <v>301</v>
      </c>
      <c r="M271" s="273">
        <f>SUM(M266:M270)</f>
        <v>6.94</v>
      </c>
      <c r="N271" s="274">
        <f>N178</f>
        <v>7.1</v>
      </c>
      <c r="O271" s="274">
        <f>O178</f>
        <v>6.5</v>
      </c>
      <c r="P271" s="374">
        <f t="shared" ref="P271:U271" si="28">SUM(P266:P270)</f>
        <v>6.4000000000000012</v>
      </c>
      <c r="Q271" s="274">
        <f t="shared" si="28"/>
        <v>6.0910000000000002</v>
      </c>
      <c r="R271" s="273">
        <f t="shared" si="28"/>
        <v>6.23</v>
      </c>
      <c r="S271" s="274">
        <f t="shared" si="28"/>
        <v>6.3</v>
      </c>
      <c r="T271" s="374">
        <f t="shared" si="28"/>
        <v>6.1267974837582679</v>
      </c>
      <c r="U271" s="302">
        <f t="shared" si="28"/>
        <v>5.0030232389251985</v>
      </c>
      <c r="V271" s="5"/>
      <c r="Y271" s="440" t="s">
        <v>301</v>
      </c>
      <c r="Z271" s="440">
        <v>6.4000000000000012</v>
      </c>
      <c r="AA271" s="440">
        <v>6.0910000000000002</v>
      </c>
      <c r="AB271" s="440">
        <v>6.23</v>
      </c>
      <c r="AC271" s="440">
        <v>6.3</v>
      </c>
      <c r="AD271" s="440">
        <v>6.1267974837582679</v>
      </c>
      <c r="AE271" s="440">
        <v>5.0030232389251985</v>
      </c>
    </row>
    <row r="272" spans="2:31" x14ac:dyDescent="0.25">
      <c r="B272" s="4"/>
      <c r="V272" s="5"/>
    </row>
    <row r="273" spans="2:22" x14ac:dyDescent="0.25"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51"/>
      <c r="N273" s="8"/>
      <c r="O273" s="8"/>
      <c r="P273" s="8"/>
      <c r="Q273" s="8"/>
      <c r="R273" s="251"/>
      <c r="S273" s="8"/>
      <c r="T273" s="8"/>
      <c r="U273" s="8"/>
      <c r="V273" s="9"/>
    </row>
    <row r="276" spans="2:22" x14ac:dyDescent="0.25">
      <c r="V276" s="596"/>
    </row>
    <row r="277" spans="2:22" x14ac:dyDescent="0.25">
      <c r="V277" s="596" t="s">
        <v>1051</v>
      </c>
    </row>
    <row r="278" spans="2:22" x14ac:dyDescent="0.25">
      <c r="V278" s="596"/>
    </row>
    <row r="279" spans="2:22" x14ac:dyDescent="0.25">
      <c r="O279" s="628" t="s">
        <v>1537</v>
      </c>
      <c r="P279" s="628"/>
      <c r="Q279" s="628"/>
      <c r="V279" s="605"/>
    </row>
    <row r="280" spans="2:22" x14ac:dyDescent="0.25">
      <c r="O280" s="628" t="s">
        <v>1573</v>
      </c>
      <c r="P280" s="628" t="s">
        <v>1546</v>
      </c>
      <c r="Q280" s="628" t="s">
        <v>1574</v>
      </c>
      <c r="R280" s="252">
        <v>2017</v>
      </c>
      <c r="V280" s="605"/>
    </row>
    <row r="281" spans="2:22" x14ac:dyDescent="0.25">
      <c r="O281" s="629" t="s">
        <v>1010</v>
      </c>
      <c r="P281" s="629" t="s">
        <v>1575</v>
      </c>
      <c r="Q281" s="629" t="s">
        <v>1576</v>
      </c>
      <c r="R281" s="239" t="s">
        <v>1577</v>
      </c>
      <c r="V281" s="605"/>
    </row>
    <row r="282" spans="2:22" x14ac:dyDescent="0.25">
      <c r="O282" s="631" t="s">
        <v>1578</v>
      </c>
      <c r="P282" s="629" t="str">
        <f>'I&amp;S SATIM input'!AD108</f>
        <v>IISSSC</v>
      </c>
      <c r="Q282" s="629" t="s">
        <v>142</v>
      </c>
      <c r="R282" s="239">
        <f>R271</f>
        <v>6.23</v>
      </c>
      <c r="V282" s="605"/>
    </row>
    <row r="291" spans="2:24" x14ac:dyDescent="0.25">
      <c r="B291" t="s">
        <v>316</v>
      </c>
    </row>
    <row r="292" spans="2:24" x14ac:dyDescent="0.25"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247"/>
      <c r="N292" s="15"/>
      <c r="O292" s="15"/>
      <c r="P292" s="15"/>
      <c r="Q292" s="15"/>
      <c r="R292" s="247"/>
      <c r="S292" s="15"/>
      <c r="T292" s="15"/>
      <c r="U292" s="15"/>
      <c r="V292" s="3"/>
    </row>
    <row r="293" spans="2:24" x14ac:dyDescent="0.25">
      <c r="B293" s="4" t="s">
        <v>313</v>
      </c>
      <c r="C293" t="s">
        <v>307</v>
      </c>
      <c r="M293" s="239">
        <f t="shared" ref="M293:U293" si="29">M55</f>
        <v>10.3</v>
      </c>
      <c r="N293">
        <f t="shared" si="29"/>
        <v>10.3</v>
      </c>
      <c r="O293">
        <f t="shared" si="29"/>
        <v>10.3</v>
      </c>
      <c r="P293">
        <f t="shared" si="29"/>
        <v>10.3</v>
      </c>
      <c r="Q293">
        <f t="shared" si="29"/>
        <v>10.3</v>
      </c>
      <c r="R293" s="239">
        <f t="shared" si="29"/>
        <v>10.3</v>
      </c>
      <c r="S293">
        <f t="shared" si="29"/>
        <v>10.3</v>
      </c>
      <c r="T293">
        <f t="shared" si="29"/>
        <v>10.3</v>
      </c>
      <c r="U293">
        <f t="shared" si="29"/>
        <v>10.3</v>
      </c>
      <c r="V293" s="5"/>
    </row>
    <row r="294" spans="2:24" x14ac:dyDescent="0.25">
      <c r="B294" s="4" t="s">
        <v>314</v>
      </c>
      <c r="C294" t="s">
        <v>307</v>
      </c>
      <c r="M294" s="239">
        <f>M271</f>
        <v>6.94</v>
      </c>
      <c r="P294">
        <f t="shared" ref="P294:U294" si="30">P271</f>
        <v>6.4000000000000012</v>
      </c>
      <c r="Q294">
        <f t="shared" si="30"/>
        <v>6.0910000000000002</v>
      </c>
      <c r="R294" s="239">
        <f t="shared" si="30"/>
        <v>6.23</v>
      </c>
      <c r="S294">
        <f t="shared" si="30"/>
        <v>6.3</v>
      </c>
      <c r="T294">
        <f t="shared" si="30"/>
        <v>6.1267974837582679</v>
      </c>
      <c r="U294">
        <f t="shared" si="30"/>
        <v>5.0030232389251985</v>
      </c>
      <c r="V294" s="5"/>
    </row>
    <row r="295" spans="2:24" x14ac:dyDescent="0.25">
      <c r="B295" s="4" t="s">
        <v>236</v>
      </c>
      <c r="C295" t="s">
        <v>264</v>
      </c>
      <c r="M295" s="250">
        <f>M294/M293</f>
        <v>0.67378640776699028</v>
      </c>
      <c r="P295" s="17">
        <f t="shared" ref="P295:U295" si="31">P294/P293</f>
        <v>0.62135922330097093</v>
      </c>
      <c r="Q295" s="17">
        <f t="shared" si="31"/>
        <v>0.5913592233009709</v>
      </c>
      <c r="R295" s="250">
        <f t="shared" si="31"/>
        <v>0.60485436893203881</v>
      </c>
      <c r="S295" s="17">
        <f t="shared" si="31"/>
        <v>0.61165048543689315</v>
      </c>
      <c r="T295" s="17">
        <f t="shared" si="31"/>
        <v>0.59483470716099685</v>
      </c>
      <c r="U295" s="17">
        <f t="shared" si="31"/>
        <v>0.48573041154613572</v>
      </c>
      <c r="V295" s="5"/>
      <c r="X295" t="s">
        <v>360</v>
      </c>
    </row>
    <row r="296" spans="2:24" x14ac:dyDescent="0.25">
      <c r="B296" s="4" t="s">
        <v>317</v>
      </c>
      <c r="C296" t="s">
        <v>318</v>
      </c>
      <c r="M296" s="250">
        <f>(M266+M267+M268)/M294</f>
        <v>0.78674351585014402</v>
      </c>
      <c r="N296" s="17"/>
      <c r="O296" s="17"/>
      <c r="P296" s="17">
        <f t="shared" ref="P296:U296" si="32">(P266+P267+P268)/P294</f>
        <v>0.76593749999999983</v>
      </c>
      <c r="Q296" s="17">
        <f t="shared" si="32"/>
        <v>0.78328681661467736</v>
      </c>
      <c r="R296" s="250">
        <f t="shared" si="32"/>
        <v>0.7881219903691814</v>
      </c>
      <c r="S296" s="17">
        <f t="shared" si="32"/>
        <v>0.80825396825396834</v>
      </c>
      <c r="T296" s="17">
        <f t="shared" si="32"/>
        <v>0.80283337205084271</v>
      </c>
      <c r="U296" s="17">
        <f t="shared" si="32"/>
        <v>0.75854599462953642</v>
      </c>
      <c r="V296" s="5"/>
    </row>
    <row r="297" spans="2:24" x14ac:dyDescent="0.25">
      <c r="B297" s="4"/>
      <c r="M297" s="250"/>
      <c r="N297" s="17"/>
      <c r="O297" s="17"/>
      <c r="P297" s="17"/>
      <c r="Q297" s="17"/>
      <c r="R297" s="250"/>
      <c r="S297" s="17"/>
      <c r="T297" s="17"/>
      <c r="U297" s="17"/>
      <c r="V297" s="5"/>
    </row>
    <row r="298" spans="2:24" x14ac:dyDescent="0.25">
      <c r="B298" s="4" t="s">
        <v>315</v>
      </c>
      <c r="V298" s="5"/>
    </row>
    <row r="299" spans="2:24" x14ac:dyDescent="0.25">
      <c r="B299" s="4" t="s">
        <v>24</v>
      </c>
      <c r="C299" t="s">
        <v>189</v>
      </c>
      <c r="M299" s="239">
        <f>M266+M269</f>
        <v>3.92</v>
      </c>
      <c r="P299" s="301">
        <f t="shared" ref="P299:U299" si="33">P266+P269</f>
        <v>3.3001891891891897</v>
      </c>
      <c r="Q299" s="301">
        <f t="shared" si="33"/>
        <v>3.1641891891891891</v>
      </c>
      <c r="R299" s="657">
        <f t="shared" si="33"/>
        <v>3.0330810810810807</v>
      </c>
      <c r="S299" s="301">
        <f t="shared" si="33"/>
        <v>3.2032972972972971</v>
      </c>
      <c r="T299" s="301">
        <f t="shared" si="33"/>
        <v>3.0300947810555652</v>
      </c>
      <c r="U299" s="301">
        <f t="shared" si="33"/>
        <v>3.0300947810555652</v>
      </c>
      <c r="V299" s="5"/>
    </row>
    <row r="300" spans="2:24" x14ac:dyDescent="0.25">
      <c r="B300" s="4" t="s">
        <v>1</v>
      </c>
      <c r="C300" t="s">
        <v>189</v>
      </c>
      <c r="M300" s="239">
        <f>M267+M268+M270</f>
        <v>3.02</v>
      </c>
      <c r="P300" s="301">
        <f t="shared" ref="P300:U300" si="34">P267+P268+P270</f>
        <v>3.0998108108108111</v>
      </c>
      <c r="Q300" s="301">
        <f t="shared" si="34"/>
        <v>2.9268108108108111</v>
      </c>
      <c r="R300" s="657">
        <f t="shared" si="34"/>
        <v>3.1969189189189193</v>
      </c>
      <c r="S300" s="301">
        <f t="shared" si="34"/>
        <v>3.0967027027027023</v>
      </c>
      <c r="T300" s="301">
        <f t="shared" si="34"/>
        <v>3.0967027027027023</v>
      </c>
      <c r="U300" s="301">
        <f t="shared" si="34"/>
        <v>1.9729284578696338</v>
      </c>
      <c r="V300" s="5"/>
    </row>
    <row r="301" spans="2:24" x14ac:dyDescent="0.25">
      <c r="B301" s="4" t="s">
        <v>24</v>
      </c>
      <c r="C301" t="s">
        <v>264</v>
      </c>
      <c r="M301" s="250">
        <f>M299/M294</f>
        <v>0.56484149855907773</v>
      </c>
      <c r="P301" s="17">
        <f t="shared" ref="P301:U301" si="35">P299/P294</f>
        <v>0.51565456081081074</v>
      </c>
      <c r="Q301" s="17">
        <f t="shared" si="35"/>
        <v>0.51948599395652417</v>
      </c>
      <c r="R301" s="250">
        <f t="shared" si="35"/>
        <v>0.48685089583965979</v>
      </c>
      <c r="S301" s="17">
        <f t="shared" si="35"/>
        <v>0.50845988845988843</v>
      </c>
      <c r="T301" s="17">
        <f t="shared" si="35"/>
        <v>0.49456421386346533</v>
      </c>
      <c r="U301" s="17">
        <f t="shared" si="35"/>
        <v>0.60565274961755355</v>
      </c>
      <c r="V301" s="5"/>
    </row>
    <row r="302" spans="2:24" x14ac:dyDescent="0.25">
      <c r="B302" s="4" t="s">
        <v>1</v>
      </c>
      <c r="C302" t="s">
        <v>264</v>
      </c>
      <c r="M302" s="250">
        <f>1-M301</f>
        <v>0.43515850144092227</v>
      </c>
      <c r="P302" s="17">
        <f t="shared" ref="P302:U302" si="36">1-P301</f>
        <v>0.48434543918918926</v>
      </c>
      <c r="Q302" s="17">
        <f t="shared" si="36"/>
        <v>0.48051400604347583</v>
      </c>
      <c r="R302" s="250">
        <f t="shared" si="36"/>
        <v>0.51314910416034021</v>
      </c>
      <c r="S302" s="17">
        <f t="shared" si="36"/>
        <v>0.49154011154011157</v>
      </c>
      <c r="T302" s="17">
        <f t="shared" si="36"/>
        <v>0.50543578613653461</v>
      </c>
      <c r="U302" s="17">
        <f t="shared" si="36"/>
        <v>0.39434725038244645</v>
      </c>
      <c r="V302" s="5"/>
    </row>
    <row r="303" spans="2:24" x14ac:dyDescent="0.25">
      <c r="B303" s="4"/>
      <c r="V303" s="5"/>
    </row>
    <row r="304" spans="2:24" x14ac:dyDescent="0.25">
      <c r="B304" s="4" t="s">
        <v>527</v>
      </c>
      <c r="C304" t="s">
        <v>264</v>
      </c>
      <c r="M304" s="375">
        <f>M270/M271</f>
        <v>0.1239193083573487</v>
      </c>
      <c r="N304" s="376"/>
      <c r="O304" s="376"/>
      <c r="P304" s="377">
        <f t="shared" ref="P304:U304" si="37">P270/P271</f>
        <v>0.21281250000000002</v>
      </c>
      <c r="Q304" s="377">
        <f t="shared" si="37"/>
        <v>0.21671318338532264</v>
      </c>
      <c r="R304" s="375">
        <f t="shared" si="37"/>
        <v>0.21187800963081865</v>
      </c>
      <c r="S304" s="377">
        <f t="shared" si="37"/>
        <v>0.19174603174603164</v>
      </c>
      <c r="T304" s="378">
        <f t="shared" si="37"/>
        <v>0.19716662794915726</v>
      </c>
      <c r="U304" s="377">
        <f t="shared" si="37"/>
        <v>0.24145400537046363</v>
      </c>
      <c r="V304" s="5"/>
    </row>
    <row r="305" spans="2:22" x14ac:dyDescent="0.25"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51"/>
      <c r="N305" s="8"/>
      <c r="O305" s="8"/>
      <c r="P305" s="8"/>
      <c r="Q305" s="8"/>
      <c r="R305" s="251"/>
      <c r="S305" s="8"/>
      <c r="T305" s="8"/>
      <c r="U305" s="8"/>
      <c r="V305" s="9"/>
    </row>
  </sheetData>
  <mergeCells count="6">
    <mergeCell ref="N265:O265"/>
    <mergeCell ref="G9:J9"/>
    <mergeCell ref="B66:B72"/>
    <mergeCell ref="B74:B76"/>
    <mergeCell ref="B78:B80"/>
    <mergeCell ref="C66:C6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13"/>
  <sheetViews>
    <sheetView topLeftCell="A91" workbookViewId="0">
      <selection activeCell="C111" sqref="C111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420</v>
      </c>
      <c r="J2" t="s">
        <v>426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433</v>
      </c>
    </row>
    <row r="5" spans="1:12" x14ac:dyDescent="0.25">
      <c r="A5" s="4" t="s">
        <v>422</v>
      </c>
      <c r="B5" s="355">
        <v>220000</v>
      </c>
      <c r="C5" t="s">
        <v>423</v>
      </c>
      <c r="H5" s="5"/>
      <c r="J5">
        <v>30</v>
      </c>
      <c r="K5" t="s">
        <v>434</v>
      </c>
    </row>
    <row r="6" spans="1:12" x14ac:dyDescent="0.25">
      <c r="A6" s="4" t="s">
        <v>463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421</v>
      </c>
      <c r="C8">
        <v>195000</v>
      </c>
      <c r="D8">
        <v>190000</v>
      </c>
      <c r="E8">
        <v>184000</v>
      </c>
      <c r="G8" t="s">
        <v>288</v>
      </c>
      <c r="H8" s="5"/>
      <c r="J8" t="s">
        <v>430</v>
      </c>
    </row>
    <row r="9" spans="1:12" x14ac:dyDescent="0.25">
      <c r="A9" s="4" t="s">
        <v>424</v>
      </c>
      <c r="C9">
        <v>1.4</v>
      </c>
      <c r="D9">
        <v>1.4</v>
      </c>
      <c r="E9">
        <v>1.4</v>
      </c>
      <c r="G9" t="s">
        <v>425</v>
      </c>
      <c r="H9" s="5"/>
      <c r="J9" t="s">
        <v>431</v>
      </c>
    </row>
    <row r="10" spans="1:12" x14ac:dyDescent="0.25">
      <c r="A10" s="4"/>
      <c r="H10" s="5"/>
    </row>
    <row r="11" spans="1:12" x14ac:dyDescent="0.25">
      <c r="A11" s="4" t="s">
        <v>429</v>
      </c>
      <c r="H11" s="5"/>
    </row>
    <row r="12" spans="1:12" x14ac:dyDescent="0.25">
      <c r="A12" s="4" t="s">
        <v>427</v>
      </c>
      <c r="C12">
        <v>367</v>
      </c>
      <c r="D12">
        <v>193</v>
      </c>
      <c r="E12">
        <v>158</v>
      </c>
      <c r="G12" t="s">
        <v>428</v>
      </c>
      <c r="H12" s="5"/>
      <c r="J12" t="s">
        <v>464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552</v>
      </c>
    </row>
    <row r="15" spans="1:12" x14ac:dyDescent="0.25">
      <c r="A15" s="4" t="s">
        <v>432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551</v>
      </c>
      <c r="L16" s="5"/>
    </row>
    <row r="17" spans="1:12" x14ac:dyDescent="0.25">
      <c r="J17" s="4" t="s">
        <v>205</v>
      </c>
      <c r="K17">
        <v>2.91</v>
      </c>
      <c r="L17" s="5"/>
    </row>
    <row r="18" spans="1:12" x14ac:dyDescent="0.25">
      <c r="J18" s="4" t="s">
        <v>550</v>
      </c>
      <c r="K18">
        <v>2.7</v>
      </c>
      <c r="L18" s="5"/>
    </row>
    <row r="19" spans="1:12" x14ac:dyDescent="0.25">
      <c r="A19" t="s">
        <v>478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54">
        <v>695000</v>
      </c>
      <c r="C21" t="s">
        <v>479</v>
      </c>
      <c r="H21" s="5"/>
    </row>
    <row r="22" spans="1:12" x14ac:dyDescent="0.25">
      <c r="A22" s="4" t="s">
        <v>480</v>
      </c>
      <c r="B22" s="1">
        <v>190000</v>
      </c>
      <c r="C22" t="s">
        <v>481</v>
      </c>
      <c r="H22" s="5"/>
      <c r="J22">
        <v>30</v>
      </c>
      <c r="K22" t="s">
        <v>434</v>
      </c>
    </row>
    <row r="23" spans="1:12" x14ac:dyDescent="0.25">
      <c r="A23" s="4"/>
      <c r="H23" s="5"/>
      <c r="J23" s="19">
        <f>B21*1000*J22/1000000000</f>
        <v>20.85</v>
      </c>
      <c r="K23" t="s">
        <v>1605</v>
      </c>
    </row>
    <row r="24" spans="1:12" x14ac:dyDescent="0.25">
      <c r="A24" s="4" t="s">
        <v>424</v>
      </c>
      <c r="B24">
        <v>1.4</v>
      </c>
      <c r="C24" t="s">
        <v>482</v>
      </c>
      <c r="H24" s="5"/>
    </row>
    <row r="25" spans="1:12" x14ac:dyDescent="0.25">
      <c r="A25" s="4"/>
      <c r="H25" s="5"/>
    </row>
    <row r="26" spans="1:12" x14ac:dyDescent="0.25">
      <c r="A26" s="4"/>
      <c r="B26" s="321">
        <f>B24*1000000000/B22</f>
        <v>7368.4210526315792</v>
      </c>
      <c r="C26" t="s">
        <v>483</v>
      </c>
      <c r="H26" s="5"/>
      <c r="J26" s="321">
        <f>J22</f>
        <v>30</v>
      </c>
      <c r="K26" t="s">
        <v>148</v>
      </c>
    </row>
    <row r="27" spans="1:12" x14ac:dyDescent="0.25">
      <c r="A27" s="4"/>
      <c r="H27" s="5"/>
      <c r="J27" s="301">
        <f>B26/J26</f>
        <v>245.61403508771932</v>
      </c>
      <c r="K27" t="s">
        <v>662</v>
      </c>
      <c r="L27" t="s">
        <v>1606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446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447</v>
      </c>
      <c r="H37" s="5"/>
    </row>
    <row r="38" spans="1:8" x14ac:dyDescent="0.25">
      <c r="A38" s="4" t="s">
        <v>448</v>
      </c>
      <c r="H38" s="5"/>
    </row>
    <row r="39" spans="1:8" x14ac:dyDescent="0.25">
      <c r="A39" s="4"/>
      <c r="H39" s="5"/>
    </row>
    <row r="40" spans="1:8" x14ac:dyDescent="0.25">
      <c r="A40" s="4" t="s">
        <v>449</v>
      </c>
      <c r="H40" s="5"/>
    </row>
    <row r="41" spans="1:8" x14ac:dyDescent="0.25">
      <c r="A41" s="4"/>
      <c r="B41" t="s">
        <v>5</v>
      </c>
      <c r="C41" t="s">
        <v>451</v>
      </c>
      <c r="H41" s="5"/>
    </row>
    <row r="42" spans="1:8" x14ac:dyDescent="0.25">
      <c r="A42" s="4" t="s">
        <v>450</v>
      </c>
      <c r="B42">
        <v>0.4</v>
      </c>
      <c r="C42">
        <v>1.8</v>
      </c>
      <c r="D42" t="s">
        <v>189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465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592</v>
      </c>
    </row>
    <row r="50" spans="1:14" x14ac:dyDescent="0.25">
      <c r="A50" s="4"/>
      <c r="C50" t="s">
        <v>473</v>
      </c>
      <c r="H50" s="5"/>
    </row>
    <row r="51" spans="1:14" x14ac:dyDescent="0.25">
      <c r="A51" s="4" t="s">
        <v>467</v>
      </c>
      <c r="B51" t="s">
        <v>469</v>
      </c>
      <c r="C51" s="1">
        <v>1088723</v>
      </c>
      <c r="D51" t="s">
        <v>466</v>
      </c>
      <c r="F51" t="s">
        <v>471</v>
      </c>
      <c r="H51" s="5"/>
      <c r="J51" s="119">
        <f>C51/0.52</f>
        <v>2093698.0769230768</v>
      </c>
      <c r="K51" t="s">
        <v>474</v>
      </c>
      <c r="M51" s="19">
        <f>C51/1000</f>
        <v>1088.723</v>
      </c>
      <c r="N51" t="s">
        <v>593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475</v>
      </c>
      <c r="M52" s="321">
        <f>J52/1000</f>
        <v>62.810942307692308</v>
      </c>
      <c r="N52" t="s">
        <v>594</v>
      </c>
    </row>
    <row r="53" spans="1:14" x14ac:dyDescent="0.25">
      <c r="A53" s="4" t="s">
        <v>470</v>
      </c>
      <c r="B53" t="s">
        <v>468</v>
      </c>
      <c r="C53" s="1">
        <v>317799</v>
      </c>
      <c r="D53" t="s">
        <v>466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648</v>
      </c>
    </row>
    <row r="55" spans="1:14" x14ac:dyDescent="0.25">
      <c r="A55" s="4" t="s">
        <v>23</v>
      </c>
      <c r="B55" t="s">
        <v>472</v>
      </c>
      <c r="C55" s="1">
        <v>8569232</v>
      </c>
      <c r="D55" t="s">
        <v>466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476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477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487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488</v>
      </c>
      <c r="B74">
        <v>1.1499999999999999</v>
      </c>
      <c r="C74" t="s">
        <v>489</v>
      </c>
      <c r="H74" s="5"/>
    </row>
    <row r="75" spans="1:12" x14ac:dyDescent="0.25">
      <c r="A75" s="4"/>
      <c r="H75" s="5"/>
    </row>
    <row r="76" spans="1:12" x14ac:dyDescent="0.25">
      <c r="A76" s="4" t="s">
        <v>490</v>
      </c>
      <c r="B76" s="285">
        <v>0.65</v>
      </c>
      <c r="C76" t="s">
        <v>564</v>
      </c>
      <c r="H76" s="5"/>
    </row>
    <row r="77" spans="1:12" x14ac:dyDescent="0.25">
      <c r="A77" s="4" t="s">
        <v>491</v>
      </c>
      <c r="B77" s="285">
        <v>0.35</v>
      </c>
      <c r="C77" t="s">
        <v>1497</v>
      </c>
      <c r="H77" s="5"/>
    </row>
    <row r="78" spans="1:12" x14ac:dyDescent="0.25">
      <c r="A78" s="4"/>
      <c r="H78" s="5"/>
    </row>
    <row r="79" spans="1:12" x14ac:dyDescent="0.25">
      <c r="A79" s="4" t="s">
        <v>494</v>
      </c>
      <c r="H79" s="5"/>
    </row>
    <row r="80" spans="1:12" x14ac:dyDescent="0.25">
      <c r="A80" s="4"/>
      <c r="B80" t="s">
        <v>493</v>
      </c>
      <c r="H80" s="5"/>
      <c r="J80" t="s">
        <v>434</v>
      </c>
      <c r="L80" t="s">
        <v>495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492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503</v>
      </c>
      <c r="L84" s="356">
        <f>SUM(L81:L83)</f>
        <v>15570</v>
      </c>
      <c r="M84" s="18" t="s">
        <v>496</v>
      </c>
    </row>
    <row r="85" spans="1:15" x14ac:dyDescent="0.25">
      <c r="A85" s="4"/>
      <c r="H85" s="5"/>
      <c r="K85" t="s">
        <v>11</v>
      </c>
      <c r="L85" s="359">
        <f>L81+L82</f>
        <v>11730</v>
      </c>
      <c r="M85" s="18" t="s">
        <v>496</v>
      </c>
    </row>
    <row r="86" spans="1:15" x14ac:dyDescent="0.25">
      <c r="A86" s="4" t="s">
        <v>497</v>
      </c>
      <c r="B86">
        <v>1.8</v>
      </c>
      <c r="C86" t="s">
        <v>498</v>
      </c>
      <c r="H86" s="5"/>
      <c r="K86" t="s">
        <v>13</v>
      </c>
      <c r="L86" s="359">
        <f>L83</f>
        <v>3840</v>
      </c>
      <c r="M86" s="18" t="s">
        <v>496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1"/>
    </row>
    <row r="93" spans="1:15" x14ac:dyDescent="0.25">
      <c r="O93" s="321"/>
    </row>
    <row r="94" spans="1:15" x14ac:dyDescent="0.25">
      <c r="B94" t="s">
        <v>649</v>
      </c>
      <c r="J94" s="285"/>
      <c r="O94" s="321"/>
    </row>
    <row r="95" spans="1:15" x14ac:dyDescent="0.25">
      <c r="B95" t="s">
        <v>661</v>
      </c>
      <c r="J95" s="285"/>
    </row>
    <row r="96" spans="1:15" ht="15.75" thickBot="1" x14ac:dyDescent="0.3">
      <c r="B96" s="419"/>
      <c r="C96" s="419" t="s">
        <v>650</v>
      </c>
      <c r="D96" s="419" t="s">
        <v>651</v>
      </c>
      <c r="E96" s="419" t="s">
        <v>652</v>
      </c>
      <c r="F96" s="419" t="s">
        <v>653</v>
      </c>
      <c r="G96" s="419" t="s">
        <v>654</v>
      </c>
      <c r="J96" s="119"/>
    </row>
    <row r="97" spans="2:12" ht="29.25" thickBot="1" x14ac:dyDescent="0.3">
      <c r="B97" s="420" t="s">
        <v>655</v>
      </c>
      <c r="C97" s="421" t="s">
        <v>656</v>
      </c>
      <c r="D97" s="421" t="s">
        <v>657</v>
      </c>
      <c r="E97" s="421" t="s">
        <v>658</v>
      </c>
      <c r="F97" s="421" t="s">
        <v>659</v>
      </c>
      <c r="G97" s="421">
        <v>179.47</v>
      </c>
      <c r="H97" s="422" t="s">
        <v>660</v>
      </c>
    </row>
    <row r="98" spans="2:12" x14ac:dyDescent="0.25">
      <c r="J98" s="119"/>
    </row>
    <row r="100" spans="2:12" x14ac:dyDescent="0.25">
      <c r="G100">
        <f>G97*16</f>
        <v>2871.52</v>
      </c>
      <c r="H100" t="s">
        <v>483</v>
      </c>
      <c r="J100" s="320">
        <v>29</v>
      </c>
      <c r="K100" t="s">
        <v>148</v>
      </c>
    </row>
    <row r="101" spans="2:12" x14ac:dyDescent="0.25">
      <c r="G101" s="321">
        <f>G100/J100</f>
        <v>99.017931034482757</v>
      </c>
      <c r="H101" t="s">
        <v>662</v>
      </c>
    </row>
    <row r="107" spans="2:12" x14ac:dyDescent="0.25">
      <c r="B107" s="623"/>
      <c r="C107" s="623"/>
      <c r="D107" s="624" t="s">
        <v>1537</v>
      </c>
      <c r="F107" s="623"/>
      <c r="G107" s="626"/>
      <c r="H107" s="596" t="s">
        <v>1393</v>
      </c>
      <c r="J107" s="596"/>
      <c r="K107" s="596"/>
      <c r="L107" s="596"/>
    </row>
    <row r="108" spans="2:12" ht="23.25" x14ac:dyDescent="0.25">
      <c r="B108" s="622" t="s">
        <v>1513</v>
      </c>
      <c r="C108" s="600" t="s">
        <v>1538</v>
      </c>
      <c r="D108" s="600" t="s">
        <v>1539</v>
      </c>
      <c r="E108" s="601" t="s">
        <v>1540</v>
      </c>
      <c r="F108" s="601" t="s">
        <v>1607</v>
      </c>
      <c r="G108" s="598" t="s">
        <v>902</v>
      </c>
      <c r="H108" s="598" t="str">
        <f>"ENV_ACT~"&amp;H107</f>
        <v>ENV_ACT~CO2SP</v>
      </c>
      <c r="J108" s="596"/>
      <c r="K108" s="596"/>
      <c r="L108" s="596"/>
    </row>
    <row r="109" spans="2:12" x14ac:dyDescent="0.25">
      <c r="B109" s="99" t="s">
        <v>1235</v>
      </c>
      <c r="C109" t="s">
        <v>1610</v>
      </c>
      <c r="D109" t="str">
        <f>'I&amp;S SATIM input'!D124</f>
        <v>IISCKE</v>
      </c>
      <c r="E109" s="19">
        <f>J23</f>
        <v>20.85</v>
      </c>
      <c r="F109">
        <v>0</v>
      </c>
      <c r="G109">
        <f>1/G113</f>
        <v>1.5384615384615383</v>
      </c>
      <c r="H109">
        <f>M54</f>
        <v>17.333333333333332</v>
      </c>
      <c r="J109" s="596"/>
      <c r="K109" s="596"/>
      <c r="L109" s="596"/>
    </row>
    <row r="113" spans="7:8" x14ac:dyDescent="0.25">
      <c r="G113">
        <v>0.65</v>
      </c>
      <c r="H113" t="s">
        <v>1608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workbookViewId="0"/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8" t="s">
        <v>364</v>
      </c>
    </row>
    <row r="4" spans="1:15" x14ac:dyDescent="0.25">
      <c r="B4" s="18" t="s">
        <v>365</v>
      </c>
    </row>
    <row r="5" spans="1:15" x14ac:dyDescent="0.25">
      <c r="B5" s="14"/>
      <c r="C5" s="305" t="s">
        <v>330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3"/>
    </row>
    <row r="6" spans="1:15" x14ac:dyDescent="0.25">
      <c r="B6" s="4"/>
      <c r="C6" t="s">
        <v>322</v>
      </c>
      <c r="D6" t="s">
        <v>13</v>
      </c>
      <c r="E6" t="s">
        <v>11</v>
      </c>
      <c r="F6" t="s">
        <v>323</v>
      </c>
      <c r="G6" t="s">
        <v>324</v>
      </c>
      <c r="H6" t="s">
        <v>325</v>
      </c>
      <c r="I6" t="s">
        <v>153</v>
      </c>
      <c r="J6" t="s">
        <v>326</v>
      </c>
      <c r="K6" t="s">
        <v>327</v>
      </c>
      <c r="L6" t="s">
        <v>328</v>
      </c>
      <c r="M6" t="s">
        <v>14</v>
      </c>
      <c r="N6" t="s">
        <v>200</v>
      </c>
      <c r="O6" s="5"/>
    </row>
    <row r="7" spans="1:15" x14ac:dyDescent="0.25">
      <c r="B7" s="4" t="s">
        <v>329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8" t="s">
        <v>366</v>
      </c>
      <c r="C12" s="8"/>
    </row>
    <row r="13" spans="1:15" x14ac:dyDescent="0.25">
      <c r="B13" s="14"/>
      <c r="D13" s="15"/>
      <c r="E13" s="15"/>
      <c r="F13" s="15"/>
      <c r="G13" s="15"/>
      <c r="H13" s="15"/>
      <c r="I13" s="15"/>
      <c r="J13" s="15"/>
      <c r="K13" s="15"/>
      <c r="L13" s="15"/>
      <c r="M13" s="3"/>
    </row>
    <row r="14" spans="1:15" x14ac:dyDescent="0.25">
      <c r="B14" s="4" t="s">
        <v>416</v>
      </c>
      <c r="M14" s="5"/>
    </row>
    <row r="15" spans="1:15" ht="15.75" x14ac:dyDescent="0.25">
      <c r="B15" s="4"/>
      <c r="C15" s="24" t="s">
        <v>7</v>
      </c>
      <c r="D15" s="24" t="s">
        <v>9</v>
      </c>
      <c r="E15" s="24" t="s">
        <v>47</v>
      </c>
      <c r="F15" s="24" t="s">
        <v>8</v>
      </c>
      <c r="G15" s="24" t="s">
        <v>172</v>
      </c>
      <c r="H15" s="24" t="s">
        <v>10</v>
      </c>
      <c r="M15" s="5"/>
    </row>
    <row r="16" spans="1:15" x14ac:dyDescent="0.25">
      <c r="B16" s="4" t="s">
        <v>13</v>
      </c>
      <c r="C16" s="272">
        <f>'Energy Intensity'!D36</f>
        <v>4.3302170790299686</v>
      </c>
      <c r="D16" s="272">
        <f>'Energy Intensity'!E36</f>
        <v>20.596584135938251</v>
      </c>
      <c r="E16" s="272">
        <f>'Energy Intensity'!F36</f>
        <v>0</v>
      </c>
      <c r="F16" s="272">
        <f>'Energy Intensity'!G36</f>
        <v>0</v>
      </c>
      <c r="G16" s="272">
        <f>'Energy Intensity'!H36</f>
        <v>17.2</v>
      </c>
      <c r="H16" s="272">
        <f>'Energy Intensity'!I36</f>
        <v>20.61</v>
      </c>
      <c r="M16" s="5"/>
    </row>
    <row r="17" spans="1:13" x14ac:dyDescent="0.25">
      <c r="B17" s="4" t="s">
        <v>11</v>
      </c>
      <c r="C17" s="272">
        <f>'Energy Intensity'!D37</f>
        <v>8.8757836125478331</v>
      </c>
      <c r="D17" s="272">
        <f>'Energy Intensity'!E37</f>
        <v>0</v>
      </c>
      <c r="E17" s="272">
        <f>'Energy Intensity'!F37</f>
        <v>0</v>
      </c>
      <c r="F17" s="272">
        <f>'Energy Intensity'!G37</f>
        <v>0</v>
      </c>
      <c r="G17" s="272">
        <f>'Energy Intensity'!H37</f>
        <v>2.6</v>
      </c>
      <c r="H17" s="272">
        <f>'Energy Intensity'!I37</f>
        <v>0</v>
      </c>
      <c r="M17" s="5"/>
    </row>
    <row r="18" spans="1:13" x14ac:dyDescent="0.25">
      <c r="B18" s="4" t="s">
        <v>14</v>
      </c>
      <c r="C18" s="272">
        <f>'Energy Intensity'!D38</f>
        <v>5.8326578025314344</v>
      </c>
      <c r="D18" s="272">
        <f>'Energy Intensity'!E38</f>
        <v>14.230367221193701</v>
      </c>
      <c r="E18" s="272">
        <f>'Energy Intensity'!F38</f>
        <v>0</v>
      </c>
      <c r="F18" s="272">
        <f>'Energy Intensity'!G38</f>
        <v>7.5</v>
      </c>
      <c r="G18" s="272">
        <f>'Energy Intensity'!H38</f>
        <v>4.3499999999999996</v>
      </c>
      <c r="H18" s="272">
        <f>'Energy Intensity'!I38</f>
        <v>20.61</v>
      </c>
      <c r="M18" s="5"/>
    </row>
    <row r="19" spans="1:13" x14ac:dyDescent="0.25">
      <c r="B19" s="4" t="s">
        <v>132</v>
      </c>
      <c r="C19" s="272">
        <f>'Energy Intensity'!D39</f>
        <v>6.2130485287834842</v>
      </c>
      <c r="D19" s="272">
        <f>'Energy Intensity'!E39</f>
        <v>2.2380324578113369</v>
      </c>
      <c r="E19" s="272">
        <f>'Energy Intensity'!F39</f>
        <v>0</v>
      </c>
      <c r="F19" s="272">
        <f>'Energy Intensity'!G39</f>
        <v>2.5</v>
      </c>
      <c r="G19" s="272">
        <f>'Energy Intensity'!H39</f>
        <v>0.91</v>
      </c>
      <c r="H19" s="272">
        <f>'Energy Intensity'!I39</f>
        <v>3.4349999999999996</v>
      </c>
      <c r="M19" s="5"/>
    </row>
    <row r="20" spans="1:13" x14ac:dyDescent="0.25">
      <c r="B20" s="4" t="s">
        <v>133</v>
      </c>
      <c r="C20" s="272">
        <f>'Energy Intensity'!D40</f>
        <v>0.12679690875068336</v>
      </c>
      <c r="D20" s="272">
        <f>'Energy Intensity'!E40</f>
        <v>0.37448334792615001</v>
      </c>
      <c r="E20" s="272">
        <f>'Energy Intensity'!F40</f>
        <v>0</v>
      </c>
      <c r="F20" s="272">
        <f>'Energy Intensity'!G40</f>
        <v>0</v>
      </c>
      <c r="G20" s="272">
        <f>'Energy Intensity'!H40</f>
        <v>0</v>
      </c>
      <c r="H20" s="272">
        <f>'Energy Intensity'!I40</f>
        <v>1.145</v>
      </c>
      <c r="M20" s="5"/>
    </row>
    <row r="21" spans="1:13" x14ac:dyDescent="0.25">
      <c r="B21" s="4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8">
        <v>2012</v>
      </c>
      <c r="B24" s="18" t="s">
        <v>5</v>
      </c>
    </row>
    <row r="25" spans="1:13" x14ac:dyDescent="0.25">
      <c r="B25" t="s">
        <v>189</v>
      </c>
      <c r="C25">
        <f>SUMIFS('Methodology Cap &amp; Prod'!$M$266:$M$270,'Methodology Cap &amp; Prod'!$B$266:$B$270,C15)</f>
        <v>3.3</v>
      </c>
      <c r="D25">
        <f>SUMIFS('Methodology Cap &amp; Prod'!$M$266:$M$270,'Methodology Cap &amp; Prod'!$B$266:$B$270,D15)</f>
        <v>0.95</v>
      </c>
      <c r="E25">
        <f>SUMIFS('Methodology Cap &amp; Prod'!$M$266:$M$270,'Methodology Cap &amp; Prod'!$B$266:$B$270,E15)</f>
        <v>0</v>
      </c>
      <c r="F25">
        <f>SUMIFS('Methodology Cap &amp; Prod'!$M$266:$M$270,'Methodology Cap &amp; Prod'!$B$266:$B$270,F15)</f>
        <v>0.86</v>
      </c>
      <c r="G25">
        <f>SUMIFS('Methodology Cap &amp; Prod'!$M$266:$M$270,'Methodology Cap &amp; Prod'!$B$266:$B$270,G15)</f>
        <v>1.21</v>
      </c>
      <c r="H25">
        <f>SUMIFS('Methodology Cap &amp; Prod'!$M$266:$M$270,'Methodology Cap &amp; Prod'!$B$266:$B$270,H15)</f>
        <v>0.62</v>
      </c>
    </row>
    <row r="27" spans="1:13" x14ac:dyDescent="0.25">
      <c r="B27" s="18" t="s">
        <v>368</v>
      </c>
    </row>
    <row r="28" spans="1:13" x14ac:dyDescent="0.25">
      <c r="J28" t="s">
        <v>142</v>
      </c>
    </row>
    <row r="29" spans="1:13" x14ac:dyDescent="0.25">
      <c r="B29" t="str">
        <f>B16</f>
        <v>Coal</v>
      </c>
      <c r="C29" s="315">
        <f t="shared" ref="C29:H29" si="0">C16*C$25</f>
        <v>14.289716360798895</v>
      </c>
      <c r="D29" s="315">
        <f t="shared" si="0"/>
        <v>19.566754929141336</v>
      </c>
      <c r="E29" s="315">
        <f t="shared" si="0"/>
        <v>0</v>
      </c>
      <c r="F29" s="315">
        <f t="shared" si="0"/>
        <v>0</v>
      </c>
      <c r="G29" s="315">
        <f t="shared" si="0"/>
        <v>20.811999999999998</v>
      </c>
      <c r="H29" s="315">
        <f t="shared" si="0"/>
        <v>12.7782</v>
      </c>
      <c r="J29" s="318">
        <f>SUM(C29:H29)</f>
        <v>67.446671289940227</v>
      </c>
      <c r="K29" s="321"/>
    </row>
    <row r="30" spans="1:13" x14ac:dyDescent="0.25">
      <c r="B30" t="str">
        <f>B17</f>
        <v>Coke</v>
      </c>
      <c r="C30" s="315">
        <f t="shared" ref="C30:H33" si="1">C17*C$25</f>
        <v>29.290085921407847</v>
      </c>
      <c r="D30" s="315">
        <f t="shared" si="1"/>
        <v>0</v>
      </c>
      <c r="E30" s="315">
        <f t="shared" si="1"/>
        <v>0</v>
      </c>
      <c r="F30" s="315">
        <f t="shared" si="1"/>
        <v>0</v>
      </c>
      <c r="G30" s="315">
        <f t="shared" si="1"/>
        <v>3.1459999999999999</v>
      </c>
      <c r="H30" s="315">
        <f t="shared" si="1"/>
        <v>0</v>
      </c>
      <c r="J30" s="318">
        <f>SUM(C30:H30)</f>
        <v>32.436085921407845</v>
      </c>
      <c r="K30" s="321"/>
    </row>
    <row r="31" spans="1:13" x14ac:dyDescent="0.25">
      <c r="B31" t="str">
        <f>B18</f>
        <v>Electricity</v>
      </c>
      <c r="C31" s="315">
        <f t="shared" si="1"/>
        <v>19.247770748353734</v>
      </c>
      <c r="D31" s="315">
        <f t="shared" si="1"/>
        <v>13.518848860134016</v>
      </c>
      <c r="E31" s="315">
        <f t="shared" si="1"/>
        <v>0</v>
      </c>
      <c r="F31" s="315">
        <f t="shared" si="1"/>
        <v>6.45</v>
      </c>
      <c r="G31" s="315">
        <f t="shared" si="1"/>
        <v>5.2634999999999996</v>
      </c>
      <c r="H31" s="315">
        <f t="shared" si="1"/>
        <v>12.7782</v>
      </c>
      <c r="J31" s="318">
        <f>SUM(C31:H31)</f>
        <v>57.258319608487753</v>
      </c>
      <c r="K31" s="321"/>
    </row>
    <row r="32" spans="1:13" x14ac:dyDescent="0.25">
      <c r="B32" t="str">
        <f>B19</f>
        <v>Natural gas</v>
      </c>
      <c r="C32" s="315">
        <f t="shared" si="1"/>
        <v>20.503060144985497</v>
      </c>
      <c r="D32" s="315">
        <f>D19*D$25</f>
        <v>2.1261308349207697</v>
      </c>
      <c r="E32" s="315">
        <f t="shared" si="1"/>
        <v>0</v>
      </c>
      <c r="F32" s="315">
        <f t="shared" si="1"/>
        <v>2.15</v>
      </c>
      <c r="G32" s="315">
        <f t="shared" si="1"/>
        <v>1.1011</v>
      </c>
      <c r="H32" s="315">
        <f t="shared" si="1"/>
        <v>2.1296999999999997</v>
      </c>
      <c r="J32" s="318">
        <f>SUM(C32:H32)</f>
        <v>28.009990979906263</v>
      </c>
      <c r="K32" s="321"/>
    </row>
    <row r="33" spans="1:13" x14ac:dyDescent="0.25">
      <c r="B33" t="str">
        <f>B20</f>
        <v>Oil</v>
      </c>
      <c r="C33" s="315">
        <f t="shared" si="1"/>
        <v>0.41842979887725507</v>
      </c>
      <c r="D33" s="315">
        <f t="shared" si="1"/>
        <v>0.35575918052984251</v>
      </c>
      <c r="E33" s="315">
        <f t="shared" si="1"/>
        <v>0</v>
      </c>
      <c r="F33" s="315">
        <f t="shared" si="1"/>
        <v>0</v>
      </c>
      <c r="G33" s="315">
        <f t="shared" si="1"/>
        <v>0</v>
      </c>
      <c r="H33" s="315">
        <f t="shared" si="1"/>
        <v>0.70989999999999998</v>
      </c>
      <c r="J33" s="318">
        <f>SUM(C33:H33)</f>
        <v>1.4840889794070975</v>
      </c>
      <c r="K33" s="321"/>
    </row>
    <row r="35" spans="1:13" x14ac:dyDescent="0.25">
      <c r="B35" s="322" t="s">
        <v>367</v>
      </c>
      <c r="C35" s="320">
        <f>SUM(C29:C33)</f>
        <v>83.749062974423225</v>
      </c>
      <c r="D35" s="320">
        <f t="shared" ref="D35:J35" si="2">SUM(D29:D33)</f>
        <v>35.56749380472597</v>
      </c>
      <c r="E35" s="320">
        <f t="shared" si="2"/>
        <v>0</v>
      </c>
      <c r="F35" s="320">
        <f t="shared" si="2"/>
        <v>8.6</v>
      </c>
      <c r="G35" s="320">
        <f t="shared" si="2"/>
        <v>30.322599999999998</v>
      </c>
      <c r="H35" s="320">
        <f t="shared" si="2"/>
        <v>28.396000000000001</v>
      </c>
      <c r="J35" s="318">
        <f t="shared" si="2"/>
        <v>186.63515677914916</v>
      </c>
      <c r="K35" s="318"/>
    </row>
    <row r="37" spans="1:13" x14ac:dyDescent="0.25">
      <c r="A37">
        <v>2012</v>
      </c>
      <c r="B37" s="18" t="s">
        <v>419</v>
      </c>
    </row>
    <row r="38" spans="1:13" x14ac:dyDescent="0.25">
      <c r="B38" s="346" t="s">
        <v>417</v>
      </c>
      <c r="C38" s="347">
        <f>SUMIFS('Methodology Cap &amp; Prod'!$R$266:$R$270,'Methodology Cap &amp; Prod'!$B$266:$B$270,C15)</f>
        <v>3.0330810810810807</v>
      </c>
      <c r="D38" s="347">
        <f>SUMIFS('Methodology Cap &amp; Prod'!$R$266:$R$270,'Methodology Cap &amp; Prod'!$B$266:$B$270,D15)</f>
        <v>0.75891891891891894</v>
      </c>
      <c r="E38" s="347">
        <f>SUMIFS('Methodology Cap &amp; Prod'!$R$266:$R$270,'Methodology Cap &amp; Prod'!$B$266:$B$270,E15)</f>
        <v>0</v>
      </c>
      <c r="F38" s="347">
        <f>SUMIFS('Methodology Cap &amp; Prod'!$R$266:$R$270,'Methodology Cap &amp; Prod'!$B$266:$B$270,F15)</f>
        <v>1.3200000000000003</v>
      </c>
      <c r="G38" s="347">
        <f>SUMIFS('Methodology Cap &amp; Prod'!$R$266:$R$270,'Methodology Cap &amp; Prod'!$B$266:$B$270,G15)</f>
        <v>1.1180000000000001</v>
      </c>
      <c r="H38" s="347">
        <f>SUMIFS('Methodology Cap &amp; Prod'!$R$266:$R$270,'Methodology Cap &amp; Prod'!$B$266:$B$270,H15)</f>
        <v>0</v>
      </c>
      <c r="I38" s="15"/>
      <c r="J38" s="3"/>
    </row>
    <row r="39" spans="1:13" x14ac:dyDescent="0.25">
      <c r="B39" s="4"/>
      <c r="J39" s="5"/>
    </row>
    <row r="40" spans="1:13" x14ac:dyDescent="0.25">
      <c r="B40" s="4" t="str">
        <f>B29</f>
        <v>Coal</v>
      </c>
      <c r="C40" s="343">
        <f t="shared" ref="C40:H40" si="3">C16*C$38</f>
        <v>13.133899499379977</v>
      </c>
      <c r="D40" s="343">
        <f t="shared" si="3"/>
        <v>15.631137365868813</v>
      </c>
      <c r="E40" s="343">
        <f t="shared" si="3"/>
        <v>0</v>
      </c>
      <c r="F40" s="343">
        <f t="shared" si="3"/>
        <v>0</v>
      </c>
      <c r="G40" s="343">
        <f t="shared" si="3"/>
        <v>19.229600000000001</v>
      </c>
      <c r="H40" s="343">
        <f t="shared" si="3"/>
        <v>0</v>
      </c>
      <c r="J40" s="344">
        <f>SUM(C40:H40)</f>
        <v>47.994636865248793</v>
      </c>
    </row>
    <row r="41" spans="1:13" x14ac:dyDescent="0.25">
      <c r="B41" s="4" t="str">
        <f>B30</f>
        <v>Coke</v>
      </c>
      <c r="C41" s="343">
        <f t="shared" ref="C41:H41" si="4">C17*C$38</f>
        <v>26.920971354988321</v>
      </c>
      <c r="D41" s="343">
        <f t="shared" si="4"/>
        <v>0</v>
      </c>
      <c r="E41" s="343">
        <f t="shared" si="4"/>
        <v>0</v>
      </c>
      <c r="F41" s="343">
        <f t="shared" si="4"/>
        <v>0</v>
      </c>
      <c r="G41" s="343">
        <f t="shared" si="4"/>
        <v>2.9068000000000005</v>
      </c>
      <c r="H41" s="343">
        <f t="shared" si="4"/>
        <v>0</v>
      </c>
      <c r="J41" s="344">
        <f>SUM(C41:H41)</f>
        <v>29.827771354988322</v>
      </c>
    </row>
    <row r="42" spans="1:13" x14ac:dyDescent="0.25">
      <c r="B42" s="4" t="str">
        <f>B31</f>
        <v>Electricity</v>
      </c>
      <c r="C42" s="343">
        <f t="shared" ref="C42:H42" si="5">C18*C$38</f>
        <v>17.690924033278044</v>
      </c>
      <c r="D42" s="343">
        <f t="shared" si="5"/>
        <v>10.799694907327543</v>
      </c>
      <c r="E42" s="343">
        <f t="shared" si="5"/>
        <v>0</v>
      </c>
      <c r="F42" s="343">
        <f t="shared" si="5"/>
        <v>9.9000000000000021</v>
      </c>
      <c r="G42" s="343">
        <f t="shared" si="5"/>
        <v>4.8632999999999997</v>
      </c>
      <c r="H42" s="343">
        <f t="shared" si="5"/>
        <v>0</v>
      </c>
      <c r="J42" s="344">
        <f>SUM(C42:H42)</f>
        <v>43.253918940605594</v>
      </c>
      <c r="L42" s="321">
        <f>J42/3.6</f>
        <v>12.014977483501553</v>
      </c>
      <c r="M42" t="s">
        <v>435</v>
      </c>
    </row>
    <row r="43" spans="1:13" x14ac:dyDescent="0.25">
      <c r="B43" s="4" t="str">
        <f>B32</f>
        <v>Natural gas</v>
      </c>
      <c r="C43" s="343">
        <f t="shared" ref="C43:H43" si="6">C19*C$38</f>
        <v>18.844679948491827</v>
      </c>
      <c r="D43" s="343">
        <f t="shared" si="6"/>
        <v>1.6984851733876307</v>
      </c>
      <c r="E43" s="343">
        <f t="shared" si="6"/>
        <v>0</v>
      </c>
      <c r="F43" s="343">
        <f t="shared" si="6"/>
        <v>3.3000000000000007</v>
      </c>
      <c r="G43" s="343">
        <f t="shared" si="6"/>
        <v>1.0173800000000002</v>
      </c>
      <c r="H43" s="343">
        <f t="shared" si="6"/>
        <v>0</v>
      </c>
      <c r="J43" s="344">
        <f>SUM(C43:H43)</f>
        <v>24.860545121879458</v>
      </c>
    </row>
    <row r="44" spans="1:13" x14ac:dyDescent="0.25">
      <c r="B44" s="4" t="str">
        <f>B33</f>
        <v>Oil</v>
      </c>
      <c r="C44" s="343">
        <f t="shared" ref="C44:H44" si="7">C20*C$38</f>
        <v>0.38458530507126182</v>
      </c>
      <c r="D44" s="343">
        <f t="shared" si="7"/>
        <v>0.28420249756125116</v>
      </c>
      <c r="E44" s="343">
        <f t="shared" si="7"/>
        <v>0</v>
      </c>
      <c r="F44" s="343">
        <f t="shared" si="7"/>
        <v>0</v>
      </c>
      <c r="G44" s="343">
        <f t="shared" si="7"/>
        <v>0</v>
      </c>
      <c r="H44" s="343">
        <f t="shared" si="7"/>
        <v>0</v>
      </c>
      <c r="J44" s="344">
        <f>SUM(C44:H44)</f>
        <v>0.66878780263251292</v>
      </c>
    </row>
    <row r="45" spans="1:13" x14ac:dyDescent="0.25">
      <c r="B45" s="4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418</v>
      </c>
      <c r="J46" s="345">
        <f>SUM(J40:J44)</f>
        <v>146.60566008535469</v>
      </c>
    </row>
    <row r="49" spans="1:11" x14ac:dyDescent="0.25">
      <c r="A49" s="18">
        <v>2017</v>
      </c>
      <c r="B49" s="18" t="s">
        <v>5</v>
      </c>
    </row>
    <row r="50" spans="1:11" x14ac:dyDescent="0.25">
      <c r="B50" t="s">
        <v>189</v>
      </c>
      <c r="C50">
        <f>SUMIFS('Methodology Cap &amp; Prod'!$P$266:$P$270,'Methodology Cap &amp; Prod'!$B$266:$B$270,C15)</f>
        <v>3.1641891891891891</v>
      </c>
      <c r="D50">
        <f>SUMIFS('Methodology Cap &amp; Prod'!$P$266:$P$270,'Methodology Cap &amp; Prod'!$B$266:$B$270,D15)</f>
        <v>0.77481081081081082</v>
      </c>
      <c r="E50">
        <f>SUMIFS('Methodology Cap &amp; Prod'!$P$266:$P$270,'Methodology Cap &amp; Prod'!$B$266:$B$270,E15)</f>
        <v>0</v>
      </c>
      <c r="F50">
        <f>SUMIFS('Methodology Cap &amp; Prod'!$P$266:$P$270,'Methodology Cap &amp; Prod'!$B$266:$B$270,F15)</f>
        <v>1.3620000000000003</v>
      </c>
      <c r="G50">
        <f>SUMIFS('Methodology Cap &amp; Prod'!$P$266:$P$270,'Methodology Cap &amp; Prod'!$B$266:$B$270,G15)</f>
        <v>0.96299999999999997</v>
      </c>
      <c r="H50">
        <f>SUMIFS('Methodology Cap &amp; Prod'!$P$266:$P$270,'Methodology Cap &amp; Prod'!$B$266:$B$270,H15)</f>
        <v>0.1360000000000007</v>
      </c>
    </row>
    <row r="52" spans="1:11" x14ac:dyDescent="0.25">
      <c r="B52" s="18" t="s">
        <v>368</v>
      </c>
    </row>
    <row r="53" spans="1:11" x14ac:dyDescent="0.25">
      <c r="J53" t="s">
        <v>142</v>
      </c>
    </row>
    <row r="54" spans="1:11" x14ac:dyDescent="0.25">
      <c r="B54" t="str">
        <f>B41</f>
        <v>Coke</v>
      </c>
      <c r="C54" s="315">
        <f t="shared" ref="C54:H54" si="8">C17*C$50</f>
        <v>28.08465855240642</v>
      </c>
      <c r="D54" s="315">
        <f t="shared" si="8"/>
        <v>0</v>
      </c>
      <c r="E54" s="315">
        <f t="shared" si="8"/>
        <v>0</v>
      </c>
      <c r="F54" s="315">
        <f t="shared" si="8"/>
        <v>0</v>
      </c>
      <c r="G54" s="315">
        <f t="shared" si="8"/>
        <v>2.5038</v>
      </c>
      <c r="H54" s="315">
        <f t="shared" si="8"/>
        <v>0</v>
      </c>
      <c r="J54" s="318">
        <f>SUM(C54:H54)</f>
        <v>30.588458552406422</v>
      </c>
      <c r="K54" s="321"/>
    </row>
    <row r="55" spans="1:11" x14ac:dyDescent="0.25">
      <c r="B55" t="str">
        <f>B42</f>
        <v>Electricity</v>
      </c>
      <c r="C55" s="315">
        <f>C18*C$50</f>
        <v>18.455632763009937</v>
      </c>
      <c r="D55" s="315">
        <f t="shared" ref="C55:H57" si="9">D18*D$50</f>
        <v>11.025842364788677</v>
      </c>
      <c r="E55" s="315">
        <f t="shared" si="9"/>
        <v>0</v>
      </c>
      <c r="F55" s="315">
        <f t="shared" si="9"/>
        <v>10.215000000000002</v>
      </c>
      <c r="G55" s="315">
        <f t="shared" si="9"/>
        <v>4.1890499999999999</v>
      </c>
      <c r="H55" s="315">
        <f t="shared" si="9"/>
        <v>2.8029600000000143</v>
      </c>
      <c r="J55" s="318">
        <f>SUM(C55:H55)</f>
        <v>46.688485127798629</v>
      </c>
      <c r="K55" s="321"/>
    </row>
    <row r="56" spans="1:11" x14ac:dyDescent="0.25">
      <c r="B56" t="str">
        <f>B43</f>
        <v>Natural gas</v>
      </c>
      <c r="C56" s="315">
        <f t="shared" si="9"/>
        <v>19.659260986684497</v>
      </c>
      <c r="D56" s="315">
        <f t="shared" si="9"/>
        <v>1.7340517432577136</v>
      </c>
      <c r="E56" s="315">
        <f t="shared" si="9"/>
        <v>0</v>
      </c>
      <c r="F56" s="315">
        <f t="shared" si="9"/>
        <v>3.4050000000000007</v>
      </c>
      <c r="G56" s="315">
        <f t="shared" si="9"/>
        <v>0.87633000000000005</v>
      </c>
      <c r="H56" s="315">
        <f t="shared" si="9"/>
        <v>0.46716000000000235</v>
      </c>
      <c r="J56" s="318">
        <f>SUM(C56:H56)</f>
        <v>26.141802729942214</v>
      </c>
      <c r="K56" s="321"/>
    </row>
    <row r="57" spans="1:11" x14ac:dyDescent="0.25">
      <c r="B57" t="str">
        <f>B44</f>
        <v>Oil</v>
      </c>
      <c r="C57" s="315">
        <f t="shared" si="9"/>
        <v>0.40120940789152038</v>
      </c>
      <c r="D57" s="315">
        <f t="shared" si="9"/>
        <v>0.29015374644180725</v>
      </c>
      <c r="E57" s="315">
        <f t="shared" si="9"/>
        <v>0</v>
      </c>
      <c r="F57" s="315">
        <f t="shared" si="9"/>
        <v>0</v>
      </c>
      <c r="G57" s="315">
        <f t="shared" si="9"/>
        <v>0</v>
      </c>
      <c r="H57" s="315">
        <f t="shared" si="9"/>
        <v>0.1557200000000008</v>
      </c>
      <c r="J57" s="348">
        <f>SUM(C57:H57)</f>
        <v>0.84708315433332837</v>
      </c>
      <c r="K57" s="321"/>
    </row>
    <row r="58" spans="1:11" x14ac:dyDescent="0.25">
      <c r="B58">
        <f>B45</f>
        <v>0</v>
      </c>
      <c r="C58" s="315">
        <f t="shared" ref="C58:H58" si="10">C45*C$25</f>
        <v>0</v>
      </c>
      <c r="D58" s="315">
        <f t="shared" si="10"/>
        <v>0</v>
      </c>
      <c r="E58" s="315">
        <f t="shared" si="10"/>
        <v>0</v>
      </c>
      <c r="F58" s="315">
        <f t="shared" si="10"/>
        <v>0</v>
      </c>
      <c r="G58" s="315">
        <f t="shared" si="10"/>
        <v>0</v>
      </c>
      <c r="H58" s="315">
        <f t="shared" si="10"/>
        <v>0</v>
      </c>
      <c r="J58" s="318">
        <f>SUM(C58:H58)</f>
        <v>0</v>
      </c>
      <c r="K58" s="321"/>
    </row>
    <row r="60" spans="1:11" x14ac:dyDescent="0.25">
      <c r="B60" s="322" t="s">
        <v>367</v>
      </c>
      <c r="C60" s="320">
        <f t="shared" ref="C60:H60" si="11">SUM(C54:C58)</f>
        <v>66.600761709992369</v>
      </c>
      <c r="D60" s="320">
        <f t="shared" si="11"/>
        <v>13.050047854488199</v>
      </c>
      <c r="E60" s="320">
        <f t="shared" si="11"/>
        <v>0</v>
      </c>
      <c r="F60" s="320">
        <f t="shared" si="11"/>
        <v>13.620000000000003</v>
      </c>
      <c r="G60" s="320">
        <f t="shared" si="11"/>
        <v>7.5691800000000002</v>
      </c>
      <c r="H60" s="320">
        <f t="shared" si="11"/>
        <v>3.4258400000000178</v>
      </c>
      <c r="J60" s="318">
        <f>SUM(J54:J58)</f>
        <v>104.2658295644806</v>
      </c>
      <c r="K60" s="318"/>
    </row>
    <row r="62" spans="1:11" x14ac:dyDescent="0.25">
      <c r="A62">
        <v>2012</v>
      </c>
      <c r="B62" s="18" t="s">
        <v>419</v>
      </c>
    </row>
    <row r="63" spans="1:11" x14ac:dyDescent="0.25">
      <c r="B63" s="346" t="s">
        <v>417</v>
      </c>
      <c r="C63" s="347">
        <f>SUMIFS('Methodology Cap &amp; Prod'!$R$266:$R$270,'Methodology Cap &amp; Prod'!$B$266:$B$270,C40)</f>
        <v>0</v>
      </c>
      <c r="D63" s="347">
        <f>SUMIFS('Methodology Cap &amp; Prod'!$R$266:$R$270,'Methodology Cap &amp; Prod'!$B$266:$B$270,D40)</f>
        <v>0</v>
      </c>
      <c r="E63" s="347">
        <f>SUMIFS('Methodology Cap &amp; Prod'!$R$266:$R$270,'Methodology Cap &amp; Prod'!$B$266:$B$270,E40)</f>
        <v>0</v>
      </c>
      <c r="F63" s="347">
        <f>SUMIFS('Methodology Cap &amp; Prod'!$R$266:$R$270,'Methodology Cap &amp; Prod'!$B$266:$B$270,F40)</f>
        <v>0</v>
      </c>
      <c r="G63" s="347">
        <f>SUMIFS('Methodology Cap &amp; Prod'!$R$266:$R$270,'Methodology Cap &amp; Prod'!$B$266:$B$270,G40)</f>
        <v>0</v>
      </c>
      <c r="H63" s="347">
        <f>SUMIFS('Methodology Cap &amp; Prod'!$R$266:$R$270,'Methodology Cap &amp; Prod'!$B$266:$B$270,H40)</f>
        <v>0</v>
      </c>
      <c r="I63" s="15"/>
      <c r="J63" s="3"/>
    </row>
    <row r="64" spans="1:11" x14ac:dyDescent="0.25">
      <c r="B64" s="4"/>
      <c r="J64" s="5"/>
    </row>
    <row r="65" spans="1:19" x14ac:dyDescent="0.25">
      <c r="B65" s="4" t="str">
        <f>B54</f>
        <v>Coke</v>
      </c>
      <c r="C65" s="343">
        <f t="shared" ref="C65:H65" si="12">C41*C$38</f>
        <v>81.653488901140776</v>
      </c>
      <c r="D65" s="343">
        <f t="shared" si="12"/>
        <v>0</v>
      </c>
      <c r="E65" s="343">
        <f t="shared" si="12"/>
        <v>0</v>
      </c>
      <c r="F65" s="343">
        <f t="shared" si="12"/>
        <v>0</v>
      </c>
      <c r="G65" s="343">
        <f t="shared" si="12"/>
        <v>3.249802400000001</v>
      </c>
      <c r="H65" s="343">
        <f t="shared" si="12"/>
        <v>0</v>
      </c>
      <c r="J65" s="344">
        <f>SUM(C65:H65)</f>
        <v>84.903291301140783</v>
      </c>
    </row>
    <row r="66" spans="1:19" x14ac:dyDescent="0.25">
      <c r="B66" s="4" t="str">
        <f>B55</f>
        <v>Electricity</v>
      </c>
      <c r="C66" s="343">
        <f t="shared" ref="C66:H66" si="13">C42*C$38</f>
        <v>53.658006992178244</v>
      </c>
      <c r="D66" s="343">
        <f t="shared" si="13"/>
        <v>8.1960927837231736</v>
      </c>
      <c r="E66" s="343">
        <f t="shared" si="13"/>
        <v>0</v>
      </c>
      <c r="F66" s="343">
        <f t="shared" si="13"/>
        <v>13.068000000000005</v>
      </c>
      <c r="G66" s="343">
        <f t="shared" si="13"/>
        <v>5.4371694000000002</v>
      </c>
      <c r="H66" s="343">
        <f t="shared" si="13"/>
        <v>0</v>
      </c>
      <c r="J66" s="344">
        <f>SUM(C66:H66)</f>
        <v>80.359269175901417</v>
      </c>
    </row>
    <row r="67" spans="1:19" x14ac:dyDescent="0.25">
      <c r="B67" s="4" t="str">
        <f>B56</f>
        <v>Natural gas</v>
      </c>
      <c r="C67" s="343">
        <f t="shared" ref="C67:H67" si="14">C43*C$38</f>
        <v>57.157442230798551</v>
      </c>
      <c r="D67" s="343">
        <f t="shared" si="14"/>
        <v>1.2890125315871532</v>
      </c>
      <c r="E67" s="343">
        <f t="shared" si="14"/>
        <v>0</v>
      </c>
      <c r="F67" s="343">
        <f t="shared" si="14"/>
        <v>4.3560000000000016</v>
      </c>
      <c r="G67" s="343">
        <f t="shared" si="14"/>
        <v>1.1374308400000004</v>
      </c>
      <c r="H67" s="343">
        <f t="shared" si="14"/>
        <v>0</v>
      </c>
      <c r="J67" s="344">
        <f>SUM(C67:H67)</f>
        <v>63.939885602385708</v>
      </c>
      <c r="L67" s="321">
        <f>J67/3.6</f>
        <v>17.76107933399603</v>
      </c>
      <c r="M67" t="s">
        <v>435</v>
      </c>
    </row>
    <row r="68" spans="1:19" x14ac:dyDescent="0.25">
      <c r="B68" s="4" t="str">
        <f>B57</f>
        <v>Oil</v>
      </c>
      <c r="C68" s="343">
        <f t="shared" ref="C68:H68" si="15">C44*C$38</f>
        <v>1.16647841287344</v>
      </c>
      <c r="D68" s="343">
        <f t="shared" si="15"/>
        <v>0.21568665220324143</v>
      </c>
      <c r="E68" s="343">
        <f t="shared" si="15"/>
        <v>0</v>
      </c>
      <c r="F68" s="343">
        <f t="shared" si="15"/>
        <v>0</v>
      </c>
      <c r="G68" s="343">
        <f t="shared" si="15"/>
        <v>0</v>
      </c>
      <c r="H68" s="343">
        <f t="shared" si="15"/>
        <v>0</v>
      </c>
      <c r="J68" s="344">
        <f>SUM(C68:H68)</f>
        <v>1.3821650650766815</v>
      </c>
    </row>
    <row r="69" spans="1:19" x14ac:dyDescent="0.25">
      <c r="B69" s="4">
        <f>B58</f>
        <v>0</v>
      </c>
      <c r="C69" s="343">
        <f t="shared" ref="C69:H69" si="16">C45*C$38</f>
        <v>0</v>
      </c>
      <c r="D69" s="343">
        <f t="shared" si="16"/>
        <v>0</v>
      </c>
      <c r="E69" s="343">
        <f t="shared" si="16"/>
        <v>0</v>
      </c>
      <c r="F69" s="343">
        <f t="shared" si="16"/>
        <v>0</v>
      </c>
      <c r="G69" s="343">
        <f t="shared" si="16"/>
        <v>0</v>
      </c>
      <c r="H69" s="343">
        <f t="shared" si="16"/>
        <v>0</v>
      </c>
      <c r="J69" s="344">
        <f>SUM(C69:H69)</f>
        <v>0</v>
      </c>
    </row>
    <row r="70" spans="1:19" x14ac:dyDescent="0.25">
      <c r="B70" s="4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418</v>
      </c>
      <c r="J71" s="345">
        <f>SUM(J65:J69)</f>
        <v>230.58461114450461</v>
      </c>
    </row>
    <row r="75" spans="1:19" x14ac:dyDescent="0.25">
      <c r="A75" s="18" t="s">
        <v>363</v>
      </c>
    </row>
    <row r="77" spans="1:19" x14ac:dyDescent="0.25">
      <c r="B77" t="s">
        <v>378</v>
      </c>
      <c r="J77" t="s">
        <v>382</v>
      </c>
    </row>
    <row r="78" spans="1:19" x14ac:dyDescent="0.25">
      <c r="B78" s="14"/>
      <c r="C78" s="15"/>
      <c r="D78" s="15"/>
      <c r="E78" s="15"/>
      <c r="F78" s="15"/>
      <c r="G78" s="3"/>
      <c r="J78" s="14"/>
      <c r="K78" s="15"/>
      <c r="L78" s="15"/>
      <c r="M78" s="3"/>
      <c r="P78" t="s">
        <v>646</v>
      </c>
    </row>
    <row r="79" spans="1:19" x14ac:dyDescent="0.25">
      <c r="B79" s="4" t="s">
        <v>371</v>
      </c>
      <c r="C79" t="s">
        <v>369</v>
      </c>
      <c r="D79" t="s">
        <v>370</v>
      </c>
      <c r="E79" s="323">
        <v>1.46</v>
      </c>
      <c r="G79" s="5"/>
      <c r="J79" s="4"/>
      <c r="L79" s="18" t="s">
        <v>361</v>
      </c>
      <c r="M79" s="5"/>
      <c r="P79" s="346" t="s">
        <v>393</v>
      </c>
      <c r="Q79" s="15"/>
      <c r="R79" s="15"/>
      <c r="S79" s="3"/>
    </row>
    <row r="80" spans="1:19" x14ac:dyDescent="0.25">
      <c r="B80" s="4" t="s">
        <v>372</v>
      </c>
      <c r="C80" t="s">
        <v>369</v>
      </c>
      <c r="D80" t="s">
        <v>370</v>
      </c>
      <c r="E80" s="323">
        <v>0.08</v>
      </c>
      <c r="G80" s="5"/>
      <c r="J80" s="325" t="s">
        <v>381</v>
      </c>
      <c r="L80">
        <v>94.6</v>
      </c>
      <c r="M80" s="5"/>
      <c r="P80" s="4"/>
      <c r="Q80" t="s">
        <v>369</v>
      </c>
      <c r="S80" s="5"/>
    </row>
    <row r="81" spans="2:19" x14ac:dyDescent="0.25">
      <c r="B81" s="4" t="s">
        <v>373</v>
      </c>
      <c r="C81" t="s">
        <v>369</v>
      </c>
      <c r="D81" t="s">
        <v>370</v>
      </c>
      <c r="E81" s="323"/>
      <c r="G81" s="5"/>
      <c r="J81" s="4" t="s">
        <v>11</v>
      </c>
      <c r="L81">
        <v>107</v>
      </c>
      <c r="M81" s="5"/>
      <c r="P81" s="4" t="s">
        <v>24</v>
      </c>
      <c r="Q81" s="1">
        <v>7251928</v>
      </c>
      <c r="R81" t="s">
        <v>645</v>
      </c>
      <c r="S81" s="5" t="s">
        <v>647</v>
      </c>
    </row>
    <row r="82" spans="2:19" x14ac:dyDescent="0.25">
      <c r="B82" s="4" t="s">
        <v>374</v>
      </c>
      <c r="C82" t="s">
        <v>369</v>
      </c>
      <c r="D82" t="s">
        <v>370</v>
      </c>
      <c r="E82" s="323">
        <v>1.35</v>
      </c>
      <c r="G82" s="5"/>
      <c r="J82" s="4" t="s">
        <v>380</v>
      </c>
      <c r="L82">
        <v>0</v>
      </c>
      <c r="M82" s="5"/>
      <c r="P82" s="4" t="s">
        <v>1</v>
      </c>
      <c r="Q82" s="1">
        <v>0</v>
      </c>
      <c r="R82" t="s">
        <v>645</v>
      </c>
      <c r="S82" s="5" t="s">
        <v>647</v>
      </c>
    </row>
    <row r="83" spans="2:19" x14ac:dyDescent="0.25">
      <c r="B83" s="4" t="s">
        <v>375</v>
      </c>
      <c r="C83" t="s">
        <v>369</v>
      </c>
      <c r="D83" t="s">
        <v>370</v>
      </c>
      <c r="E83" s="324">
        <v>1.5249999999999999</v>
      </c>
      <c r="G83" s="5"/>
      <c r="J83" s="4" t="s">
        <v>379</v>
      </c>
      <c r="L83">
        <v>56.1</v>
      </c>
      <c r="M83" s="5"/>
      <c r="P83" s="4" t="s">
        <v>376</v>
      </c>
      <c r="Q83" s="1">
        <v>812005</v>
      </c>
      <c r="R83" t="s">
        <v>645</v>
      </c>
      <c r="S83" s="5" t="s">
        <v>647</v>
      </c>
    </row>
    <row r="84" spans="2:19" x14ac:dyDescent="0.25">
      <c r="B84" s="4" t="s">
        <v>376</v>
      </c>
      <c r="C84" t="s">
        <v>369</v>
      </c>
      <c r="D84" t="s">
        <v>370</v>
      </c>
      <c r="E84" s="324">
        <v>0.34</v>
      </c>
      <c r="G84" s="5"/>
      <c r="J84" s="4" t="s">
        <v>362</v>
      </c>
      <c r="L84">
        <v>77.400000000000006</v>
      </c>
      <c r="M84" s="5"/>
      <c r="P84" s="4" t="s">
        <v>20</v>
      </c>
      <c r="Q84" s="1">
        <v>586261</v>
      </c>
      <c r="R84" t="s">
        <v>645</v>
      </c>
      <c r="S84" s="5" t="s">
        <v>647</v>
      </c>
    </row>
    <row r="85" spans="2:19" x14ac:dyDescent="0.25">
      <c r="B85" s="4" t="s">
        <v>377</v>
      </c>
      <c r="C85" t="s">
        <v>369</v>
      </c>
      <c r="D85" t="s">
        <v>370</v>
      </c>
      <c r="E85" s="323"/>
      <c r="G85" s="5"/>
      <c r="J85" s="4"/>
      <c r="M85" s="5"/>
      <c r="P85" s="4"/>
      <c r="Q85" s="19">
        <f>SUM(Q81:Q84)</f>
        <v>8650194</v>
      </c>
      <c r="S85" s="5"/>
    </row>
    <row r="86" spans="2:19" x14ac:dyDescent="0.25">
      <c r="B86" s="4"/>
      <c r="G86" s="5"/>
      <c r="J86" s="4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9" spans="2:19" x14ac:dyDescent="0.25">
      <c r="B89" t="s">
        <v>383</v>
      </c>
    </row>
    <row r="90" spans="2:19" x14ac:dyDescent="0.25">
      <c r="C90" t="s">
        <v>390</v>
      </c>
      <c r="Q90" t="s">
        <v>390</v>
      </c>
    </row>
    <row r="91" spans="2:19" x14ac:dyDescent="0.25">
      <c r="B91" t="s">
        <v>7</v>
      </c>
      <c r="C91">
        <f>E79+E82</f>
        <v>2.81</v>
      </c>
      <c r="E91" s="326"/>
      <c r="J91" t="s">
        <v>389</v>
      </c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26"/>
      <c r="J92" t="s">
        <v>535</v>
      </c>
      <c r="P92" t="s">
        <v>9</v>
      </c>
      <c r="Q92">
        <v>1.605</v>
      </c>
    </row>
    <row r="93" spans="2:19" x14ac:dyDescent="0.25">
      <c r="B93" t="s">
        <v>47</v>
      </c>
      <c r="E93" s="326"/>
      <c r="J93">
        <f>E79*0.5+E80*0.5</f>
        <v>0.77</v>
      </c>
      <c r="K93" t="s">
        <v>388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26"/>
      <c r="J94" s="268">
        <f>J98*E82*'AMSA - Saldanha'!I54+E83*'AMSA - Saldanha'!I55</f>
        <v>1.3567142857142858</v>
      </c>
      <c r="K94" t="s">
        <v>387</v>
      </c>
      <c r="P94" t="s">
        <v>172</v>
      </c>
      <c r="Q94">
        <v>2.1267142857142858</v>
      </c>
    </row>
    <row r="95" spans="2:19" x14ac:dyDescent="0.25">
      <c r="B95" t="s">
        <v>172</v>
      </c>
      <c r="C95" s="268">
        <f>J94+J93</f>
        <v>2.1267142857142858</v>
      </c>
      <c r="E95" s="326"/>
      <c r="P95" t="s">
        <v>10</v>
      </c>
      <c r="Q95">
        <v>1.54</v>
      </c>
      <c r="R95" t="s">
        <v>534</v>
      </c>
    </row>
    <row r="96" spans="2:19" x14ac:dyDescent="0.25">
      <c r="B96" t="s">
        <v>10</v>
      </c>
      <c r="C96">
        <f>E80+E79</f>
        <v>1.54</v>
      </c>
      <c r="D96" t="s">
        <v>534</v>
      </c>
      <c r="E96" s="326"/>
      <c r="J96" t="s">
        <v>401</v>
      </c>
    </row>
    <row r="97" spans="2:19" x14ac:dyDescent="0.25">
      <c r="D97" s="326"/>
      <c r="E97" s="326"/>
      <c r="J97" s="285">
        <v>0.1</v>
      </c>
      <c r="K97" t="s">
        <v>536</v>
      </c>
    </row>
    <row r="98" spans="2:19" x14ac:dyDescent="0.25">
      <c r="J98" s="285">
        <f>1-J97</f>
        <v>0.9</v>
      </c>
    </row>
    <row r="99" spans="2:19" x14ac:dyDescent="0.25">
      <c r="B99" s="18" t="s">
        <v>392</v>
      </c>
      <c r="E99" s="268"/>
    </row>
    <row r="100" spans="2:19" x14ac:dyDescent="0.25">
      <c r="C100" s="18">
        <v>2012</v>
      </c>
      <c r="D100" s="18">
        <v>2013</v>
      </c>
      <c r="E100" s="18">
        <v>2014</v>
      </c>
      <c r="F100" s="18">
        <v>2015</v>
      </c>
      <c r="G100" s="18">
        <v>2016</v>
      </c>
      <c r="H100" s="18">
        <v>2017</v>
      </c>
    </row>
    <row r="101" spans="2:19" x14ac:dyDescent="0.25">
      <c r="B101" t="s">
        <v>7</v>
      </c>
      <c r="C101" s="327">
        <f>SUMIFS('Methodology Cap &amp; Prod'!M$266:M$270,'Methodology Cap &amp; Prod'!$B$266:$B$270,$B101)</f>
        <v>3.3</v>
      </c>
      <c r="D101" s="327">
        <f>SUMIFS('Methodology Cap &amp; Prod'!N$266:N$270,'Methodology Cap &amp; Prod'!$B$266:$B$270,$B101)</f>
        <v>3.3760806916426511</v>
      </c>
      <c r="E101" s="327">
        <f>SUMIFS('Methodology Cap &amp; Prod'!O$266:O$270,'Methodology Cap &amp; Prod'!$B$266:$B$270,$B101)</f>
        <v>3.0907780979827089</v>
      </c>
      <c r="F101" s="327">
        <f>SUMIFS('Methodology Cap &amp; Prod'!P$266:P$270,'Methodology Cap &amp; Prod'!$B$266:$B$270,$B101)</f>
        <v>3.1641891891891891</v>
      </c>
      <c r="G101" s="327">
        <f>SUMIFS('Methodology Cap &amp; Prod'!Q$266:Q$270,'Methodology Cap &amp; Prod'!$B$266:$B$270,$B101)</f>
        <v>3.1641891891891891</v>
      </c>
      <c r="H101" s="327">
        <f>SUMIFS('Methodology Cap &amp; Prod'!R$266:R$270,'Methodology Cap &amp; Prod'!$B$266:$B$270,$B101)</f>
        <v>3.0330810810810807</v>
      </c>
    </row>
    <row r="102" spans="2:19" x14ac:dyDescent="0.25">
      <c r="B102" t="s">
        <v>9</v>
      </c>
      <c r="C102" s="327">
        <f>SUMIFS('Methodology Cap &amp; Prod'!M$266:M$270,'Methodology Cap &amp; Prod'!$B$266:$B$270,$B102)</f>
        <v>0.95</v>
      </c>
      <c r="D102" s="327">
        <f>SUMIFS('Methodology Cap &amp; Prod'!N$266:N$270,'Methodology Cap &amp; Prod'!$B$266:$B$270,$B102)</f>
        <v>0.97190201729106618</v>
      </c>
      <c r="E102" s="327">
        <f>SUMIFS('Methodology Cap &amp; Prod'!O$266:O$270,'Methodology Cap &amp; Prod'!$B$266:$B$270,$B102)</f>
        <v>0.88976945244956762</v>
      </c>
      <c r="F102" s="327">
        <f>SUMIFS('Methodology Cap &amp; Prod'!P$266:P$270,'Methodology Cap &amp; Prod'!$B$266:$B$270,$B102)</f>
        <v>0.77481081081081082</v>
      </c>
      <c r="G102" s="327">
        <f>SUMIFS('Methodology Cap &amp; Prod'!Q$266:Q$270,'Methodology Cap &amp; Prod'!$B$266:$B$270,$B102)</f>
        <v>0.77481081081081082</v>
      </c>
      <c r="H102" s="327">
        <f>SUMIFS('Methodology Cap &amp; Prod'!R$266:R$270,'Methodology Cap &amp; Prod'!$B$266:$B$270,$B102)</f>
        <v>0.75891891891891894</v>
      </c>
    </row>
    <row r="103" spans="2:19" x14ac:dyDescent="0.25">
      <c r="B103" t="s">
        <v>47</v>
      </c>
      <c r="C103" s="327">
        <f>SUMIFS('Methodology Cap &amp; Prod'!M$266:M$270,'Methodology Cap &amp; Prod'!$B$266:$B$270,$B103)</f>
        <v>0</v>
      </c>
      <c r="D103" s="327">
        <f>SUMIFS('Methodology Cap &amp; Prod'!N$266:N$270,'Methodology Cap &amp; Prod'!$B$266:$B$270,$B103)</f>
        <v>0</v>
      </c>
      <c r="E103" s="327">
        <f>SUMIFS('Methodology Cap &amp; Prod'!O$266:O$270,'Methodology Cap &amp; Prod'!$B$266:$B$270,$B103)</f>
        <v>0</v>
      </c>
      <c r="F103" s="327">
        <f>SUMIFS('Methodology Cap &amp; Prod'!P$266:P$270,'Methodology Cap &amp; Prod'!$B$266:$B$270,$B103)</f>
        <v>0</v>
      </c>
      <c r="G103" s="327">
        <f>SUMIFS('Methodology Cap &amp; Prod'!Q$266:Q$270,'Methodology Cap &amp; Prod'!$B$266:$B$270,$B103)</f>
        <v>0</v>
      </c>
      <c r="H103" s="327">
        <f>SUMIFS('Methodology Cap &amp; Prod'!R$266:R$270,'Methodology Cap &amp; Prod'!$B$266:$B$270,$B103)</f>
        <v>0</v>
      </c>
    </row>
    <row r="104" spans="2:19" x14ac:dyDescent="0.25">
      <c r="B104" t="s">
        <v>8</v>
      </c>
      <c r="C104" s="327">
        <f>SUMIFS('Methodology Cap &amp; Prod'!M$266:M$270,'Methodology Cap &amp; Prod'!$B$266:$B$270,$B104)</f>
        <v>0.86</v>
      </c>
      <c r="D104" s="327">
        <f>SUMIFS('Methodology Cap &amp; Prod'!N$266:N$270,'Methodology Cap &amp; Prod'!$B$266:$B$270,$B104)</f>
        <v>0.87982708933717579</v>
      </c>
      <c r="E104" s="327">
        <f>SUMIFS('Methodology Cap &amp; Prod'!O$266:O$270,'Methodology Cap &amp; Prod'!$B$266:$B$270,$B104)</f>
        <v>0.8054755043227666</v>
      </c>
      <c r="F104" s="327">
        <f>SUMIFS('Methodology Cap &amp; Prod'!P$266:P$270,'Methodology Cap &amp; Prod'!$B$266:$B$270,$B104)</f>
        <v>1.3620000000000003</v>
      </c>
      <c r="G104" s="327">
        <f>SUMIFS('Methodology Cap &amp; Prod'!Q$266:Q$270,'Methodology Cap &amp; Prod'!$B$266:$B$270,$B104)</f>
        <v>1.3200000000000003</v>
      </c>
      <c r="H104" s="327">
        <f>SUMIFS('Methodology Cap &amp; Prod'!R$266:R$270,'Methodology Cap &amp; Prod'!$B$266:$B$270,$B104)</f>
        <v>1.3200000000000003</v>
      </c>
      <c r="K104" t="s">
        <v>399</v>
      </c>
    </row>
    <row r="105" spans="2:19" x14ac:dyDescent="0.25">
      <c r="B105" t="s">
        <v>172</v>
      </c>
      <c r="C105" s="327">
        <f>SUMIFS('Methodology Cap &amp; Prod'!M$266:M$270,'Methodology Cap &amp; Prod'!$B$266:$B$270,$B105)</f>
        <v>1.21</v>
      </c>
      <c r="D105" s="327">
        <f>SUMIFS('Methodology Cap &amp; Prod'!N$266:N$270,'Methodology Cap &amp; Prod'!$B$266:$B$270,$B105)</f>
        <v>1.2378962536023055</v>
      </c>
      <c r="E105" s="327">
        <f>SUMIFS('Methodology Cap &amp; Prod'!O$266:O$270,'Methodology Cap &amp; Prod'!$B$266:$B$270,$B105)</f>
        <v>1.13328530259366</v>
      </c>
      <c r="F105" s="327">
        <f>SUMIFS('Methodology Cap &amp; Prod'!P$266:P$270,'Methodology Cap &amp; Prod'!$B$266:$B$270,$B105)</f>
        <v>0.96299999999999997</v>
      </c>
      <c r="G105" s="327">
        <f>SUMIFS('Methodology Cap &amp; Prod'!Q$266:Q$270,'Methodology Cap &amp; Prod'!$B$266:$B$270,$B105)</f>
        <v>0.83199999999999996</v>
      </c>
      <c r="H105" s="327">
        <f>SUMIFS('Methodology Cap &amp; Prod'!R$266:R$270,'Methodology Cap &amp; Prod'!$B$266:$B$270,$B105)</f>
        <v>1.1180000000000001</v>
      </c>
      <c r="K105" s="14" t="s">
        <v>400</v>
      </c>
      <c r="L105" s="15"/>
      <c r="M105" s="15"/>
      <c r="N105" s="15"/>
      <c r="O105" s="15"/>
      <c r="P105" s="15"/>
      <c r="Q105" s="15"/>
      <c r="R105" s="3"/>
    </row>
    <row r="106" spans="2:19" x14ac:dyDescent="0.25">
      <c r="B106" s="8" t="s">
        <v>10</v>
      </c>
      <c r="C106" s="279">
        <f>SUMIFS('Methodology Cap &amp; Prod'!M$266:M$270,'Methodology Cap &amp; Prod'!$B$266:$B$270,$B106)</f>
        <v>0.62</v>
      </c>
      <c r="D106" s="279">
        <f>SUMIFS('Methodology Cap &amp; Prod'!N$266:N$270,'Methodology Cap &amp; Prod'!$B$266:$B$270,$B106)</f>
        <v>0.63429394812680118</v>
      </c>
      <c r="E106" s="279">
        <f>SUMIFS('Methodology Cap &amp; Prod'!O$266:O$270,'Methodology Cap &amp; Prod'!$B$266:$B$270,$B106)</f>
        <v>0.5806916426512968</v>
      </c>
      <c r="F106" s="279">
        <f>SUMIFS('Methodology Cap &amp; Prod'!P$266:P$270,'Methodology Cap &amp; Prod'!$B$266:$B$270,$B106)</f>
        <v>0.1360000000000007</v>
      </c>
      <c r="G106" s="279">
        <f>SUMIFS('Methodology Cap &amp; Prod'!Q$266:Q$270,'Methodology Cap &amp; Prod'!$B$266:$B$270,$B106)</f>
        <v>0</v>
      </c>
      <c r="H106" s="279">
        <f>SUMIFS('Methodology Cap &amp; Prod'!R$266:R$270,'Methodology Cap &amp; Prod'!$B$266:$B$270,$B106)</f>
        <v>0</v>
      </c>
      <c r="K106" s="4">
        <v>2012</v>
      </c>
      <c r="L106">
        <v>2015</v>
      </c>
      <c r="M106">
        <v>2016</v>
      </c>
      <c r="N106">
        <v>2017</v>
      </c>
      <c r="R106" s="5"/>
    </row>
    <row r="107" spans="2:19" x14ac:dyDescent="0.25">
      <c r="B107" s="18" t="s">
        <v>402</v>
      </c>
      <c r="C107" s="329">
        <f>SUM(C101:C106)</f>
        <v>6.94</v>
      </c>
      <c r="D107" s="18"/>
      <c r="E107" s="18"/>
      <c r="F107" s="329">
        <f>SUM(F101:F106)</f>
        <v>6.4000000000000012</v>
      </c>
      <c r="G107" s="329">
        <f>SUM(G101:G106)</f>
        <v>6.0910000000000002</v>
      </c>
      <c r="H107" s="329">
        <f>SUM(H101:H106)</f>
        <v>6.23</v>
      </c>
      <c r="K107" s="331">
        <v>3904276</v>
      </c>
      <c r="L107" s="324">
        <v>3907513</v>
      </c>
      <c r="M107" s="332">
        <v>3498862.4886730551</v>
      </c>
      <c r="N107" s="332">
        <v>3426152.5033293515</v>
      </c>
      <c r="O107" t="s">
        <v>24</v>
      </c>
      <c r="Q107" s="17"/>
      <c r="R107" s="263"/>
      <c r="S107" s="122"/>
    </row>
    <row r="108" spans="2:19" x14ac:dyDescent="0.25">
      <c r="B108" t="s">
        <v>395</v>
      </c>
      <c r="C108" s="329">
        <f>(K108+K107)/1000000</f>
        <v>7.8085519999999997</v>
      </c>
      <c r="E108" s="18"/>
      <c r="F108" s="318">
        <f>(L108+L107)/1000000</f>
        <v>6.3981000000000003</v>
      </c>
      <c r="G108" s="318">
        <f>(M108+M107)/1000000</f>
        <v>6.5385644428665914</v>
      </c>
      <c r="H108" s="318">
        <f>(N108+N107)/1000000</f>
        <v>6.3466660390891816</v>
      </c>
      <c r="K108" s="331">
        <v>3904276</v>
      </c>
      <c r="L108" s="324">
        <v>2490587</v>
      </c>
      <c r="M108" s="324">
        <v>3039701.9541935371</v>
      </c>
      <c r="N108" s="324">
        <v>2920513.5357598299</v>
      </c>
      <c r="O108" t="s">
        <v>1</v>
      </c>
      <c r="P108">
        <f>N108/SUM(N107:N108)</f>
        <v>0.46016499336381606</v>
      </c>
      <c r="Q108" s="17"/>
      <c r="R108" s="263"/>
      <c r="S108" s="122"/>
    </row>
    <row r="109" spans="2:19" x14ac:dyDescent="0.25">
      <c r="K109" s="4"/>
      <c r="R109" s="5"/>
    </row>
    <row r="110" spans="2:19" x14ac:dyDescent="0.25">
      <c r="B110" s="18" t="s">
        <v>393</v>
      </c>
      <c r="C110" s="18" t="s">
        <v>391</v>
      </c>
      <c r="K110" s="4" t="s">
        <v>396</v>
      </c>
      <c r="R110" s="5"/>
    </row>
    <row r="111" spans="2:19" x14ac:dyDescent="0.25">
      <c r="B111" t="s">
        <v>7</v>
      </c>
      <c r="C111" s="321">
        <f t="shared" ref="C111:C116" si="17">C101*$C91</f>
        <v>9.2729999999999997</v>
      </c>
      <c r="D111" s="321"/>
      <c r="E111" s="321"/>
      <c r="F111" s="321">
        <f t="shared" ref="F111:H116" si="18">F101*$C91</f>
        <v>8.8913716216216212</v>
      </c>
      <c r="G111" s="321">
        <f t="shared" si="18"/>
        <v>8.8913716216216212</v>
      </c>
      <c r="H111" s="321">
        <f>H101*$C91</f>
        <v>8.5229578378378363</v>
      </c>
      <c r="K111" s="333">
        <v>15020.696860000002</v>
      </c>
      <c r="L111" s="334">
        <v>14093.548470927624</v>
      </c>
      <c r="M111" s="334">
        <v>14829.058053603329</v>
      </c>
      <c r="N111" s="334">
        <v>15074.336748610733</v>
      </c>
      <c r="R111" s="5"/>
    </row>
    <row r="112" spans="2:19" x14ac:dyDescent="0.25">
      <c r="B112" t="s">
        <v>9</v>
      </c>
      <c r="C112" s="321">
        <f t="shared" si="17"/>
        <v>1.5247499999999998</v>
      </c>
      <c r="D112" s="321"/>
      <c r="E112" s="321"/>
      <c r="F112" s="321">
        <f t="shared" si="18"/>
        <v>1.2435713513513513</v>
      </c>
      <c r="G112" s="321">
        <f t="shared" si="18"/>
        <v>1.2435713513513513</v>
      </c>
      <c r="H112" s="321">
        <f t="shared" si="18"/>
        <v>1.2180648648648649</v>
      </c>
      <c r="K112" s="4"/>
      <c r="R112" s="5"/>
    </row>
    <row r="113" spans="2:21" x14ac:dyDescent="0.25">
      <c r="B113" t="s">
        <v>47</v>
      </c>
      <c r="C113" s="321">
        <f t="shared" si="17"/>
        <v>0</v>
      </c>
      <c r="D113" s="321"/>
      <c r="E113" s="321"/>
      <c r="F113" s="321">
        <f t="shared" si="18"/>
        <v>0</v>
      </c>
      <c r="G113" s="321">
        <f t="shared" si="18"/>
        <v>0</v>
      </c>
      <c r="H113" s="321">
        <f t="shared" si="18"/>
        <v>0</v>
      </c>
      <c r="K113" s="335">
        <f>K111*1000/SUM(K107:K108)</f>
        <v>1.9236212885564443</v>
      </c>
      <c r="L113" s="321">
        <f>L111*1000/SUM(L107:L108)</f>
        <v>2.2027708961922485</v>
      </c>
      <c r="M113" s="321">
        <f>M111*1000/SUM(M107:M108)</f>
        <v>2.267937891134721</v>
      </c>
      <c r="N113" s="321">
        <f>N111*1000/SUM(N107:N108)</f>
        <v>2.3751583360094477</v>
      </c>
      <c r="R113" s="5"/>
    </row>
    <row r="114" spans="2:21" x14ac:dyDescent="0.25">
      <c r="B114" t="s">
        <v>8</v>
      </c>
      <c r="C114" s="321">
        <f t="shared" si="17"/>
        <v>6.88E-2</v>
      </c>
      <c r="D114" s="321"/>
      <c r="E114" s="321"/>
      <c r="F114" s="321">
        <f t="shared" si="18"/>
        <v>0.10896000000000003</v>
      </c>
      <c r="G114" s="321">
        <f t="shared" si="18"/>
        <v>0.10560000000000003</v>
      </c>
      <c r="H114" s="321">
        <f t="shared" si="18"/>
        <v>0.10560000000000003</v>
      </c>
      <c r="K114" s="4"/>
      <c r="R114" s="5"/>
    </row>
    <row r="115" spans="2:21" x14ac:dyDescent="0.25">
      <c r="B115" t="s">
        <v>172</v>
      </c>
      <c r="C115" s="321">
        <f t="shared" si="17"/>
        <v>2.5733242857142855</v>
      </c>
      <c r="D115" s="321"/>
      <c r="E115" s="321"/>
      <c r="F115" s="321">
        <f t="shared" si="18"/>
        <v>2.0480258571428571</v>
      </c>
      <c r="G115" s="321">
        <f t="shared" si="18"/>
        <v>1.7694262857142857</v>
      </c>
      <c r="H115" s="321">
        <f t="shared" si="18"/>
        <v>2.3776665714285716</v>
      </c>
      <c r="K115" s="4"/>
      <c r="R115" s="5"/>
    </row>
    <row r="116" spans="2:21" x14ac:dyDescent="0.25">
      <c r="B116" s="8" t="s">
        <v>10</v>
      </c>
      <c r="C116" s="330">
        <f t="shared" si="17"/>
        <v>0.95479999999999998</v>
      </c>
      <c r="D116" s="330"/>
      <c r="E116" s="330"/>
      <c r="F116" s="330">
        <f t="shared" si="18"/>
        <v>0.2094400000000011</v>
      </c>
      <c r="G116" s="330">
        <f t="shared" si="18"/>
        <v>0</v>
      </c>
      <c r="H116" s="330">
        <f t="shared" si="18"/>
        <v>0</v>
      </c>
      <c r="K116" s="4"/>
      <c r="L116">
        <v>2012</v>
      </c>
      <c r="M116">
        <v>2013</v>
      </c>
      <c r="N116">
        <v>2014</v>
      </c>
      <c r="O116">
        <v>2015</v>
      </c>
      <c r="P116">
        <v>2016</v>
      </c>
      <c r="Q116">
        <v>2017</v>
      </c>
      <c r="R116" s="5"/>
    </row>
    <row r="117" spans="2:21" x14ac:dyDescent="0.25">
      <c r="B117" s="18" t="s">
        <v>402</v>
      </c>
      <c r="C117" s="328">
        <f>SUM(C111:C116)</f>
        <v>14.394674285714284</v>
      </c>
      <c r="D117" s="328"/>
      <c r="E117" s="328"/>
      <c r="F117" s="328">
        <f>SUM(F111:F116)</f>
        <v>12.50136883011583</v>
      </c>
      <c r="G117" s="328">
        <f>SUM(G111:G116)</f>
        <v>12.009969258687258</v>
      </c>
      <c r="H117" s="328">
        <f>SUM(H111:H116)</f>
        <v>12.224289274131273</v>
      </c>
      <c r="K117" s="4" t="s">
        <v>24</v>
      </c>
      <c r="L117">
        <v>5700.2429599999996</v>
      </c>
      <c r="M117">
        <v>6237.0440799999997</v>
      </c>
      <c r="N117">
        <v>5289.4471399999993</v>
      </c>
      <c r="O117">
        <v>5704.9689799999996</v>
      </c>
      <c r="P117">
        <v>5108.3392334626606</v>
      </c>
      <c r="Q117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394</v>
      </c>
      <c r="C118" s="328">
        <f>L125/1000</f>
        <v>15.020696860000001</v>
      </c>
      <c r="F118" s="328">
        <f>O125/1000</f>
        <v>14.093548470927624</v>
      </c>
      <c r="G118" s="328">
        <f>P125/1000</f>
        <v>14.829058053603328</v>
      </c>
      <c r="H118" s="328">
        <f>Q125/1000</f>
        <v>15.074336748610733</v>
      </c>
      <c r="K118" s="4" t="s">
        <v>1</v>
      </c>
      <c r="L118">
        <v>312.34208000000001</v>
      </c>
      <c r="M118">
        <v>263.42958532513273</v>
      </c>
      <c r="N118">
        <v>223.14328</v>
      </c>
      <c r="O118">
        <v>199.24696</v>
      </c>
      <c r="P118">
        <v>243.17615633548297</v>
      </c>
      <c r="Q118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21">
        <f>H118-H117</f>
        <v>2.8500474744794602</v>
      </c>
      <c r="K119" s="4" t="s">
        <v>412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5"/>
    </row>
    <row r="120" spans="2:21" x14ac:dyDescent="0.25">
      <c r="K120" s="4" t="s">
        <v>34</v>
      </c>
      <c r="L120">
        <v>6208.6702500000001</v>
      </c>
      <c r="M120">
        <v>6652.1925000000001</v>
      </c>
      <c r="N120">
        <v>5942.3409000000001</v>
      </c>
      <c r="O120">
        <v>6026.0746500000005</v>
      </c>
      <c r="P120">
        <v>6278.7447000000002</v>
      </c>
      <c r="Q120">
        <v>6648.3288000000011</v>
      </c>
      <c r="R120" s="5"/>
    </row>
    <row r="121" spans="2:21" x14ac:dyDescent="0.25">
      <c r="B121" t="s">
        <v>397</v>
      </c>
      <c r="K121" s="4" t="s">
        <v>20</v>
      </c>
      <c r="L121">
        <v>2277.4654999999998</v>
      </c>
      <c r="M121">
        <v>1974.875</v>
      </c>
      <c r="N121">
        <v>2457.5832500000001</v>
      </c>
      <c r="O121">
        <v>1715.5807749999999</v>
      </c>
      <c r="P121">
        <v>2754.2520298699405</v>
      </c>
      <c r="Q121">
        <v>2748.5904244342255</v>
      </c>
      <c r="R121" s="5"/>
    </row>
    <row r="122" spans="2:21" x14ac:dyDescent="0.25">
      <c r="B122" t="s">
        <v>398</v>
      </c>
      <c r="C122" s="268">
        <f>C117/C107</f>
        <v>2.0741605599011934</v>
      </c>
      <c r="D122" s="268"/>
      <c r="E122" s="268"/>
      <c r="F122" s="268">
        <f>F117/F107</f>
        <v>1.9533388797055979</v>
      </c>
      <c r="G122" s="268">
        <f>G117/G107</f>
        <v>1.9717565684924081</v>
      </c>
      <c r="H122" s="268">
        <f>H117/H107</f>
        <v>1.9621652125411351</v>
      </c>
      <c r="K122" s="4" t="s">
        <v>376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5"/>
    </row>
    <row r="123" spans="2:21" x14ac:dyDescent="0.25">
      <c r="B123" t="s">
        <v>399</v>
      </c>
      <c r="C123" s="321">
        <f>K113</f>
        <v>1.9236212885564443</v>
      </c>
      <c r="F123" s="321">
        <f>L113</f>
        <v>2.2027708961922485</v>
      </c>
      <c r="G123" s="321">
        <f>M113</f>
        <v>2.267937891134721</v>
      </c>
      <c r="H123" s="321">
        <f>N113</f>
        <v>2.3751583360094477</v>
      </c>
      <c r="K123" s="4" t="s">
        <v>377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5"/>
    </row>
    <row r="124" spans="2:21" x14ac:dyDescent="0.25">
      <c r="K124" s="4" t="s">
        <v>18</v>
      </c>
      <c r="L124">
        <v>521.97607000000005</v>
      </c>
      <c r="M124">
        <v>454.57380473021976</v>
      </c>
      <c r="N124">
        <v>451.01042502736851</v>
      </c>
      <c r="O124">
        <v>447.67710592762421</v>
      </c>
      <c r="P124">
        <v>444.54593393524567</v>
      </c>
      <c r="Q124">
        <v>441.59378645486481</v>
      </c>
      <c r="R124" s="5"/>
    </row>
    <row r="125" spans="2:21" x14ac:dyDescent="0.25">
      <c r="K125" s="4" t="s">
        <v>411</v>
      </c>
      <c r="L125">
        <f t="shared" ref="L125:Q125" si="19">SUM(L117:L124)</f>
        <v>15020.696860000002</v>
      </c>
      <c r="M125">
        <f t="shared" si="19"/>
        <v>15582.114970055352</v>
      </c>
      <c r="N125">
        <f t="shared" si="19"/>
        <v>14363.524995027368</v>
      </c>
      <c r="O125">
        <f t="shared" si="19"/>
        <v>14093.548470927624</v>
      </c>
      <c r="P125">
        <f t="shared" si="19"/>
        <v>14829.058053603329</v>
      </c>
      <c r="Q125">
        <f t="shared" si="19"/>
        <v>15074.336748610733</v>
      </c>
      <c r="R125" s="5"/>
    </row>
    <row r="126" spans="2:21" x14ac:dyDescent="0.25">
      <c r="K126" s="4"/>
      <c r="R126" s="5"/>
    </row>
    <row r="127" spans="2:21" x14ac:dyDescent="0.25">
      <c r="K127" s="4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/>
  </sheetViews>
  <sheetFormatPr defaultRowHeight="15" x14ac:dyDescent="0.25"/>
  <sheetData>
    <row r="4" spans="1:3" x14ac:dyDescent="0.25">
      <c r="B4" s="118" t="s">
        <v>598</v>
      </c>
    </row>
    <row r="5" spans="1:3" x14ac:dyDescent="0.25">
      <c r="B5" t="s">
        <v>599</v>
      </c>
      <c r="C5" t="s">
        <v>600</v>
      </c>
    </row>
    <row r="7" spans="1:3" x14ac:dyDescent="0.25">
      <c r="A7" s="18" t="s">
        <v>6</v>
      </c>
    </row>
    <row r="8" spans="1:3" x14ac:dyDescent="0.25">
      <c r="B8" t="s">
        <v>616</v>
      </c>
    </row>
    <row r="9" spans="1:3" x14ac:dyDescent="0.25">
      <c r="B9">
        <v>280</v>
      </c>
      <c r="C9" t="s">
        <v>615</v>
      </c>
    </row>
    <row r="10" spans="1:3" x14ac:dyDescent="0.25">
      <c r="B10">
        <v>120</v>
      </c>
      <c r="C10" t="s">
        <v>617</v>
      </c>
    </row>
    <row r="11" spans="1:3" x14ac:dyDescent="0.25">
      <c r="B11">
        <v>500</v>
      </c>
      <c r="C11" t="s">
        <v>618</v>
      </c>
    </row>
    <row r="12" spans="1:3" x14ac:dyDescent="0.25">
      <c r="B12" t="s">
        <v>198</v>
      </c>
      <c r="C12" t="s">
        <v>619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workbookViewId="0"/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669</v>
      </c>
    </row>
    <row r="3" spans="1:10" ht="16.5" thickTop="1" x14ac:dyDescent="0.25"/>
    <row r="4" spans="1:10" x14ac:dyDescent="0.25">
      <c r="B4" s="58" t="s">
        <v>670</v>
      </c>
      <c r="C4" s="60" t="s">
        <v>671</v>
      </c>
      <c r="D4" s="21" t="s">
        <v>734</v>
      </c>
      <c r="E4" s="43">
        <v>1.3012729844413011</v>
      </c>
      <c r="F4" s="21" t="s">
        <v>735</v>
      </c>
    </row>
    <row r="5" spans="1:10" x14ac:dyDescent="0.25">
      <c r="B5" s="58" t="s">
        <v>672</v>
      </c>
      <c r="C5" s="60">
        <v>2010</v>
      </c>
    </row>
    <row r="7" spans="1:10" ht="18" thickBot="1" x14ac:dyDescent="0.35">
      <c r="B7" s="22" t="s">
        <v>729</v>
      </c>
    </row>
    <row r="8" spans="1:10" ht="16.5" thickTop="1" x14ac:dyDescent="0.25">
      <c r="B8" s="424"/>
      <c r="C8" s="425"/>
      <c r="D8" s="425" t="s">
        <v>673</v>
      </c>
      <c r="E8" s="425" t="s">
        <v>674</v>
      </c>
      <c r="F8" s="425" t="s">
        <v>675</v>
      </c>
      <c r="G8" s="425" t="s">
        <v>676</v>
      </c>
      <c r="H8" s="425" t="s">
        <v>677</v>
      </c>
      <c r="I8" s="425" t="s">
        <v>730</v>
      </c>
      <c r="J8" s="426" t="s">
        <v>563</v>
      </c>
    </row>
    <row r="9" spans="1:10" x14ac:dyDescent="0.25">
      <c r="B9" s="70"/>
      <c r="C9" s="81"/>
      <c r="D9" s="81" t="s">
        <v>678</v>
      </c>
      <c r="E9" s="81" t="s">
        <v>679</v>
      </c>
      <c r="F9" s="81"/>
      <c r="G9" s="81"/>
      <c r="H9" s="81"/>
      <c r="I9" s="81"/>
      <c r="J9" s="427"/>
    </row>
    <row r="10" spans="1:10" x14ac:dyDescent="0.25">
      <c r="B10" s="80" t="s">
        <v>231</v>
      </c>
      <c r="C10" s="59" t="s">
        <v>246</v>
      </c>
      <c r="D10" s="59" t="s">
        <v>680</v>
      </c>
      <c r="E10" s="59">
        <v>98</v>
      </c>
      <c r="F10" s="59" t="s">
        <v>681</v>
      </c>
      <c r="G10" s="428">
        <v>2011</v>
      </c>
      <c r="H10" s="59">
        <v>7.5574381672222009</v>
      </c>
      <c r="I10" s="433">
        <f>H10*E10</f>
        <v>740.62894038777563</v>
      </c>
      <c r="J10" s="429" t="s">
        <v>682</v>
      </c>
    </row>
    <row r="11" spans="1:10" x14ac:dyDescent="0.25">
      <c r="B11" s="55"/>
      <c r="C11" s="59" t="s">
        <v>683</v>
      </c>
      <c r="D11" s="59" t="s">
        <v>680</v>
      </c>
      <c r="E11" s="59">
        <v>43.89</v>
      </c>
      <c r="F11" s="59" t="s">
        <v>681</v>
      </c>
      <c r="G11" s="428">
        <v>2000</v>
      </c>
      <c r="H11" s="59">
        <v>5.914974034351558</v>
      </c>
      <c r="I11" s="433">
        <f>H11*E11</f>
        <v>259.60821036768988</v>
      </c>
      <c r="J11" s="429" t="s">
        <v>684</v>
      </c>
    </row>
    <row r="12" spans="1:10" x14ac:dyDescent="0.25">
      <c r="B12" s="58"/>
      <c r="C12" s="59" t="s">
        <v>685</v>
      </c>
      <c r="D12" s="59" t="s">
        <v>680</v>
      </c>
      <c r="E12" s="59">
        <v>340</v>
      </c>
      <c r="F12" s="59" t="s">
        <v>681</v>
      </c>
      <c r="G12" s="428">
        <v>2011</v>
      </c>
      <c r="H12" s="59">
        <v>7.5574381672222009</v>
      </c>
      <c r="I12" s="433">
        <f t="shared" ref="I12:I27" si="0">H12*E12</f>
        <v>2569.5289768555481</v>
      </c>
      <c r="J12" s="429" t="s">
        <v>682</v>
      </c>
    </row>
    <row r="13" spans="1:10" x14ac:dyDescent="0.25">
      <c r="B13" s="58"/>
      <c r="C13" s="59" t="s">
        <v>686</v>
      </c>
      <c r="D13" s="59" t="s">
        <v>687</v>
      </c>
      <c r="E13" s="59">
        <v>9.5000000000000001E-2</v>
      </c>
      <c r="F13" s="59" t="s">
        <v>681</v>
      </c>
      <c r="G13" s="428">
        <v>2011</v>
      </c>
      <c r="H13" s="59">
        <v>7.5574381672222009</v>
      </c>
      <c r="I13" s="433">
        <f t="shared" si="0"/>
        <v>0.71795662588610909</v>
      </c>
      <c r="J13" s="429" t="s">
        <v>682</v>
      </c>
    </row>
    <row r="14" spans="1:10" x14ac:dyDescent="0.25">
      <c r="B14" s="58"/>
      <c r="C14" s="59" t="s">
        <v>688</v>
      </c>
      <c r="D14" s="59" t="s">
        <v>680</v>
      </c>
      <c r="E14" s="59">
        <v>90.02</v>
      </c>
      <c r="F14" s="59" t="s">
        <v>681</v>
      </c>
      <c r="G14" s="428">
        <v>2000</v>
      </c>
      <c r="H14" s="59">
        <v>5.914974034351558</v>
      </c>
      <c r="I14" s="433">
        <f t="shared" si="0"/>
        <v>532.46596257232727</v>
      </c>
      <c r="J14" s="429" t="s">
        <v>684</v>
      </c>
    </row>
    <row r="15" spans="1:10" x14ac:dyDescent="0.25">
      <c r="B15" s="58"/>
      <c r="C15" s="59" t="s">
        <v>689</v>
      </c>
      <c r="D15" s="59" t="s">
        <v>680</v>
      </c>
      <c r="E15" s="59">
        <v>77.83</v>
      </c>
      <c r="F15" s="59" t="s">
        <v>681</v>
      </c>
      <c r="G15" s="428">
        <v>2000</v>
      </c>
      <c r="H15" s="59">
        <v>5.914974034351558</v>
      </c>
      <c r="I15" s="433">
        <f t="shared" si="0"/>
        <v>460.36242909358174</v>
      </c>
      <c r="J15" s="429" t="s">
        <v>684</v>
      </c>
    </row>
    <row r="16" spans="1:10" x14ac:dyDescent="0.25">
      <c r="B16" s="58"/>
      <c r="C16" s="59" t="s">
        <v>690</v>
      </c>
      <c r="D16" s="59" t="s">
        <v>680</v>
      </c>
      <c r="E16" s="59">
        <v>1175</v>
      </c>
      <c r="F16" s="59" t="s">
        <v>681</v>
      </c>
      <c r="G16" s="428">
        <v>2011</v>
      </c>
      <c r="H16" s="59">
        <v>7.5574381672222009</v>
      </c>
      <c r="I16" s="433">
        <f t="shared" si="0"/>
        <v>8879.9898464860853</v>
      </c>
      <c r="J16" s="429" t="s">
        <v>682</v>
      </c>
    </row>
    <row r="17" spans="2:10" x14ac:dyDescent="0.25">
      <c r="B17" s="58"/>
      <c r="C17" s="59" t="s">
        <v>248</v>
      </c>
      <c r="D17" s="59" t="s">
        <v>680</v>
      </c>
      <c r="E17" s="59">
        <v>50</v>
      </c>
      <c r="F17" s="59" t="s">
        <v>681</v>
      </c>
      <c r="G17" s="428">
        <v>2011</v>
      </c>
      <c r="H17" s="59">
        <v>7.5574381672222009</v>
      </c>
      <c r="I17" s="433">
        <f t="shared" si="0"/>
        <v>377.87190836111006</v>
      </c>
      <c r="J17" s="429" t="s">
        <v>682</v>
      </c>
    </row>
    <row r="18" spans="2:10" x14ac:dyDescent="0.25">
      <c r="B18" s="58"/>
      <c r="C18" s="59" t="s">
        <v>691</v>
      </c>
      <c r="D18" s="59" t="s">
        <v>680</v>
      </c>
      <c r="E18" s="59">
        <v>490.53</v>
      </c>
      <c r="F18" s="59" t="s">
        <v>681</v>
      </c>
      <c r="G18" s="428">
        <v>2000</v>
      </c>
      <c r="H18" s="59">
        <v>5.914974034351558</v>
      </c>
      <c r="I18" s="433">
        <f t="shared" si="0"/>
        <v>2901.4722130704695</v>
      </c>
      <c r="J18" s="429" t="s">
        <v>684</v>
      </c>
    </row>
    <row r="19" spans="2:10" x14ac:dyDescent="0.25">
      <c r="B19" s="58"/>
      <c r="C19" s="59" t="s">
        <v>692</v>
      </c>
      <c r="D19" s="59" t="s">
        <v>680</v>
      </c>
      <c r="E19" s="59">
        <v>5800</v>
      </c>
      <c r="F19" s="59" t="s">
        <v>681</v>
      </c>
      <c r="G19" s="428">
        <v>2011</v>
      </c>
      <c r="H19" s="59">
        <v>7.5574381672222009</v>
      </c>
      <c r="I19" s="433">
        <f t="shared" si="0"/>
        <v>43833.141369888763</v>
      </c>
      <c r="J19" s="429" t="s">
        <v>682</v>
      </c>
    </row>
    <row r="20" spans="2:10" x14ac:dyDescent="0.25">
      <c r="B20" s="58"/>
      <c r="C20" s="59" t="s">
        <v>693</v>
      </c>
      <c r="D20" s="59" t="s">
        <v>680</v>
      </c>
      <c r="E20" s="59">
        <v>648</v>
      </c>
      <c r="F20" s="59" t="s">
        <v>681</v>
      </c>
      <c r="G20" s="428">
        <v>2011</v>
      </c>
      <c r="H20" s="59">
        <v>7.5574381672222009</v>
      </c>
      <c r="I20" s="433">
        <f t="shared" si="0"/>
        <v>4897.2199323599862</v>
      </c>
      <c r="J20" s="429" t="s">
        <v>682</v>
      </c>
    </row>
    <row r="21" spans="2:10" x14ac:dyDescent="0.25">
      <c r="B21" s="80" t="s">
        <v>694</v>
      </c>
      <c r="C21" s="59" t="s">
        <v>695</v>
      </c>
      <c r="D21" s="59" t="s">
        <v>680</v>
      </c>
      <c r="E21" s="59">
        <v>9.25</v>
      </c>
      <c r="F21" s="59" t="s">
        <v>681</v>
      </c>
      <c r="G21" s="428">
        <v>2011</v>
      </c>
      <c r="H21" s="59">
        <v>7.5574381672222009</v>
      </c>
      <c r="I21" s="433">
        <f t="shared" si="0"/>
        <v>69.906303046805363</v>
      </c>
      <c r="J21" s="429" t="s">
        <v>682</v>
      </c>
    </row>
    <row r="22" spans="2:10" x14ac:dyDescent="0.25">
      <c r="B22" s="58"/>
      <c r="C22" s="59" t="s">
        <v>696</v>
      </c>
      <c r="D22" s="59" t="s">
        <v>680</v>
      </c>
      <c r="E22" s="59">
        <v>5</v>
      </c>
      <c r="F22" s="59" t="s">
        <v>681</v>
      </c>
      <c r="G22" s="428">
        <v>2011</v>
      </c>
      <c r="H22" s="59">
        <v>7.5574381672222009</v>
      </c>
      <c r="I22" s="433">
        <f t="shared" si="0"/>
        <v>37.787190836111002</v>
      </c>
      <c r="J22" s="429" t="s">
        <v>682</v>
      </c>
    </row>
    <row r="23" spans="2:10" x14ac:dyDescent="0.25">
      <c r="B23" s="58"/>
      <c r="C23" s="59" t="s">
        <v>697</v>
      </c>
      <c r="D23" s="59" t="s">
        <v>680</v>
      </c>
      <c r="E23" s="59">
        <v>13.25</v>
      </c>
      <c r="F23" s="59" t="s">
        <v>681</v>
      </c>
      <c r="G23" s="428">
        <v>2011</v>
      </c>
      <c r="H23" s="59">
        <v>7.5574381672222009</v>
      </c>
      <c r="I23" s="433">
        <f t="shared" si="0"/>
        <v>100.13605571569416</v>
      </c>
      <c r="J23" s="429" t="s">
        <v>682</v>
      </c>
    </row>
    <row r="24" spans="2:10" x14ac:dyDescent="0.25">
      <c r="B24" s="80" t="s">
        <v>698</v>
      </c>
      <c r="C24" s="59" t="s">
        <v>699</v>
      </c>
      <c r="D24" s="59" t="s">
        <v>700</v>
      </c>
      <c r="E24" s="59">
        <v>37.700000000000003</v>
      </c>
      <c r="F24" s="59" t="s">
        <v>681</v>
      </c>
      <c r="G24" s="428">
        <v>2011</v>
      </c>
      <c r="H24" s="59">
        <v>7.5574381672222009</v>
      </c>
      <c r="I24" s="433">
        <f t="shared" si="0"/>
        <v>284.91541890427698</v>
      </c>
      <c r="J24" s="429" t="s">
        <v>682</v>
      </c>
    </row>
    <row r="25" spans="2:10" x14ac:dyDescent="0.25">
      <c r="B25" s="58"/>
      <c r="C25" s="59" t="s">
        <v>701</v>
      </c>
      <c r="D25" s="59"/>
      <c r="E25" s="59"/>
      <c r="F25" s="59" t="s">
        <v>681</v>
      </c>
      <c r="G25" s="428">
        <v>2011</v>
      </c>
      <c r="H25" s="59">
        <v>7.5574381672222009</v>
      </c>
      <c r="I25" s="433">
        <f>H25*E25</f>
        <v>0</v>
      </c>
      <c r="J25" s="429" t="s">
        <v>682</v>
      </c>
    </row>
    <row r="26" spans="2:10" x14ac:dyDescent="0.25">
      <c r="B26" s="58"/>
      <c r="C26" s="59" t="s">
        <v>702</v>
      </c>
      <c r="D26" s="430" t="s">
        <v>703</v>
      </c>
      <c r="E26" s="59">
        <v>15</v>
      </c>
      <c r="F26" s="59" t="s">
        <v>681</v>
      </c>
      <c r="G26" s="428">
        <v>2011</v>
      </c>
      <c r="H26" s="59">
        <v>7.5574381672222009</v>
      </c>
      <c r="I26" s="433">
        <f t="shared" si="0"/>
        <v>113.36157250833301</v>
      </c>
      <c r="J26" s="429" t="s">
        <v>682</v>
      </c>
    </row>
    <row r="27" spans="2:10" x14ac:dyDescent="0.25">
      <c r="B27" s="58"/>
      <c r="C27" s="59" t="s">
        <v>704</v>
      </c>
      <c r="D27" s="430" t="s">
        <v>703</v>
      </c>
      <c r="E27" s="59">
        <v>-31.8</v>
      </c>
      <c r="F27" s="59" t="s">
        <v>681</v>
      </c>
      <c r="G27" s="428">
        <v>2011</v>
      </c>
      <c r="H27" s="59">
        <v>7.5574381672222009</v>
      </c>
      <c r="I27" s="433">
        <f t="shared" si="0"/>
        <v>-240.326533717666</v>
      </c>
      <c r="J27" s="429" t="s">
        <v>682</v>
      </c>
    </row>
    <row r="33" spans="2:9" ht="18" thickBot="1" x14ac:dyDescent="0.35">
      <c r="B33" s="22" t="s">
        <v>705</v>
      </c>
    </row>
    <row r="34" spans="2:9" ht="16.5" thickTop="1" x14ac:dyDescent="0.25">
      <c r="B34" s="424"/>
      <c r="C34" s="425"/>
      <c r="D34" s="425" t="s">
        <v>706</v>
      </c>
      <c r="E34" s="425" t="s">
        <v>673</v>
      </c>
      <c r="F34" s="425" t="s">
        <v>7</v>
      </c>
      <c r="G34" s="425"/>
      <c r="H34" s="425" t="s">
        <v>7</v>
      </c>
      <c r="I34" s="426" t="s">
        <v>707</v>
      </c>
    </row>
    <row r="35" spans="2:9" x14ac:dyDescent="0.25">
      <c r="B35" s="70"/>
      <c r="C35" s="81"/>
      <c r="D35" s="81"/>
      <c r="E35" s="81"/>
      <c r="F35" s="81" t="s">
        <v>708</v>
      </c>
      <c r="G35" s="81"/>
      <c r="H35" s="431" t="s">
        <v>709</v>
      </c>
      <c r="I35" s="427"/>
    </row>
    <row r="36" spans="2:9" x14ac:dyDescent="0.25">
      <c r="B36" s="58" t="s">
        <v>710</v>
      </c>
      <c r="C36" s="59" t="s">
        <v>246</v>
      </c>
      <c r="D36" s="59" t="s">
        <v>711</v>
      </c>
      <c r="E36" s="59" t="s">
        <v>712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713</v>
      </c>
    </row>
    <row r="37" spans="2:9" x14ac:dyDescent="0.25">
      <c r="B37" s="58"/>
      <c r="C37" s="59" t="s">
        <v>695</v>
      </c>
      <c r="D37" s="59" t="s">
        <v>714</v>
      </c>
      <c r="E37" s="59" t="s">
        <v>712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713</v>
      </c>
    </row>
    <row r="38" spans="2:9" x14ac:dyDescent="0.25">
      <c r="B38" s="58"/>
      <c r="C38" s="59" t="s">
        <v>685</v>
      </c>
      <c r="D38" s="59" t="s">
        <v>711</v>
      </c>
      <c r="E38" s="59" t="s">
        <v>712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713</v>
      </c>
    </row>
    <row r="39" spans="2:9" x14ac:dyDescent="0.25">
      <c r="B39" s="58"/>
      <c r="C39" s="59" t="s">
        <v>696</v>
      </c>
      <c r="D39" s="59" t="s">
        <v>714</v>
      </c>
      <c r="E39" s="59" t="s">
        <v>712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713</v>
      </c>
    </row>
    <row r="40" spans="2:9" x14ac:dyDescent="0.25">
      <c r="B40" s="58"/>
      <c r="C40" s="59" t="s">
        <v>697</v>
      </c>
      <c r="D40" s="59" t="s">
        <v>714</v>
      </c>
      <c r="E40" s="59" t="s">
        <v>712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713</v>
      </c>
    </row>
    <row r="41" spans="2:9" x14ac:dyDescent="0.25">
      <c r="B41" s="58"/>
      <c r="C41" s="59" t="s">
        <v>686</v>
      </c>
      <c r="D41" s="59" t="s">
        <v>711</v>
      </c>
      <c r="E41" s="59" t="s">
        <v>715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713</v>
      </c>
    </row>
    <row r="42" spans="2:9" x14ac:dyDescent="0.25">
      <c r="B42" s="58"/>
      <c r="C42" s="59" t="s">
        <v>690</v>
      </c>
      <c r="D42" s="59" t="s">
        <v>711</v>
      </c>
      <c r="E42" s="59" t="s">
        <v>712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713</v>
      </c>
    </row>
    <row r="43" spans="2:9" x14ac:dyDescent="0.25">
      <c r="B43" s="58"/>
      <c r="C43" s="59" t="s">
        <v>248</v>
      </c>
      <c r="D43" s="59" t="s">
        <v>711</v>
      </c>
      <c r="E43" s="59" t="s">
        <v>712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713</v>
      </c>
    </row>
    <row r="44" spans="2:9" x14ac:dyDescent="0.25">
      <c r="B44" s="58"/>
      <c r="C44" s="59" t="s">
        <v>692</v>
      </c>
      <c r="D44" s="59" t="s">
        <v>711</v>
      </c>
      <c r="E44" s="59" t="s">
        <v>712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713</v>
      </c>
    </row>
    <row r="45" spans="2:9" x14ac:dyDescent="0.25">
      <c r="B45" s="58"/>
      <c r="C45" s="59" t="s">
        <v>693</v>
      </c>
      <c r="D45" s="59" t="s">
        <v>711</v>
      </c>
      <c r="E45" s="59" t="s">
        <v>712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713</v>
      </c>
    </row>
    <row r="46" spans="2:9" x14ac:dyDescent="0.25">
      <c r="B46" s="58" t="s">
        <v>698</v>
      </c>
      <c r="C46" s="59" t="s">
        <v>699</v>
      </c>
      <c r="D46" s="59" t="s">
        <v>711</v>
      </c>
      <c r="E46" s="59" t="s">
        <v>716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713</v>
      </c>
    </row>
    <row r="47" spans="2:9" x14ac:dyDescent="0.25">
      <c r="B47" s="58"/>
      <c r="C47" s="59" t="s">
        <v>702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713</v>
      </c>
    </row>
    <row r="48" spans="2:9" x14ac:dyDescent="0.25">
      <c r="B48" s="58"/>
      <c r="C48" s="59" t="s">
        <v>704</v>
      </c>
      <c r="D48" s="59" t="s">
        <v>711</v>
      </c>
      <c r="E48" s="59" t="s">
        <v>712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713</v>
      </c>
    </row>
    <row r="49" spans="2:9" x14ac:dyDescent="0.25">
      <c r="B49" s="58"/>
      <c r="C49" s="59" t="s">
        <v>717</v>
      </c>
      <c r="D49" s="59"/>
      <c r="E49" s="59"/>
      <c r="F49" s="59"/>
      <c r="G49" s="59" t="e">
        <f t="shared" si="1"/>
        <v>#N/A</v>
      </c>
      <c r="H49" s="59"/>
      <c r="I49" s="60" t="s">
        <v>713</v>
      </c>
    </row>
    <row r="50" spans="2:9" x14ac:dyDescent="0.25">
      <c r="B50" s="58"/>
      <c r="C50" s="59" t="s">
        <v>718</v>
      </c>
      <c r="D50" s="59"/>
      <c r="E50" s="59"/>
      <c r="F50" s="59"/>
      <c r="G50" s="59" t="e">
        <f t="shared" si="1"/>
        <v>#N/A</v>
      </c>
      <c r="H50" s="59"/>
      <c r="I50" s="60" t="s">
        <v>713</v>
      </c>
    </row>
    <row r="51" spans="2:9" x14ac:dyDescent="0.25">
      <c r="B51" s="58"/>
      <c r="C51" s="59" t="s">
        <v>719</v>
      </c>
      <c r="D51" s="59"/>
      <c r="E51" s="59"/>
      <c r="F51" s="59"/>
      <c r="G51" s="59" t="e">
        <f t="shared" si="1"/>
        <v>#N/A</v>
      </c>
      <c r="H51" s="59"/>
      <c r="I51" s="60" t="s">
        <v>713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736</v>
      </c>
    </row>
    <row r="55" spans="2:9" ht="18" thickBot="1" x14ac:dyDescent="0.35">
      <c r="B55" s="22" t="s">
        <v>720</v>
      </c>
    </row>
    <row r="56" spans="2:9" ht="16.5" thickTop="1" x14ac:dyDescent="0.25">
      <c r="B56" s="80"/>
      <c r="C56" s="83"/>
      <c r="D56" s="83" t="s">
        <v>706</v>
      </c>
      <c r="E56" s="83" t="s">
        <v>673</v>
      </c>
      <c r="F56" s="83" t="s">
        <v>9</v>
      </c>
      <c r="G56" s="83"/>
      <c r="H56" s="83" t="s">
        <v>9</v>
      </c>
      <c r="I56" s="84" t="s">
        <v>721</v>
      </c>
    </row>
    <row r="57" spans="2:9" x14ac:dyDescent="0.25">
      <c r="B57" s="70"/>
      <c r="C57" s="81"/>
      <c r="D57" s="81"/>
      <c r="E57" s="81"/>
      <c r="F57" s="81" t="s">
        <v>708</v>
      </c>
      <c r="G57" s="81"/>
      <c r="H57" s="81" t="s">
        <v>722</v>
      </c>
      <c r="I57" s="427"/>
    </row>
    <row r="58" spans="2:9" x14ac:dyDescent="0.25">
      <c r="B58" s="58" t="s">
        <v>710</v>
      </c>
      <c r="C58" s="59" t="s">
        <v>683</v>
      </c>
      <c r="D58" s="59" t="s">
        <v>711</v>
      </c>
      <c r="E58" s="59" t="s">
        <v>712</v>
      </c>
      <c r="F58" s="59">
        <v>1.4652000000000001</v>
      </c>
      <c r="G58" s="59">
        <f>VLOOKUP(C58,$C$10:$J$27,7,FALSE)</f>
        <v>259.60821036768988</v>
      </c>
      <c r="H58" s="433">
        <f>G58*F58</f>
        <v>380.37794983073923</v>
      </c>
      <c r="I58" s="60" t="s">
        <v>684</v>
      </c>
    </row>
    <row r="59" spans="2:9" x14ac:dyDescent="0.25">
      <c r="B59" s="58"/>
      <c r="C59" s="59" t="s">
        <v>695</v>
      </c>
      <c r="D59" s="59" t="s">
        <v>714</v>
      </c>
      <c r="E59" s="59" t="s">
        <v>712</v>
      </c>
      <c r="F59" s="59">
        <v>1.4652000000000001</v>
      </c>
      <c r="G59" s="59">
        <f t="shared" ref="G59:G73" si="3">VLOOKUP(C59,$C$10:$J$27,7,FALSE)</f>
        <v>69.906303046805363</v>
      </c>
      <c r="H59" s="433">
        <f t="shared" ref="H59:H70" si="4">G59*F59</f>
        <v>102.42671522417922</v>
      </c>
      <c r="I59" s="60" t="s">
        <v>684</v>
      </c>
    </row>
    <row r="60" spans="2:9" x14ac:dyDescent="0.25">
      <c r="B60" s="58"/>
      <c r="C60" s="59" t="s">
        <v>685</v>
      </c>
      <c r="D60" s="59" t="s">
        <v>711</v>
      </c>
      <c r="E60" s="59" t="s">
        <v>712</v>
      </c>
      <c r="F60" s="59">
        <v>0.14099999999999999</v>
      </c>
      <c r="G60" s="59">
        <f t="shared" si="3"/>
        <v>2569.5289768555481</v>
      </c>
      <c r="H60" s="433">
        <f t="shared" si="4"/>
        <v>362.30358573663227</v>
      </c>
      <c r="I60" s="60"/>
    </row>
    <row r="61" spans="2:9" x14ac:dyDescent="0.25">
      <c r="B61" s="58"/>
      <c r="C61" s="59" t="s">
        <v>696</v>
      </c>
      <c r="D61" s="59" t="s">
        <v>714</v>
      </c>
      <c r="E61" s="59" t="s">
        <v>712</v>
      </c>
      <c r="F61" s="59">
        <v>0.14099999999999999</v>
      </c>
      <c r="G61" s="59">
        <f t="shared" si="3"/>
        <v>37.787190836111002</v>
      </c>
      <c r="H61" s="433">
        <f t="shared" si="4"/>
        <v>5.3279939078916509</v>
      </c>
      <c r="I61" s="60"/>
    </row>
    <row r="62" spans="2:9" x14ac:dyDescent="0.25">
      <c r="B62" s="58"/>
      <c r="C62" s="59" t="s">
        <v>697</v>
      </c>
      <c r="D62" s="59" t="s">
        <v>714</v>
      </c>
      <c r="E62" s="59" t="s">
        <v>712</v>
      </c>
      <c r="F62" s="59">
        <v>0.877</v>
      </c>
      <c r="G62" s="59">
        <f t="shared" si="3"/>
        <v>100.13605571569416</v>
      </c>
      <c r="H62" s="433">
        <f t="shared" si="4"/>
        <v>87.819320862663773</v>
      </c>
      <c r="I62" s="60"/>
    </row>
    <row r="63" spans="2:9" x14ac:dyDescent="0.25">
      <c r="B63" s="58"/>
      <c r="C63" s="59" t="s">
        <v>686</v>
      </c>
      <c r="D63" s="59" t="s">
        <v>711</v>
      </c>
      <c r="E63" s="59" t="s">
        <v>715</v>
      </c>
      <c r="F63" s="59">
        <v>11</v>
      </c>
      <c r="G63" s="59">
        <f t="shared" si="3"/>
        <v>0.71795662588610909</v>
      </c>
      <c r="H63" s="433">
        <f t="shared" si="4"/>
        <v>7.8975228847472003</v>
      </c>
      <c r="I63" s="60"/>
    </row>
    <row r="64" spans="2:9" x14ac:dyDescent="0.25">
      <c r="B64" s="58"/>
      <c r="C64" s="59" t="s">
        <v>689</v>
      </c>
      <c r="D64" s="59" t="s">
        <v>711</v>
      </c>
      <c r="E64" s="59" t="s">
        <v>712</v>
      </c>
      <c r="F64" s="59">
        <f>0.0402+0.0124</f>
        <v>5.2600000000000001E-2</v>
      </c>
      <c r="G64" s="59">
        <f t="shared" si="3"/>
        <v>460.36242909358174</v>
      </c>
      <c r="H64" s="433">
        <f t="shared" si="4"/>
        <v>24.215063770322399</v>
      </c>
      <c r="I64" s="60"/>
    </row>
    <row r="65" spans="2:9" x14ac:dyDescent="0.25">
      <c r="B65" s="58"/>
      <c r="C65" s="59" t="s">
        <v>248</v>
      </c>
      <c r="D65" s="59" t="s">
        <v>711</v>
      </c>
      <c r="E65" s="59" t="s">
        <v>712</v>
      </c>
      <c r="F65" s="59">
        <v>0</v>
      </c>
      <c r="G65" s="59">
        <f t="shared" si="3"/>
        <v>377.87190836111006</v>
      </c>
      <c r="H65" s="433">
        <f t="shared" si="4"/>
        <v>0</v>
      </c>
      <c r="I65" s="60"/>
    </row>
    <row r="66" spans="2:9" x14ac:dyDescent="0.25">
      <c r="B66" s="58"/>
      <c r="C66" s="59" t="s">
        <v>692</v>
      </c>
      <c r="D66" s="59" t="s">
        <v>711</v>
      </c>
      <c r="E66" s="59" t="s">
        <v>712</v>
      </c>
      <c r="F66" s="59">
        <v>2E-3</v>
      </c>
      <c r="G66" s="59">
        <f t="shared" si="3"/>
        <v>43833.141369888763</v>
      </c>
      <c r="H66" s="433">
        <f t="shared" si="4"/>
        <v>87.666282739777529</v>
      </c>
      <c r="I66" s="60"/>
    </row>
    <row r="67" spans="2:9" x14ac:dyDescent="0.25">
      <c r="B67" s="58"/>
      <c r="C67" s="59" t="s">
        <v>693</v>
      </c>
      <c r="D67" s="59" t="s">
        <v>711</v>
      </c>
      <c r="E67" s="59" t="s">
        <v>712</v>
      </c>
      <c r="F67" s="59">
        <v>0</v>
      </c>
      <c r="G67" s="59">
        <f t="shared" si="3"/>
        <v>4897.2199323599862</v>
      </c>
      <c r="H67" s="433">
        <f t="shared" si="4"/>
        <v>0</v>
      </c>
      <c r="I67" s="60"/>
    </row>
    <row r="68" spans="2:9" x14ac:dyDescent="0.25">
      <c r="B68" s="58" t="s">
        <v>698</v>
      </c>
      <c r="C68" s="59" t="s">
        <v>699</v>
      </c>
      <c r="D68" s="59" t="s">
        <v>711</v>
      </c>
      <c r="E68" s="59" t="s">
        <v>716</v>
      </c>
      <c r="F68" s="59">
        <f>1.7807+1.04+1</f>
        <v>3.8207</v>
      </c>
      <c r="G68" s="59">
        <f t="shared" si="3"/>
        <v>284.91541890427698</v>
      </c>
      <c r="H68" s="433">
        <f t="shared" si="4"/>
        <v>1088.576341007571</v>
      </c>
      <c r="I68" s="60"/>
    </row>
    <row r="69" spans="2:9" x14ac:dyDescent="0.25">
      <c r="B69" s="58"/>
      <c r="C69" s="59" t="s">
        <v>702</v>
      </c>
      <c r="D69" s="59"/>
      <c r="E69" s="59"/>
      <c r="F69" s="59">
        <v>1</v>
      </c>
      <c r="G69" s="59">
        <f t="shared" si="3"/>
        <v>113.36157250833301</v>
      </c>
      <c r="H69" s="433">
        <f t="shared" si="4"/>
        <v>113.36157250833301</v>
      </c>
      <c r="I69" s="60"/>
    </row>
    <row r="70" spans="2:9" x14ac:dyDescent="0.25">
      <c r="B70" s="58"/>
      <c r="C70" s="59" t="s">
        <v>704</v>
      </c>
      <c r="D70" s="59" t="s">
        <v>711</v>
      </c>
      <c r="E70" s="59" t="s">
        <v>712</v>
      </c>
      <c r="F70" s="59">
        <v>0</v>
      </c>
      <c r="G70" s="59">
        <f t="shared" si="3"/>
        <v>-240.326533717666</v>
      </c>
      <c r="H70" s="433">
        <f t="shared" si="4"/>
        <v>0</v>
      </c>
      <c r="I70" s="60"/>
    </row>
    <row r="71" spans="2:9" x14ac:dyDescent="0.25">
      <c r="B71" s="58"/>
      <c r="C71" s="59" t="s">
        <v>717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718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719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34">
        <f>H74-H58</f>
        <v>1879.5943986421182</v>
      </c>
      <c r="I75" s="21" t="s">
        <v>736</v>
      </c>
    </row>
    <row r="77" spans="2:9" ht="18" thickBot="1" x14ac:dyDescent="0.35">
      <c r="B77" s="22" t="s">
        <v>723</v>
      </c>
    </row>
    <row r="78" spans="2:9" ht="16.5" thickTop="1" x14ac:dyDescent="0.25">
      <c r="B78" s="424"/>
      <c r="C78" s="425"/>
      <c r="D78" s="425" t="s">
        <v>706</v>
      </c>
      <c r="E78" s="425" t="s">
        <v>673</v>
      </c>
      <c r="F78" s="425" t="s">
        <v>8</v>
      </c>
      <c r="G78" s="425"/>
      <c r="H78" s="425" t="s">
        <v>8</v>
      </c>
      <c r="I78" s="426"/>
    </row>
    <row r="79" spans="2:9" x14ac:dyDescent="0.25">
      <c r="B79" s="70"/>
      <c r="C79" s="81"/>
      <c r="D79" s="81"/>
      <c r="E79" s="81"/>
      <c r="F79" s="81" t="s">
        <v>708</v>
      </c>
      <c r="G79" s="81"/>
      <c r="H79" s="81" t="s">
        <v>722</v>
      </c>
      <c r="I79" s="427"/>
    </row>
    <row r="80" spans="2:9" x14ac:dyDescent="0.25">
      <c r="B80" s="58" t="s">
        <v>710</v>
      </c>
      <c r="C80" s="59" t="s">
        <v>246</v>
      </c>
      <c r="D80" s="59" t="s">
        <v>711</v>
      </c>
      <c r="E80" s="59" t="s">
        <v>712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724</v>
      </c>
    </row>
    <row r="81" spans="2:9" x14ac:dyDescent="0.25">
      <c r="B81" s="58"/>
      <c r="C81" s="59" t="s">
        <v>695</v>
      </c>
      <c r="D81" s="59" t="s">
        <v>714</v>
      </c>
      <c r="E81" s="59" t="s">
        <v>712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724</v>
      </c>
    </row>
    <row r="82" spans="2:9" x14ac:dyDescent="0.25">
      <c r="B82" s="58"/>
      <c r="C82" s="59" t="s">
        <v>685</v>
      </c>
      <c r="D82" s="59" t="s">
        <v>711</v>
      </c>
      <c r="E82" s="59" t="s">
        <v>712</v>
      </c>
      <c r="F82" s="59">
        <v>1.085</v>
      </c>
      <c r="G82" s="59">
        <f t="shared" si="5"/>
        <v>2569.5289768555481</v>
      </c>
      <c r="H82" s="59">
        <f t="shared" si="6"/>
        <v>2787.9389398882695</v>
      </c>
      <c r="I82" s="60" t="s">
        <v>724</v>
      </c>
    </row>
    <row r="83" spans="2:9" x14ac:dyDescent="0.25">
      <c r="B83" s="58"/>
      <c r="C83" s="59" t="s">
        <v>696</v>
      </c>
      <c r="D83" s="59" t="s">
        <v>714</v>
      </c>
      <c r="E83" s="59" t="s">
        <v>712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724</v>
      </c>
    </row>
    <row r="84" spans="2:9" x14ac:dyDescent="0.25">
      <c r="B84" s="58"/>
      <c r="C84" s="59" t="s">
        <v>697</v>
      </c>
      <c r="D84" s="59" t="s">
        <v>714</v>
      </c>
      <c r="E84" s="59" t="s">
        <v>712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724</v>
      </c>
    </row>
    <row r="85" spans="2:9" x14ac:dyDescent="0.25">
      <c r="B85" s="58"/>
      <c r="C85" s="59" t="s">
        <v>686</v>
      </c>
      <c r="D85" s="59" t="s">
        <v>711</v>
      </c>
      <c r="E85" s="59" t="s">
        <v>715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724</v>
      </c>
    </row>
    <row r="86" spans="2:9" x14ac:dyDescent="0.25">
      <c r="B86" s="58"/>
      <c r="C86" s="59" t="s">
        <v>690</v>
      </c>
      <c r="D86" s="59" t="s">
        <v>711</v>
      </c>
      <c r="E86" s="59" t="s">
        <v>712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724</v>
      </c>
    </row>
    <row r="87" spans="2:9" x14ac:dyDescent="0.25">
      <c r="B87" s="58"/>
      <c r="C87" s="59" t="s">
        <v>248</v>
      </c>
      <c r="D87" s="59" t="s">
        <v>711</v>
      </c>
      <c r="E87" s="59" t="s">
        <v>712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724</v>
      </c>
    </row>
    <row r="88" spans="2:9" x14ac:dyDescent="0.25">
      <c r="B88" s="58"/>
      <c r="C88" s="59" t="s">
        <v>692</v>
      </c>
      <c r="D88" s="59" t="s">
        <v>711</v>
      </c>
      <c r="E88" s="59" t="s">
        <v>712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724</v>
      </c>
    </row>
    <row r="89" spans="2:9" x14ac:dyDescent="0.25">
      <c r="B89" s="58"/>
      <c r="C89" s="59" t="s">
        <v>693</v>
      </c>
      <c r="D89" s="59" t="s">
        <v>711</v>
      </c>
      <c r="E89" s="59" t="s">
        <v>712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724</v>
      </c>
    </row>
    <row r="90" spans="2:9" x14ac:dyDescent="0.25">
      <c r="B90" s="58" t="s">
        <v>698</v>
      </c>
      <c r="C90" s="59" t="s">
        <v>699</v>
      </c>
      <c r="D90" s="59" t="s">
        <v>711</v>
      </c>
      <c r="E90" s="59" t="s">
        <v>716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724</v>
      </c>
    </row>
    <row r="91" spans="2:9" x14ac:dyDescent="0.25">
      <c r="B91" s="58"/>
      <c r="C91" s="59" t="s">
        <v>702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724</v>
      </c>
    </row>
    <row r="92" spans="2:9" x14ac:dyDescent="0.25">
      <c r="B92" s="58"/>
      <c r="C92" s="59" t="s">
        <v>704</v>
      </c>
      <c r="D92" s="59" t="s">
        <v>711</v>
      </c>
      <c r="E92" s="59" t="s">
        <v>712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724</v>
      </c>
    </row>
    <row r="93" spans="2:9" x14ac:dyDescent="0.25">
      <c r="B93" s="58"/>
      <c r="C93" s="59" t="s">
        <v>717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718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719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</f>
        <v>3348.619987307768</v>
      </c>
    </row>
    <row r="99" spans="2:9" ht="18" thickBot="1" x14ac:dyDescent="0.35">
      <c r="B99" s="22" t="s">
        <v>725</v>
      </c>
    </row>
    <row r="100" spans="2:9" ht="16.5" thickTop="1" x14ac:dyDescent="0.25">
      <c r="B100" s="424"/>
      <c r="C100" s="425"/>
      <c r="D100" s="425" t="s">
        <v>706</v>
      </c>
      <c r="E100" s="425" t="s">
        <v>673</v>
      </c>
      <c r="F100" s="425" t="s">
        <v>726</v>
      </c>
      <c r="G100" s="425"/>
      <c r="H100" s="425" t="s">
        <v>726</v>
      </c>
      <c r="I100" s="426" t="s">
        <v>727</v>
      </c>
    </row>
    <row r="101" spans="2:9" x14ac:dyDescent="0.25">
      <c r="B101" s="70"/>
      <c r="C101" s="81"/>
      <c r="D101" s="81"/>
      <c r="E101" s="81"/>
      <c r="F101" s="81" t="s">
        <v>708</v>
      </c>
      <c r="G101" s="81"/>
      <c r="H101" s="81" t="s">
        <v>722</v>
      </c>
      <c r="I101" s="427"/>
    </row>
    <row r="102" spans="2:9" x14ac:dyDescent="0.25">
      <c r="B102" s="58" t="s">
        <v>710</v>
      </c>
      <c r="C102" s="59" t="s">
        <v>683</v>
      </c>
      <c r="D102" s="59" t="s">
        <v>711</v>
      </c>
      <c r="E102" s="59" t="s">
        <v>712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695</v>
      </c>
      <c r="D103" s="59" t="s">
        <v>714</v>
      </c>
      <c r="E103" s="59" t="s">
        <v>712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685</v>
      </c>
      <c r="D104" s="59" t="s">
        <v>711</v>
      </c>
      <c r="E104" s="59" t="s">
        <v>712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696</v>
      </c>
      <c r="D105" s="59" t="s">
        <v>714</v>
      </c>
      <c r="E105" s="59" t="s">
        <v>712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697</v>
      </c>
      <c r="D106" s="59" t="s">
        <v>714</v>
      </c>
      <c r="E106" s="59" t="s">
        <v>712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686</v>
      </c>
      <c r="D107" s="59" t="s">
        <v>711</v>
      </c>
      <c r="E107" s="59" t="s">
        <v>715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688</v>
      </c>
      <c r="D108" s="59" t="s">
        <v>711</v>
      </c>
      <c r="E108" s="59" t="s">
        <v>712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691</v>
      </c>
      <c r="D109" s="59" t="s">
        <v>711</v>
      </c>
      <c r="E109" s="59" t="s">
        <v>712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692</v>
      </c>
      <c r="D110" s="59" t="s">
        <v>711</v>
      </c>
      <c r="E110" s="59" t="s">
        <v>712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689</v>
      </c>
      <c r="D111" s="59" t="s">
        <v>711</v>
      </c>
      <c r="E111" s="59" t="s">
        <v>712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698</v>
      </c>
      <c r="C112" s="59" t="s">
        <v>699</v>
      </c>
      <c r="D112" s="59" t="s">
        <v>711</v>
      </c>
      <c r="E112" s="59" t="s">
        <v>716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704</v>
      </c>
      <c r="D114" s="59" t="s">
        <v>711</v>
      </c>
      <c r="E114" s="59" t="s">
        <v>712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717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718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719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21" spans="2:9" x14ac:dyDescent="0.25">
      <c r="B121" s="424" t="s">
        <v>728</v>
      </c>
      <c r="C121" s="425" t="s">
        <v>7</v>
      </c>
      <c r="D121" s="425" t="s">
        <v>9</v>
      </c>
      <c r="E121" s="425" t="s">
        <v>158</v>
      </c>
      <c r="F121" s="426" t="s">
        <v>726</v>
      </c>
    </row>
    <row r="122" spans="2:9" x14ac:dyDescent="0.25">
      <c r="B122" s="58" t="s">
        <v>732</v>
      </c>
      <c r="C122" s="428">
        <f>H52</f>
        <v>2242.9361758185828</v>
      </c>
      <c r="D122" s="428">
        <f>H74</f>
        <v>2259.9723484728574</v>
      </c>
      <c r="E122" s="428">
        <f>H96</f>
        <v>3348.619987307768</v>
      </c>
      <c r="F122" s="432">
        <f>H118</f>
        <v>2126.6537865331043</v>
      </c>
      <c r="H122" s="21" t="s">
        <v>731</v>
      </c>
    </row>
    <row r="123" spans="2:9" x14ac:dyDescent="0.25">
      <c r="B123" s="58" t="s">
        <v>733</v>
      </c>
      <c r="C123" s="428">
        <f>H53*E4</f>
        <v>1465.3215205328313</v>
      </c>
      <c r="D123" s="428">
        <f>H75*E4</f>
        <v>2445.8654126601818</v>
      </c>
      <c r="E123" s="88">
        <f>H96*$E$4</f>
        <v>4357.4687246437716</v>
      </c>
      <c r="F123" s="88"/>
      <c r="H123" s="21" t="s">
        <v>737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workbookViewId="0"/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1124</v>
      </c>
    </row>
    <row r="2" spans="1:10" ht="16.5" thickTop="1" x14ac:dyDescent="0.25"/>
    <row r="3" spans="1:10" x14ac:dyDescent="0.25">
      <c r="A3" s="58" t="s">
        <v>1125</v>
      </c>
      <c r="B3" s="60">
        <v>2010</v>
      </c>
    </row>
    <row r="4" spans="1:10" x14ac:dyDescent="0.25">
      <c r="A4" s="58" t="s">
        <v>670</v>
      </c>
      <c r="B4" s="533" t="s">
        <v>671</v>
      </c>
    </row>
    <row r="6" spans="1:10" x14ac:dyDescent="0.25">
      <c r="A6" s="32" t="s">
        <v>1126</v>
      </c>
    </row>
    <row r="7" spans="1:10" x14ac:dyDescent="0.25">
      <c r="A7" s="424" t="s">
        <v>124</v>
      </c>
      <c r="B7" s="23" t="s">
        <v>1127</v>
      </c>
      <c r="C7" s="24" t="s">
        <v>563</v>
      </c>
      <c r="D7" s="24" t="s">
        <v>1128</v>
      </c>
      <c r="E7" s="24" t="s">
        <v>1129</v>
      </c>
      <c r="F7" s="24" t="s">
        <v>670</v>
      </c>
      <c r="G7" s="24" t="s">
        <v>1130</v>
      </c>
      <c r="H7" s="24" t="s">
        <v>677</v>
      </c>
      <c r="I7" s="24" t="s">
        <v>706</v>
      </c>
      <c r="J7" s="25" t="s">
        <v>1131</v>
      </c>
    </row>
    <row r="8" spans="1:10" x14ac:dyDescent="0.25">
      <c r="B8" s="58" t="s">
        <v>1132</v>
      </c>
      <c r="C8" s="59" t="s">
        <v>1133</v>
      </c>
      <c r="D8" s="59" t="s">
        <v>1134</v>
      </c>
      <c r="E8" s="59">
        <v>2000</v>
      </c>
      <c r="F8" s="59" t="s">
        <v>681</v>
      </c>
      <c r="G8" s="59">
        <v>148</v>
      </c>
      <c r="H8" s="59">
        <f t="shared" ref="H8:H20" si="0">VLOOKUP(F8,Deflator,MATCH($B$3,EXCH.year,0)+1,FALSE)/VLOOKUP(F8,Deflator,MATCH(E8,EXCH.year,0)+1,FALSE)*VLOOKUP(F8,EXCH,MATCH($B$3,EXCH.year,0)+1,FALSE)</f>
        <v>5.914974034351558</v>
      </c>
      <c r="I8" s="59" t="s">
        <v>1135</v>
      </c>
      <c r="J8" s="432">
        <f t="shared" ref="J8:J20" si="1">G8*H8</f>
        <v>875.4161570840306</v>
      </c>
    </row>
    <row r="9" spans="1:10" x14ac:dyDescent="0.25">
      <c r="A9" s="58"/>
      <c r="B9" s="58" t="s">
        <v>1132</v>
      </c>
      <c r="C9" s="59" t="s">
        <v>1133</v>
      </c>
      <c r="D9" s="59" t="s">
        <v>1134</v>
      </c>
      <c r="E9" s="59">
        <v>2000</v>
      </c>
      <c r="F9" s="59" t="s">
        <v>681</v>
      </c>
      <c r="G9" s="59">
        <v>275</v>
      </c>
      <c r="H9" s="59">
        <f t="shared" si="0"/>
        <v>5.914974034351558</v>
      </c>
      <c r="I9" s="59" t="s">
        <v>1135</v>
      </c>
      <c r="J9" s="432">
        <f t="shared" si="1"/>
        <v>1626.6178594466785</v>
      </c>
    </row>
    <row r="10" spans="1:10" x14ac:dyDescent="0.25">
      <c r="A10" s="58"/>
      <c r="B10" s="58" t="s">
        <v>371</v>
      </c>
      <c r="C10" s="59" t="s">
        <v>1133</v>
      </c>
      <c r="D10" s="59" t="s">
        <v>1136</v>
      </c>
      <c r="E10" s="59">
        <v>2000</v>
      </c>
      <c r="F10" s="59" t="s">
        <v>681</v>
      </c>
      <c r="G10" s="59">
        <v>100</v>
      </c>
      <c r="H10" s="59">
        <f t="shared" si="0"/>
        <v>5.914974034351558</v>
      </c>
      <c r="I10" s="59" t="s">
        <v>1135</v>
      </c>
      <c r="J10" s="432">
        <f t="shared" si="1"/>
        <v>591.49740343515577</v>
      </c>
    </row>
    <row r="11" spans="1:10" x14ac:dyDescent="0.25">
      <c r="A11" s="58"/>
      <c r="B11" s="58" t="s">
        <v>1137</v>
      </c>
      <c r="C11" s="59" t="s">
        <v>1133</v>
      </c>
      <c r="D11" s="59" t="s">
        <v>1134</v>
      </c>
      <c r="E11" s="59">
        <v>2000</v>
      </c>
      <c r="F11" s="59" t="s">
        <v>681</v>
      </c>
      <c r="G11" s="59">
        <v>143</v>
      </c>
      <c r="H11" s="59">
        <f t="shared" si="0"/>
        <v>5.914974034351558</v>
      </c>
      <c r="I11" s="59" t="s">
        <v>1135</v>
      </c>
      <c r="J11" s="432">
        <f t="shared" si="1"/>
        <v>845.84128691227284</v>
      </c>
    </row>
    <row r="12" spans="1:10" x14ac:dyDescent="0.25">
      <c r="A12" s="58"/>
      <c r="B12" s="58" t="s">
        <v>1138</v>
      </c>
      <c r="C12" s="59" t="s">
        <v>1133</v>
      </c>
      <c r="D12" s="59" t="s">
        <v>1134</v>
      </c>
      <c r="E12" s="59">
        <v>2000</v>
      </c>
      <c r="F12" s="59" t="s">
        <v>681</v>
      </c>
      <c r="G12" s="59">
        <v>145</v>
      </c>
      <c r="H12" s="59">
        <f t="shared" si="0"/>
        <v>5.914974034351558</v>
      </c>
      <c r="I12" s="59" t="s">
        <v>1135</v>
      </c>
      <c r="J12" s="432">
        <f t="shared" si="1"/>
        <v>857.6712349809759</v>
      </c>
    </row>
    <row r="13" spans="1:10" x14ac:dyDescent="0.25">
      <c r="A13" s="58"/>
      <c r="B13" s="58" t="s">
        <v>1139</v>
      </c>
      <c r="C13" s="59" t="s">
        <v>1133</v>
      </c>
      <c r="D13" s="59" t="s">
        <v>1134</v>
      </c>
      <c r="E13" s="59">
        <v>2000</v>
      </c>
      <c r="F13" s="59" t="s">
        <v>681</v>
      </c>
      <c r="G13" s="59">
        <v>122</v>
      </c>
      <c r="H13" s="59">
        <f t="shared" si="0"/>
        <v>5.914974034351558</v>
      </c>
      <c r="I13" s="59" t="s">
        <v>1135</v>
      </c>
      <c r="J13" s="432">
        <f t="shared" si="1"/>
        <v>721.62683219089013</v>
      </c>
    </row>
    <row r="14" spans="1:10" x14ac:dyDescent="0.25">
      <c r="A14" s="58"/>
      <c r="B14" s="58" t="s">
        <v>1140</v>
      </c>
      <c r="C14" s="59" t="s">
        <v>1133</v>
      </c>
      <c r="D14" s="59" t="s">
        <v>1134</v>
      </c>
      <c r="E14" s="59">
        <v>2000</v>
      </c>
      <c r="F14" s="59" t="s">
        <v>681</v>
      </c>
      <c r="G14" s="59">
        <v>98</v>
      </c>
      <c r="H14" s="59">
        <f t="shared" si="0"/>
        <v>5.914974034351558</v>
      </c>
      <c r="I14" s="59" t="s">
        <v>1135</v>
      </c>
      <c r="J14" s="432">
        <f t="shared" si="1"/>
        <v>579.66745536645271</v>
      </c>
    </row>
    <row r="15" spans="1:10" x14ac:dyDescent="0.25">
      <c r="A15" s="58"/>
      <c r="B15" s="58" t="s">
        <v>1141</v>
      </c>
      <c r="C15" s="59" t="s">
        <v>1133</v>
      </c>
      <c r="D15" s="59" t="s">
        <v>1134</v>
      </c>
      <c r="E15" s="59">
        <v>2000</v>
      </c>
      <c r="F15" s="59" t="s">
        <v>681</v>
      </c>
      <c r="G15" s="59">
        <v>320</v>
      </c>
      <c r="H15" s="59">
        <f t="shared" si="0"/>
        <v>5.914974034351558</v>
      </c>
      <c r="I15" s="59" t="s">
        <v>1135</v>
      </c>
      <c r="J15" s="432">
        <f t="shared" si="1"/>
        <v>1892.7916909924986</v>
      </c>
    </row>
    <row r="16" spans="1:10" x14ac:dyDescent="0.25">
      <c r="A16" s="58"/>
      <c r="B16" s="58" t="s">
        <v>1</v>
      </c>
      <c r="C16" s="59" t="s">
        <v>1133</v>
      </c>
      <c r="D16" s="59" t="s">
        <v>1136</v>
      </c>
      <c r="E16" s="59">
        <v>2000</v>
      </c>
      <c r="F16" s="59" t="s">
        <v>681</v>
      </c>
      <c r="G16" s="59">
        <v>80</v>
      </c>
      <c r="H16" s="59">
        <f t="shared" si="0"/>
        <v>5.914974034351558</v>
      </c>
      <c r="I16" s="59" t="s">
        <v>1135</v>
      </c>
      <c r="J16" s="432">
        <f t="shared" si="1"/>
        <v>473.19792274812465</v>
      </c>
    </row>
    <row r="17" spans="1:10" x14ac:dyDescent="0.25">
      <c r="A17" s="58"/>
      <c r="B17" s="58" t="s">
        <v>1142</v>
      </c>
      <c r="C17" s="59" t="s">
        <v>1133</v>
      </c>
      <c r="D17" s="59" t="s">
        <v>1134</v>
      </c>
      <c r="E17" s="59">
        <v>2010</v>
      </c>
      <c r="F17" s="59" t="s">
        <v>865</v>
      </c>
      <c r="G17" s="59">
        <v>273</v>
      </c>
      <c r="H17" s="59">
        <f t="shared" si="0"/>
        <v>9.7120768109592781</v>
      </c>
      <c r="I17" s="59" t="s">
        <v>1135</v>
      </c>
      <c r="J17" s="432">
        <f t="shared" si="1"/>
        <v>2651.396969391883</v>
      </c>
    </row>
    <row r="18" spans="1:10" x14ac:dyDescent="0.25">
      <c r="A18" s="58"/>
      <c r="B18" s="58" t="s">
        <v>1143</v>
      </c>
      <c r="C18" s="59" t="s">
        <v>1133</v>
      </c>
      <c r="D18" s="59" t="s">
        <v>1134</v>
      </c>
      <c r="E18" s="59">
        <v>2010</v>
      </c>
      <c r="F18" s="59" t="s">
        <v>865</v>
      </c>
      <c r="G18" s="59">
        <v>500</v>
      </c>
      <c r="H18" s="59">
        <f t="shared" si="0"/>
        <v>9.7120768109592781</v>
      </c>
      <c r="I18" s="59" t="s">
        <v>1135</v>
      </c>
      <c r="J18" s="432">
        <f t="shared" si="1"/>
        <v>4856.0384054796386</v>
      </c>
    </row>
    <row r="19" spans="1:10" x14ac:dyDescent="0.25">
      <c r="A19" s="58"/>
      <c r="B19" s="58" t="s">
        <v>193</v>
      </c>
      <c r="C19" s="59" t="s">
        <v>1133</v>
      </c>
      <c r="D19" s="59" t="s">
        <v>1134</v>
      </c>
      <c r="E19" s="59">
        <v>2010</v>
      </c>
      <c r="F19" s="59" t="s">
        <v>865</v>
      </c>
      <c r="G19" s="59">
        <v>200</v>
      </c>
      <c r="H19" s="59">
        <f t="shared" si="0"/>
        <v>9.7120768109592781</v>
      </c>
      <c r="I19" s="59" t="s">
        <v>1135</v>
      </c>
      <c r="J19" s="432">
        <f t="shared" si="1"/>
        <v>1942.4153621918556</v>
      </c>
    </row>
    <row r="20" spans="1:10" x14ac:dyDescent="0.25">
      <c r="A20" s="58"/>
      <c r="B20" s="58" t="s">
        <v>1144</v>
      </c>
      <c r="C20" s="59" t="s">
        <v>1133</v>
      </c>
      <c r="D20" s="59" t="s">
        <v>1134</v>
      </c>
      <c r="E20" s="59">
        <v>2010</v>
      </c>
      <c r="F20" s="59" t="s">
        <v>865</v>
      </c>
      <c r="G20" s="59">
        <v>400</v>
      </c>
      <c r="H20" s="59">
        <f t="shared" si="0"/>
        <v>9.7120768109592781</v>
      </c>
      <c r="I20" s="59" t="s">
        <v>1135</v>
      </c>
      <c r="J20" s="432">
        <f t="shared" si="1"/>
        <v>3884.8307243837112</v>
      </c>
    </row>
    <row r="22" spans="1:10" x14ac:dyDescent="0.25">
      <c r="A22" s="32" t="s">
        <v>1145</v>
      </c>
      <c r="H22" s="534"/>
    </row>
    <row r="23" spans="1:10" x14ac:dyDescent="0.25">
      <c r="A23" s="58" t="s">
        <v>7</v>
      </c>
      <c r="B23" s="59" t="s">
        <v>1146</v>
      </c>
      <c r="C23" s="59" t="s">
        <v>1147</v>
      </c>
      <c r="D23" s="59"/>
      <c r="E23" s="59"/>
      <c r="F23" s="59"/>
      <c r="G23" s="59"/>
      <c r="H23" s="59"/>
      <c r="I23" s="59"/>
      <c r="J23" s="432">
        <f>$J$17+$J$10</f>
        <v>3242.8943728270388</v>
      </c>
    </row>
    <row r="24" spans="1:10" x14ac:dyDescent="0.25">
      <c r="A24" s="58" t="s">
        <v>7</v>
      </c>
      <c r="B24" s="59" t="s">
        <v>771</v>
      </c>
      <c r="C24" s="59" t="s">
        <v>1148</v>
      </c>
      <c r="D24" s="59" t="s">
        <v>1149</v>
      </c>
      <c r="E24" s="59"/>
      <c r="F24" s="59"/>
      <c r="G24" s="59"/>
      <c r="H24" s="59"/>
      <c r="I24" s="59">
        <v>100</v>
      </c>
      <c r="J24" s="432">
        <f>I24*($J$9+$J$10)/100</f>
        <v>2218.1152628818345</v>
      </c>
    </row>
    <row r="25" spans="1:10" x14ac:dyDescent="0.25">
      <c r="A25" s="58" t="s">
        <v>9</v>
      </c>
      <c r="B25" s="59" t="s">
        <v>1150</v>
      </c>
      <c r="C25" s="59" t="s">
        <v>1151</v>
      </c>
      <c r="D25" s="59"/>
      <c r="E25" s="59">
        <v>2000</v>
      </c>
      <c r="F25" s="59" t="s">
        <v>681</v>
      </c>
      <c r="G25" s="59">
        <v>362.6</v>
      </c>
      <c r="H25" s="59">
        <f>VLOOKUP(F25,Deflator,MATCH($B$3,EXCH.year,0)+1,FALSE)/VLOOKUP(F25,Deflator,MATCH(E25,EXCH.year,0)+1,FALSE)*VLOOKUP(F25,EXCH,MATCH($B$3,EXCH.year,0)+1,FALSE)</f>
        <v>5.914974034351558</v>
      </c>
      <c r="I25" s="59" t="s">
        <v>1135</v>
      </c>
      <c r="J25" s="432">
        <f>G25*H25</f>
        <v>2144.7695848558751</v>
      </c>
    </row>
    <row r="26" spans="1:10" x14ac:dyDescent="0.25">
      <c r="A26" s="58" t="s">
        <v>9</v>
      </c>
      <c r="B26" s="59" t="s">
        <v>1152</v>
      </c>
      <c r="C26" s="59" t="s">
        <v>1151</v>
      </c>
      <c r="D26" s="59"/>
      <c r="E26" s="59">
        <v>2000</v>
      </c>
      <c r="F26" s="59" t="s">
        <v>681</v>
      </c>
      <c r="G26" s="59">
        <v>373.5</v>
      </c>
      <c r="H26" s="59">
        <f>VLOOKUP(F26,Deflator,MATCH($B$3,EXCH.year,0)+1,FALSE)/VLOOKUP(F26,Deflator,MATCH(E26,EXCH.year,0)+1,FALSE)*VLOOKUP(F26,EXCH,MATCH($B$3,EXCH.year,0)+1,FALSE)</f>
        <v>5.914974034351558</v>
      </c>
      <c r="I26" s="59" t="s">
        <v>1135</v>
      </c>
      <c r="J26" s="432">
        <f>G26*H26</f>
        <v>2209.2428018303067</v>
      </c>
    </row>
    <row r="27" spans="1:10" x14ac:dyDescent="0.25">
      <c r="A27" s="58" t="s">
        <v>9</v>
      </c>
      <c r="B27" s="59" t="s">
        <v>1153</v>
      </c>
      <c r="C27" s="59" t="s">
        <v>1147</v>
      </c>
      <c r="D27" s="59"/>
      <c r="E27" s="59"/>
      <c r="F27" s="59"/>
      <c r="G27" s="59"/>
      <c r="H27" s="59"/>
      <c r="I27" s="59"/>
      <c r="J27" s="432">
        <f>$J$15+$J$16</f>
        <v>2365.9896137406231</v>
      </c>
    </row>
    <row r="28" spans="1:10" x14ac:dyDescent="0.25">
      <c r="A28" s="58" t="s">
        <v>9</v>
      </c>
      <c r="B28" s="59" t="s">
        <v>1154</v>
      </c>
      <c r="C28" s="59" t="s">
        <v>1151</v>
      </c>
      <c r="D28" s="59"/>
      <c r="E28" s="59">
        <v>2000</v>
      </c>
      <c r="F28" s="59" t="s">
        <v>681</v>
      </c>
      <c r="G28" s="59">
        <v>259.63</v>
      </c>
      <c r="H28" s="59">
        <f t="shared" ref="H28:H33" si="2">VLOOKUP(F28,Deflator,MATCH($B$3,EXCH.year,0)+1,FALSE)/VLOOKUP(F28,Deflator,MATCH(E28,EXCH.year,0)+1,FALSE)*VLOOKUP(F28,EXCH,MATCH($B$3,EXCH.year,0)+1,FALSE)</f>
        <v>5.914974034351558</v>
      </c>
      <c r="I28" s="59" t="s">
        <v>1135</v>
      </c>
      <c r="J28" s="432">
        <f t="shared" ref="J28:J33" si="3">G28*H28</f>
        <v>1535.7047085386951</v>
      </c>
    </row>
    <row r="29" spans="1:10" x14ac:dyDescent="0.25">
      <c r="A29" s="58" t="s">
        <v>9</v>
      </c>
      <c r="B29" s="59" t="s">
        <v>1155</v>
      </c>
      <c r="C29" s="59" t="s">
        <v>1151</v>
      </c>
      <c r="D29" s="59"/>
      <c r="E29" s="59">
        <v>2000</v>
      </c>
      <c r="F29" s="59" t="s">
        <v>681</v>
      </c>
      <c r="G29" s="59">
        <v>334.67</v>
      </c>
      <c r="H29" s="59">
        <f t="shared" si="2"/>
        <v>5.914974034351558</v>
      </c>
      <c r="I29" s="59" t="s">
        <v>1135</v>
      </c>
      <c r="J29" s="432">
        <f t="shared" si="3"/>
        <v>1979.5643600764361</v>
      </c>
    </row>
    <row r="30" spans="1:10" x14ac:dyDescent="0.25">
      <c r="A30" s="58" t="s">
        <v>8</v>
      </c>
      <c r="B30" s="59" t="s">
        <v>1156</v>
      </c>
      <c r="C30" s="59" t="s">
        <v>1151</v>
      </c>
      <c r="D30" s="59"/>
      <c r="E30" s="59">
        <v>2000</v>
      </c>
      <c r="F30" s="59" t="s">
        <v>681</v>
      </c>
      <c r="G30" s="59">
        <v>296.10000000000002</v>
      </c>
      <c r="H30" s="59">
        <f t="shared" si="2"/>
        <v>5.914974034351558</v>
      </c>
      <c r="I30" s="59" t="s">
        <v>1135</v>
      </c>
      <c r="J30" s="432">
        <f t="shared" si="3"/>
        <v>1751.4238115714963</v>
      </c>
    </row>
    <row r="31" spans="1:10" x14ac:dyDescent="0.25">
      <c r="A31" s="58" t="s">
        <v>8</v>
      </c>
      <c r="B31" s="59" t="s">
        <v>1157</v>
      </c>
      <c r="C31" s="59" t="s">
        <v>1151</v>
      </c>
      <c r="D31" s="59"/>
      <c r="E31" s="59">
        <v>2000</v>
      </c>
      <c r="F31" s="59" t="s">
        <v>681</v>
      </c>
      <c r="G31" s="59">
        <v>232.37</v>
      </c>
      <c r="H31" s="59">
        <f t="shared" si="2"/>
        <v>5.914974034351558</v>
      </c>
      <c r="I31" s="59" t="s">
        <v>1135</v>
      </c>
      <c r="J31" s="432">
        <f t="shared" si="3"/>
        <v>1374.4625163622716</v>
      </c>
    </row>
    <row r="32" spans="1:10" x14ac:dyDescent="0.25">
      <c r="A32" s="58" t="s">
        <v>8</v>
      </c>
      <c r="B32" s="59" t="s">
        <v>1158</v>
      </c>
      <c r="C32" s="59" t="s">
        <v>1151</v>
      </c>
      <c r="D32" s="59"/>
      <c r="E32" s="59">
        <v>2000</v>
      </c>
      <c r="F32" s="59" t="s">
        <v>681</v>
      </c>
      <c r="G32" s="59">
        <v>239.63</v>
      </c>
      <c r="H32" s="59">
        <f t="shared" si="2"/>
        <v>5.914974034351558</v>
      </c>
      <c r="I32" s="59" t="s">
        <v>1135</v>
      </c>
      <c r="J32" s="432">
        <f t="shared" si="3"/>
        <v>1417.4052278516638</v>
      </c>
    </row>
    <row r="33" spans="1:10" x14ac:dyDescent="0.25">
      <c r="A33" s="58" t="s">
        <v>8</v>
      </c>
      <c r="B33" s="59" t="s">
        <v>1159</v>
      </c>
      <c r="C33" s="59" t="s">
        <v>1151</v>
      </c>
      <c r="D33" s="59"/>
      <c r="E33" s="59">
        <v>2000</v>
      </c>
      <c r="F33" s="59" t="s">
        <v>681</v>
      </c>
      <c r="G33" s="59">
        <v>263.47000000000003</v>
      </c>
      <c r="H33" s="59">
        <f t="shared" si="2"/>
        <v>5.914974034351558</v>
      </c>
      <c r="I33" s="59" t="s">
        <v>1135</v>
      </c>
      <c r="J33" s="432">
        <f t="shared" si="3"/>
        <v>1558.4182088306052</v>
      </c>
    </row>
    <row r="34" spans="1:10" x14ac:dyDescent="0.25">
      <c r="A34" s="58" t="s">
        <v>7</v>
      </c>
      <c r="B34" s="59" t="s">
        <v>1160</v>
      </c>
      <c r="C34" s="59" t="s">
        <v>1147</v>
      </c>
      <c r="D34" s="59"/>
      <c r="E34" s="59"/>
      <c r="F34" s="59"/>
      <c r="G34" s="59"/>
      <c r="H34" s="59"/>
      <c r="I34" s="59"/>
      <c r="J34" s="432">
        <f>$J$8+$J$10</f>
        <v>1466.9135605191864</v>
      </c>
    </row>
    <row r="35" spans="1:10" x14ac:dyDescent="0.25">
      <c r="A35" s="58" t="s">
        <v>7</v>
      </c>
      <c r="B35" s="59" t="s">
        <v>1161</v>
      </c>
      <c r="C35" s="59" t="s">
        <v>1147</v>
      </c>
      <c r="D35" s="59"/>
      <c r="E35" s="59"/>
      <c r="F35" s="59"/>
      <c r="G35" s="59"/>
      <c r="H35" s="59"/>
      <c r="I35" s="59"/>
      <c r="J35" s="432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1148</v>
      </c>
      <c r="D36" s="59" t="s">
        <v>1149</v>
      </c>
      <c r="E36" s="59"/>
      <c r="F36" s="59"/>
      <c r="G36" s="59"/>
      <c r="H36" s="59"/>
      <c r="I36" s="59">
        <v>82</v>
      </c>
      <c r="J36" s="432">
        <f>I36*($J$9+$J$10)/100</f>
        <v>1818.8545155631043</v>
      </c>
    </row>
    <row r="37" spans="1:10" x14ac:dyDescent="0.25">
      <c r="A37" s="58" t="s">
        <v>1162</v>
      </c>
      <c r="B37" s="59" t="s">
        <v>1163</v>
      </c>
      <c r="C37" s="59" t="s">
        <v>1147</v>
      </c>
      <c r="D37" s="59"/>
      <c r="E37" s="59"/>
      <c r="F37" s="59"/>
      <c r="G37" s="59"/>
      <c r="H37" s="59"/>
      <c r="I37" s="59"/>
      <c r="J37" s="432">
        <f>$J$20+$J$10</f>
        <v>4476.328127818867</v>
      </c>
    </row>
    <row r="38" spans="1:10" x14ac:dyDescent="0.25">
      <c r="A38" s="58" t="s">
        <v>1162</v>
      </c>
      <c r="B38" s="59" t="s">
        <v>1164</v>
      </c>
      <c r="C38" s="59" t="s">
        <v>1147</v>
      </c>
      <c r="D38" s="59"/>
      <c r="E38" s="59"/>
      <c r="F38" s="59"/>
      <c r="G38" s="59"/>
      <c r="H38" s="59"/>
      <c r="I38" s="59"/>
      <c r="J38" s="432">
        <f>$J$18+$J$10</f>
        <v>5447.535808914794</v>
      </c>
    </row>
    <row r="39" spans="1:10" x14ac:dyDescent="0.25">
      <c r="A39" s="58" t="s">
        <v>9</v>
      </c>
      <c r="B39" s="59" t="s">
        <v>1165</v>
      </c>
      <c r="C39" s="59" t="s">
        <v>1147</v>
      </c>
      <c r="D39" s="59"/>
      <c r="E39" s="59"/>
      <c r="F39" s="59"/>
      <c r="G39" s="59"/>
      <c r="H39" s="59"/>
      <c r="I39" s="59"/>
      <c r="J39" s="432">
        <f>$J$11+$J$16</f>
        <v>1319.0392096603975</v>
      </c>
    </row>
    <row r="40" spans="1:10" x14ac:dyDescent="0.25">
      <c r="A40" s="58" t="s">
        <v>9</v>
      </c>
      <c r="B40" s="59" t="s">
        <v>1166</v>
      </c>
      <c r="C40" s="59" t="s">
        <v>1147</v>
      </c>
      <c r="D40" s="59"/>
      <c r="E40" s="59"/>
      <c r="F40" s="59"/>
      <c r="G40" s="59"/>
      <c r="H40" s="59"/>
      <c r="I40" s="59"/>
      <c r="J40" s="432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1148</v>
      </c>
      <c r="D41" s="59" t="s">
        <v>1149</v>
      </c>
      <c r="E41" s="59"/>
      <c r="F41" s="59"/>
      <c r="G41" s="59"/>
      <c r="H41" s="59"/>
      <c r="I41" s="59">
        <v>71</v>
      </c>
      <c r="J41" s="432">
        <f>I41*($J$9+$J$10)/100</f>
        <v>1574.8618366461026</v>
      </c>
    </row>
    <row r="42" spans="1:10" x14ac:dyDescent="0.25">
      <c r="A42" s="58" t="s">
        <v>9</v>
      </c>
      <c r="B42" s="59" t="s">
        <v>1167</v>
      </c>
      <c r="C42" s="59" t="s">
        <v>1151</v>
      </c>
      <c r="D42" s="59"/>
      <c r="E42" s="59">
        <v>2000</v>
      </c>
      <c r="F42" s="59" t="s">
        <v>681</v>
      </c>
      <c r="G42" s="59">
        <v>365.36</v>
      </c>
      <c r="H42" s="59">
        <f t="shared" ref="H42:H48" si="4">VLOOKUP(F42,Deflator,MATCH($B$3,EXCH.year,0)+1,FALSE)/VLOOKUP(F42,Deflator,MATCH(E42,EXCH.year,0)+1,FALSE)*VLOOKUP(F42,EXCH,MATCH($B$3,EXCH.year,0)+1,FALSE)</f>
        <v>5.914974034351558</v>
      </c>
      <c r="I42" s="59" t="s">
        <v>1135</v>
      </c>
      <c r="J42" s="432">
        <f t="shared" ref="J42:J48" si="5">G42*H42</f>
        <v>2161.0949131906855</v>
      </c>
    </row>
    <row r="43" spans="1:10" x14ac:dyDescent="0.25">
      <c r="A43" s="58" t="s">
        <v>9</v>
      </c>
      <c r="B43" s="59" t="s">
        <v>1168</v>
      </c>
      <c r="C43" s="59" t="s">
        <v>1151</v>
      </c>
      <c r="D43" s="59"/>
      <c r="E43" s="59">
        <v>2000</v>
      </c>
      <c r="F43" s="59" t="s">
        <v>681</v>
      </c>
      <c r="G43" s="59">
        <v>365.45</v>
      </c>
      <c r="H43" s="59">
        <f t="shared" si="4"/>
        <v>5.914974034351558</v>
      </c>
      <c r="I43" s="59" t="s">
        <v>1135</v>
      </c>
      <c r="J43" s="432">
        <f t="shared" si="5"/>
        <v>2161.627260853777</v>
      </c>
    </row>
    <row r="44" spans="1:10" x14ac:dyDescent="0.25">
      <c r="A44" s="58"/>
      <c r="B44" s="59" t="s">
        <v>1169</v>
      </c>
      <c r="C44" s="59" t="s">
        <v>1151</v>
      </c>
      <c r="D44" s="59"/>
      <c r="E44" s="59">
        <v>2000</v>
      </c>
      <c r="F44" s="59" t="s">
        <v>681</v>
      </c>
      <c r="G44" s="59">
        <v>231.85</v>
      </c>
      <c r="H44" s="59">
        <f t="shared" si="4"/>
        <v>5.914974034351558</v>
      </c>
      <c r="I44" s="59" t="s">
        <v>1135</v>
      </c>
      <c r="J44" s="432">
        <f t="shared" si="5"/>
        <v>1371.3867298644086</v>
      </c>
    </row>
    <row r="45" spans="1:10" x14ac:dyDescent="0.25">
      <c r="A45" s="58"/>
      <c r="B45" s="59" t="s">
        <v>1170</v>
      </c>
      <c r="C45" s="59" t="s">
        <v>1151</v>
      </c>
      <c r="D45" s="59"/>
      <c r="E45" s="59">
        <v>2000</v>
      </c>
      <c r="F45" s="59" t="s">
        <v>681</v>
      </c>
      <c r="G45" s="59">
        <v>232.7</v>
      </c>
      <c r="H45" s="59">
        <f t="shared" si="4"/>
        <v>5.914974034351558</v>
      </c>
      <c r="I45" s="59" t="s">
        <v>1135</v>
      </c>
      <c r="J45" s="432">
        <f t="shared" si="5"/>
        <v>1376.4144577936074</v>
      </c>
    </row>
    <row r="46" spans="1:10" x14ac:dyDescent="0.25">
      <c r="A46" s="58"/>
      <c r="B46" s="59" t="s">
        <v>1171</v>
      </c>
      <c r="C46" s="59" t="s">
        <v>1151</v>
      </c>
      <c r="D46" s="59"/>
      <c r="E46" s="59">
        <v>2000</v>
      </c>
      <c r="F46" s="59" t="s">
        <v>681</v>
      </c>
      <c r="G46" s="59">
        <v>292.32</v>
      </c>
      <c r="H46" s="59">
        <f t="shared" si="4"/>
        <v>5.914974034351558</v>
      </c>
      <c r="I46" s="59" t="s">
        <v>1135</v>
      </c>
      <c r="J46" s="432">
        <f t="shared" si="5"/>
        <v>1729.0652097216473</v>
      </c>
    </row>
    <row r="47" spans="1:10" x14ac:dyDescent="0.25">
      <c r="A47" s="58"/>
      <c r="B47" s="59" t="s">
        <v>1172</v>
      </c>
      <c r="C47" s="59" t="s">
        <v>1151</v>
      </c>
      <c r="D47" s="59"/>
      <c r="E47" s="59">
        <v>2000</v>
      </c>
      <c r="F47" s="59" t="s">
        <v>681</v>
      </c>
      <c r="G47" s="59">
        <v>347.59</v>
      </c>
      <c r="H47" s="59">
        <f t="shared" si="4"/>
        <v>5.914974034351558</v>
      </c>
      <c r="I47" s="59" t="s">
        <v>1135</v>
      </c>
      <c r="J47" s="432">
        <f t="shared" si="5"/>
        <v>2055.9858246002577</v>
      </c>
    </row>
    <row r="48" spans="1:10" x14ac:dyDescent="0.25">
      <c r="A48" s="58"/>
      <c r="B48" s="59" t="s">
        <v>1173</v>
      </c>
      <c r="C48" s="59" t="s">
        <v>1151</v>
      </c>
      <c r="D48" s="59"/>
      <c r="E48" s="59">
        <v>2000</v>
      </c>
      <c r="F48" s="59" t="s">
        <v>681</v>
      </c>
      <c r="G48" s="59">
        <v>257.24</v>
      </c>
      <c r="H48" s="59">
        <f t="shared" si="4"/>
        <v>5.914974034351558</v>
      </c>
      <c r="I48" s="59" t="s">
        <v>1135</v>
      </c>
      <c r="J48" s="432">
        <f t="shared" si="5"/>
        <v>1521.5679205965948</v>
      </c>
    </row>
    <row r="49" spans="1:10" x14ac:dyDescent="0.25">
      <c r="A49" s="58" t="s">
        <v>1174</v>
      </c>
      <c r="B49" s="59" t="s">
        <v>1175</v>
      </c>
      <c r="C49" s="59" t="s">
        <v>1148</v>
      </c>
      <c r="D49" s="59" t="s">
        <v>1134</v>
      </c>
      <c r="E49" s="59"/>
      <c r="F49" s="59"/>
      <c r="G49" s="59"/>
      <c r="H49" s="59"/>
      <c r="I49" s="59">
        <v>325</v>
      </c>
      <c r="J49" s="432">
        <f>I49*($J$9+$J$10)/100</f>
        <v>7208.8746043659621</v>
      </c>
    </row>
    <row r="50" spans="1:10" x14ac:dyDescent="0.25">
      <c r="A50" s="58" t="s">
        <v>8</v>
      </c>
      <c r="B50" s="59" t="s">
        <v>770</v>
      </c>
      <c r="C50" s="59" t="s">
        <v>1148</v>
      </c>
      <c r="D50" s="59" t="s">
        <v>1136</v>
      </c>
      <c r="E50" s="59"/>
      <c r="F50" s="59"/>
      <c r="G50" s="59"/>
      <c r="H50" s="59"/>
      <c r="I50" s="59">
        <v>45</v>
      </c>
      <c r="J50" s="432">
        <f>I50*($J$9+$J$10)/100</f>
        <v>998.15186829682557</v>
      </c>
    </row>
    <row r="51" spans="1:10" x14ac:dyDescent="0.25">
      <c r="A51" s="58" t="s">
        <v>8</v>
      </c>
      <c r="B51" s="59" t="s">
        <v>1176</v>
      </c>
      <c r="C51" s="59" t="s">
        <v>1148</v>
      </c>
      <c r="D51" s="59" t="s">
        <v>1136</v>
      </c>
      <c r="E51" s="59"/>
      <c r="F51" s="59"/>
      <c r="G51" s="59"/>
      <c r="H51" s="59"/>
      <c r="I51" s="59">
        <v>41</v>
      </c>
      <c r="J51" s="432">
        <f>I51*($J$9+$J$10)/100</f>
        <v>909.42725778155216</v>
      </c>
    </row>
    <row r="52" spans="1:10" x14ac:dyDescent="0.25">
      <c r="A52" s="58" t="s">
        <v>8</v>
      </c>
      <c r="B52" s="59" t="s">
        <v>1177</v>
      </c>
      <c r="C52" s="59" t="s">
        <v>1151</v>
      </c>
      <c r="D52" s="59"/>
      <c r="E52" s="59">
        <v>2000</v>
      </c>
      <c r="F52" s="59" t="s">
        <v>681</v>
      </c>
      <c r="G52" s="59">
        <v>173.68</v>
      </c>
      <c r="H52" s="59">
        <f>VLOOKUP(F52,Deflator,MATCH($B$3,EXCH.year,0)+1,FALSE)/VLOOKUP(F52,Deflator,MATCH(E52,EXCH.year,0)+1,FALSE)*VLOOKUP(F52,EXCH,MATCH($B$3,EXCH.year,0)+1,FALSE)</f>
        <v>5.914974034351558</v>
      </c>
      <c r="I52" s="59" t="s">
        <v>1135</v>
      </c>
      <c r="J52" s="432">
        <f>G52*H52</f>
        <v>1027.3126902861786</v>
      </c>
    </row>
    <row r="53" spans="1:10" x14ac:dyDescent="0.25">
      <c r="A53" s="58"/>
      <c r="B53" s="59" t="s">
        <v>1178</v>
      </c>
      <c r="C53" s="59" t="s">
        <v>1151</v>
      </c>
      <c r="D53" s="59"/>
      <c r="E53" s="59">
        <v>2000</v>
      </c>
      <c r="F53" s="59" t="s">
        <v>681</v>
      </c>
      <c r="G53" s="59">
        <v>248.06</v>
      </c>
      <c r="H53" s="59">
        <f>VLOOKUP(F53,Deflator,MATCH($B$3,EXCH.year,0)+1,FALSE)/VLOOKUP(F53,Deflator,MATCH(E53,EXCH.year,0)+1,FALSE)*VLOOKUP(F53,EXCH,MATCH($B$3,EXCH.year,0)+1,FALSE)</f>
        <v>5.914974034351558</v>
      </c>
      <c r="I53" s="59" t="s">
        <v>1135</v>
      </c>
      <c r="J53" s="432">
        <f>G53*H53</f>
        <v>1467.2684589612475</v>
      </c>
    </row>
    <row r="54" spans="1:10" x14ac:dyDescent="0.25">
      <c r="A54" s="58"/>
      <c r="B54" s="59" t="s">
        <v>1179</v>
      </c>
      <c r="C54" s="59" t="s">
        <v>1147</v>
      </c>
      <c r="D54" s="59"/>
      <c r="E54" s="59"/>
      <c r="F54" s="59"/>
      <c r="G54" s="59"/>
      <c r="H54" s="59"/>
      <c r="I54" s="59"/>
      <c r="J54" s="432">
        <f>$J$14+$J$16</f>
        <v>1052.8653781145774</v>
      </c>
    </row>
    <row r="55" spans="1:10" x14ac:dyDescent="0.25">
      <c r="A55" s="58"/>
      <c r="B55" s="59" t="s">
        <v>1180</v>
      </c>
      <c r="C55" s="59" t="s">
        <v>1147</v>
      </c>
      <c r="D55" s="59"/>
      <c r="E55" s="59"/>
      <c r="F55" s="59"/>
      <c r="G55" s="59"/>
      <c r="H55" s="59"/>
      <c r="I55" s="59"/>
      <c r="J55" s="432">
        <f>$J$13+$J$16</f>
        <v>1194.8247549390148</v>
      </c>
    </row>
    <row r="56" spans="1:10" x14ac:dyDescent="0.25">
      <c r="A56" s="58" t="s">
        <v>7</v>
      </c>
      <c r="B56" s="59" t="s">
        <v>1181</v>
      </c>
      <c r="C56" s="59" t="s">
        <v>1147</v>
      </c>
      <c r="D56" s="59"/>
      <c r="E56" s="59"/>
      <c r="F56" s="59"/>
      <c r="G56" s="59"/>
      <c r="H56" s="59"/>
      <c r="I56" s="59"/>
      <c r="J56" s="432">
        <f>$J$19+$J$10</f>
        <v>2533.9127656270111</v>
      </c>
    </row>
    <row r="57" spans="1:10" x14ac:dyDescent="0.25">
      <c r="A57" s="58" t="s">
        <v>7</v>
      </c>
      <c r="B57" s="59" t="s">
        <v>1182</v>
      </c>
      <c r="C57" s="59" t="s">
        <v>1148</v>
      </c>
      <c r="D57" s="59" t="s">
        <v>1149</v>
      </c>
      <c r="E57" s="59"/>
      <c r="F57" s="59"/>
      <c r="G57" s="59"/>
      <c r="H57" s="59"/>
      <c r="I57" s="59">
        <v>105</v>
      </c>
      <c r="J57" s="432">
        <f>I57*($J$9+$J$10)/100</f>
        <v>2329.0210260259259</v>
      </c>
    </row>
    <row r="58" spans="1:10" x14ac:dyDescent="0.25">
      <c r="A58" s="58"/>
      <c r="B58" s="59" t="s">
        <v>1183</v>
      </c>
      <c r="C58" s="59" t="s">
        <v>1151</v>
      </c>
      <c r="D58" s="59"/>
      <c r="E58" s="59">
        <v>2000</v>
      </c>
      <c r="F58" s="59" t="s">
        <v>681</v>
      </c>
      <c r="G58" s="59">
        <v>243.64</v>
      </c>
      <c r="H58" s="59">
        <f t="shared" ref="H58:H63" si="6">VLOOKUP(F58,Deflator,MATCH($B$3,EXCH.year,0)+1,FALSE)/VLOOKUP(F58,Deflator,MATCH(E58,EXCH.year,0)+1,FALSE)*VLOOKUP(F58,EXCH,MATCH($B$3,EXCH.year,0)+1,FALSE)</f>
        <v>5.914974034351558</v>
      </c>
      <c r="I58" s="59" t="s">
        <v>1135</v>
      </c>
      <c r="J58" s="432">
        <f t="shared" ref="J58:J63" si="7">G58*H58</f>
        <v>1441.1242737294135</v>
      </c>
    </row>
    <row r="59" spans="1:10" x14ac:dyDescent="0.25">
      <c r="A59" s="58"/>
      <c r="B59" s="59" t="s">
        <v>1184</v>
      </c>
      <c r="C59" s="59" t="s">
        <v>1151</v>
      </c>
      <c r="D59" s="59"/>
      <c r="E59" s="59">
        <v>2000</v>
      </c>
      <c r="F59" s="59" t="s">
        <v>681</v>
      </c>
      <c r="G59" s="59">
        <v>198.05</v>
      </c>
      <c r="H59" s="59">
        <f t="shared" si="6"/>
        <v>5.914974034351558</v>
      </c>
      <c r="I59" s="59" t="s">
        <v>1135</v>
      </c>
      <c r="J59" s="432">
        <f t="shared" si="7"/>
        <v>1171.4606075033262</v>
      </c>
    </row>
    <row r="60" spans="1:10" x14ac:dyDescent="0.25">
      <c r="A60" s="58"/>
      <c r="B60" s="59" t="s">
        <v>1185</v>
      </c>
      <c r="C60" s="59" t="s">
        <v>1151</v>
      </c>
      <c r="D60" s="59"/>
      <c r="E60" s="59">
        <v>2000</v>
      </c>
      <c r="F60" s="59" t="s">
        <v>681</v>
      </c>
      <c r="G60" s="59">
        <v>243.63</v>
      </c>
      <c r="H60" s="59">
        <f t="shared" si="6"/>
        <v>5.914974034351558</v>
      </c>
      <c r="I60" s="59" t="s">
        <v>1135</v>
      </c>
      <c r="J60" s="432">
        <f t="shared" si="7"/>
        <v>1441.0651239890701</v>
      </c>
    </row>
    <row r="61" spans="1:10" x14ac:dyDescent="0.25">
      <c r="A61" s="58"/>
      <c r="B61" s="59" t="s">
        <v>1186</v>
      </c>
      <c r="C61" s="59" t="s">
        <v>1151</v>
      </c>
      <c r="D61" s="59"/>
      <c r="E61" s="59">
        <v>2000</v>
      </c>
      <c r="F61" s="59" t="s">
        <v>681</v>
      </c>
      <c r="G61" s="59">
        <v>196.48</v>
      </c>
      <c r="H61" s="59">
        <f t="shared" si="6"/>
        <v>5.914974034351558</v>
      </c>
      <c r="I61" s="59" t="s">
        <v>1135</v>
      </c>
      <c r="J61" s="432">
        <f t="shared" si="7"/>
        <v>1162.1740982693941</v>
      </c>
    </row>
    <row r="62" spans="1:10" x14ac:dyDescent="0.25">
      <c r="A62" s="58"/>
      <c r="B62" s="59" t="s">
        <v>1187</v>
      </c>
      <c r="C62" s="59" t="s">
        <v>1151</v>
      </c>
      <c r="D62" s="59"/>
      <c r="E62" s="59">
        <v>2000</v>
      </c>
      <c r="F62" s="59" t="s">
        <v>681</v>
      </c>
      <c r="G62" s="59">
        <v>187.71</v>
      </c>
      <c r="H62" s="59">
        <f t="shared" si="6"/>
        <v>5.914974034351558</v>
      </c>
      <c r="I62" s="59" t="s">
        <v>1135</v>
      </c>
      <c r="J62" s="432">
        <f t="shared" si="7"/>
        <v>1110.2997759881309</v>
      </c>
    </row>
    <row r="63" spans="1:10" x14ac:dyDescent="0.25">
      <c r="A63" s="58" t="s">
        <v>8</v>
      </c>
      <c r="B63" s="59" t="s">
        <v>1188</v>
      </c>
      <c r="C63" s="59" t="s">
        <v>1151</v>
      </c>
      <c r="D63" s="59"/>
      <c r="E63" s="59">
        <v>2000</v>
      </c>
      <c r="F63" s="59" t="s">
        <v>681</v>
      </c>
      <c r="G63" s="59">
        <v>344.39</v>
      </c>
      <c r="H63" s="59">
        <f t="shared" si="6"/>
        <v>5.914974034351558</v>
      </c>
      <c r="I63" s="59" t="s">
        <v>1135</v>
      </c>
      <c r="J63" s="432">
        <f t="shared" si="7"/>
        <v>2037.057907690333</v>
      </c>
    </row>
    <row r="64" spans="1:10" x14ac:dyDescent="0.25">
      <c r="I64" s="88"/>
    </row>
    <row r="65" spans="1:4" x14ac:dyDescent="0.25">
      <c r="A65" s="37" t="s">
        <v>1189</v>
      </c>
    </row>
    <row r="66" spans="1:4" x14ac:dyDescent="0.25">
      <c r="A66" s="37" t="s">
        <v>1190</v>
      </c>
    </row>
    <row r="67" spans="1:4" x14ac:dyDescent="0.25">
      <c r="A67" s="37" t="s">
        <v>1191</v>
      </c>
    </row>
    <row r="70" spans="1:4" x14ac:dyDescent="0.25">
      <c r="B70" s="535" t="s">
        <v>767</v>
      </c>
      <c r="C70" s="536" t="s">
        <v>768</v>
      </c>
    </row>
    <row r="71" spans="1:4" x14ac:dyDescent="0.25">
      <c r="B71" s="70"/>
      <c r="C71" s="438" t="s">
        <v>769</v>
      </c>
    </row>
    <row r="72" spans="1:4" x14ac:dyDescent="0.25">
      <c r="B72" s="58" t="s">
        <v>8</v>
      </c>
      <c r="C72" s="432">
        <f t="array" ref="C72">AVERAGE(IF($A$23:$A$63=B72,$J$23:$J$63))</f>
        <v>1384.2074360838658</v>
      </c>
    </row>
    <row r="73" spans="1:4" x14ac:dyDescent="0.25">
      <c r="B73" s="58" t="s">
        <v>9</v>
      </c>
      <c r="C73" s="432">
        <f t="array" ref="C73">AVERAGE(IF($A$23:$A$63=B73,$J$23:$J$63))</f>
        <v>1878.2763447122002</v>
      </c>
      <c r="D73" s="21" t="s">
        <v>1192</v>
      </c>
    </row>
    <row r="74" spans="1:4" x14ac:dyDescent="0.25">
      <c r="B74" s="58" t="s">
        <v>7</v>
      </c>
      <c r="C74" s="432">
        <f t="array" ref="C74">AVERAGE(IF($A$23:$A$63=B74,$J$23:$J$63))</f>
        <v>2261.1181094751337</v>
      </c>
    </row>
    <row r="75" spans="1:4" x14ac:dyDescent="0.25">
      <c r="B75" s="58" t="s">
        <v>9</v>
      </c>
      <c r="C75" s="432">
        <f>C73*1.2</f>
        <v>2253.9316136546399</v>
      </c>
      <c r="D75" s="21" t="s">
        <v>1193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43</v>
      </c>
      <c r="C1" s="20"/>
    </row>
    <row r="2" spans="2:11" ht="16.5" thickTop="1" x14ac:dyDescent="0.25"/>
    <row r="3" spans="2:11" ht="18" thickBot="1" x14ac:dyDescent="0.35">
      <c r="B3" s="22" t="s">
        <v>44</v>
      </c>
      <c r="C3" s="22"/>
    </row>
    <row r="4" spans="2:11" ht="16.5" thickTop="1" x14ac:dyDescent="0.25">
      <c r="B4" s="23" t="s">
        <v>45</v>
      </c>
      <c r="C4" s="24"/>
      <c r="D4" s="24" t="s">
        <v>7</v>
      </c>
      <c r="E4" s="24" t="s">
        <v>46</v>
      </c>
      <c r="F4" s="24" t="s">
        <v>47</v>
      </c>
      <c r="G4" s="24" t="s">
        <v>8</v>
      </c>
      <c r="H4" s="24" t="s">
        <v>48</v>
      </c>
      <c r="I4" s="24" t="s">
        <v>10</v>
      </c>
      <c r="J4" s="25" t="s">
        <v>3</v>
      </c>
    </row>
    <row r="5" spans="2:11" x14ac:dyDescent="0.25">
      <c r="B5" s="26" t="s">
        <v>49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50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51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52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53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54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55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56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57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58</v>
      </c>
      <c r="C15" s="22"/>
    </row>
    <row r="16" spans="2:11" ht="16.5" thickTop="1" x14ac:dyDescent="0.25">
      <c r="B16" s="23" t="s">
        <v>45</v>
      </c>
      <c r="C16" s="24"/>
      <c r="D16" s="24" t="s">
        <v>7</v>
      </c>
      <c r="E16" s="24" t="s">
        <v>46</v>
      </c>
      <c r="F16" s="24" t="s">
        <v>47</v>
      </c>
      <c r="G16" s="24" t="s">
        <v>8</v>
      </c>
      <c r="H16" s="24" t="s">
        <v>48</v>
      </c>
      <c r="I16" s="24" t="s">
        <v>10</v>
      </c>
      <c r="J16" s="25" t="s">
        <v>3</v>
      </c>
    </row>
    <row r="17" spans="2:14" x14ac:dyDescent="0.25">
      <c r="B17" s="26" t="s">
        <v>49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50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51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52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53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54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55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56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57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59</v>
      </c>
      <c r="C29" s="22"/>
      <c r="M29" s="37" t="s">
        <v>60</v>
      </c>
    </row>
    <row r="30" spans="2:14" ht="16.5" thickTop="1" x14ac:dyDescent="0.25">
      <c r="B30" s="23" t="s">
        <v>45</v>
      </c>
      <c r="C30" s="24"/>
      <c r="D30" s="24" t="s">
        <v>7</v>
      </c>
      <c r="E30" s="24" t="s">
        <v>46</v>
      </c>
      <c r="F30" s="24" t="s">
        <v>47</v>
      </c>
      <c r="G30" s="24" t="s">
        <v>8</v>
      </c>
      <c r="H30" s="24" t="s">
        <v>48</v>
      </c>
      <c r="I30" s="24" t="s">
        <v>10</v>
      </c>
      <c r="J30" s="25" t="s">
        <v>3</v>
      </c>
      <c r="M30" s="23" t="s">
        <v>61</v>
      </c>
      <c r="N30" s="25" t="s">
        <v>62</v>
      </c>
    </row>
    <row r="31" spans="2:14" x14ac:dyDescent="0.25">
      <c r="B31" s="26" t="s">
        <v>49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50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51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52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53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54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55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56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63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57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64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65</v>
      </c>
      <c r="N41" s="48">
        <f>[8]Production!AO22</f>
        <v>0.18573780613294916</v>
      </c>
    </row>
    <row r="42" spans="2:15" ht="16.5" thickTop="1" x14ac:dyDescent="0.25">
      <c r="B42" s="21" t="s">
        <v>66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67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68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69</v>
      </c>
      <c r="C48" s="22"/>
    </row>
    <row r="49" spans="2:21" ht="16.5" thickTop="1" x14ac:dyDescent="0.25">
      <c r="B49" s="23" t="s">
        <v>70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48</v>
      </c>
      <c r="I49" s="24" t="str">
        <f>I30</f>
        <v>Other-EAF</v>
      </c>
      <c r="J49" s="25" t="s">
        <v>3</v>
      </c>
      <c r="M49" s="23" t="s">
        <v>71</v>
      </c>
      <c r="N49" s="23" t="s">
        <v>72</v>
      </c>
      <c r="O49" s="23" t="s">
        <v>73</v>
      </c>
      <c r="P49" s="23" t="s">
        <v>74</v>
      </c>
      <c r="Q49" s="23" t="s">
        <v>75</v>
      </c>
      <c r="R49" s="23" t="s">
        <v>76</v>
      </c>
      <c r="S49" s="51" t="s">
        <v>77</v>
      </c>
      <c r="T49" s="51" t="s">
        <v>18</v>
      </c>
      <c r="U49" s="25" t="s">
        <v>3</v>
      </c>
    </row>
    <row r="50" spans="2:21" x14ac:dyDescent="0.25">
      <c r="B50" s="26" t="s">
        <v>78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78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79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79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80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80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81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81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82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82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83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83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84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84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85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86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87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88</v>
      </c>
      <c r="C62" s="22"/>
      <c r="K62" s="32"/>
      <c r="M62" s="50"/>
    </row>
    <row r="63" spans="2:21" ht="16.5" thickTop="1" x14ac:dyDescent="0.25">
      <c r="B63" s="23" t="s">
        <v>89</v>
      </c>
      <c r="C63" s="24"/>
      <c r="D63" s="24" t="s">
        <v>7</v>
      </c>
      <c r="E63" s="24" t="s">
        <v>46</v>
      </c>
      <c r="F63" s="24" t="s">
        <v>47</v>
      </c>
      <c r="G63" s="24" t="s">
        <v>8</v>
      </c>
      <c r="H63" s="24" t="s">
        <v>48</v>
      </c>
      <c r="I63" s="24" t="s">
        <v>10</v>
      </c>
      <c r="K63" s="32"/>
      <c r="M63" s="50"/>
    </row>
    <row r="64" spans="2:21" x14ac:dyDescent="0.25">
      <c r="B64" s="26" t="s">
        <v>90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91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92</v>
      </c>
      <c r="C67" s="24"/>
      <c r="D67" s="24" t="s">
        <v>7</v>
      </c>
      <c r="E67" s="24" t="s">
        <v>46</v>
      </c>
      <c r="F67" s="24" t="s">
        <v>47</v>
      </c>
      <c r="G67" s="24" t="s">
        <v>8</v>
      </c>
      <c r="H67" s="24" t="s">
        <v>48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93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94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95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96</v>
      </c>
      <c r="C72" s="24"/>
      <c r="D72" s="24" t="s">
        <v>7</v>
      </c>
      <c r="E72" s="24" t="s">
        <v>46</v>
      </c>
      <c r="F72" s="24" t="s">
        <v>47</v>
      </c>
      <c r="G72" s="24" t="s">
        <v>8</v>
      </c>
      <c r="H72" s="24" t="s">
        <v>48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97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98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99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100</v>
      </c>
      <c r="C79" s="24"/>
      <c r="D79" s="24" t="s">
        <v>27</v>
      </c>
      <c r="E79" s="24" t="s">
        <v>101</v>
      </c>
      <c r="F79" s="24" t="s">
        <v>102</v>
      </c>
      <c r="G79" s="24" t="s">
        <v>48</v>
      </c>
      <c r="H79" s="24" t="s">
        <v>103</v>
      </c>
      <c r="I79" s="25" t="s">
        <v>3</v>
      </c>
      <c r="J79" s="32"/>
      <c r="L79" s="50"/>
    </row>
    <row r="80" spans="2:13" x14ac:dyDescent="0.25">
      <c r="B80" s="26" t="s">
        <v>78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104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80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81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82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83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84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105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106</v>
      </c>
      <c r="C90" s="24"/>
      <c r="D90" s="24" t="s">
        <v>7</v>
      </c>
      <c r="E90" s="24" t="s">
        <v>46</v>
      </c>
      <c r="F90" s="24" t="s">
        <v>47</v>
      </c>
      <c r="G90" s="24" t="s">
        <v>8</v>
      </c>
      <c r="H90" s="24" t="s">
        <v>48</v>
      </c>
      <c r="I90" s="24" t="s">
        <v>10</v>
      </c>
    </row>
    <row r="91" spans="2:13" x14ac:dyDescent="0.25">
      <c r="B91" s="58" t="s">
        <v>107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108</v>
      </c>
      <c r="C93" s="24"/>
      <c r="D93" s="24" t="s">
        <v>7</v>
      </c>
      <c r="E93" s="24" t="s">
        <v>46</v>
      </c>
      <c r="F93" s="24" t="s">
        <v>47</v>
      </c>
      <c r="G93" s="24" t="s">
        <v>8</v>
      </c>
      <c r="H93" s="24" t="s">
        <v>48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109</v>
      </c>
      <c r="C103" s="22"/>
    </row>
    <row r="104" spans="2:10" ht="16.5" thickTop="1" x14ac:dyDescent="0.25">
      <c r="B104" s="37" t="s">
        <v>110</v>
      </c>
    </row>
    <row r="105" spans="2:10" x14ac:dyDescent="0.25">
      <c r="C105" s="24"/>
      <c r="D105" s="24" t="str">
        <f>D49</f>
        <v>BF-BOF</v>
      </c>
      <c r="E105" s="24" t="s">
        <v>46</v>
      </c>
      <c r="F105" s="24" t="s">
        <v>47</v>
      </c>
      <c r="G105" s="24" t="str">
        <f>G49</f>
        <v>Scrap-EAF</v>
      </c>
      <c r="H105" s="24" t="s">
        <v>48</v>
      </c>
      <c r="I105" s="24" t="str">
        <f>I49</f>
        <v>Other-EAF</v>
      </c>
      <c r="J105" s="25" t="s">
        <v>3</v>
      </c>
    </row>
    <row r="106" spans="2:10" x14ac:dyDescent="0.25">
      <c r="B106" s="23" t="s">
        <v>89</v>
      </c>
      <c r="C106" s="26" t="s">
        <v>90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91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92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93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94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95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96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97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98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111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112</v>
      </c>
      <c r="C118" s="26" t="s">
        <v>78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79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80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81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82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83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84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113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114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115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116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117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118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119</v>
      </c>
    </row>
    <row r="135" spans="2:12" ht="18" thickBot="1" x14ac:dyDescent="0.35">
      <c r="B135" s="22" t="s">
        <v>120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47</v>
      </c>
    </row>
    <row r="137" spans="2:12" x14ac:dyDescent="0.25">
      <c r="B137" s="80" t="s">
        <v>121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122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123</v>
      </c>
    </row>
    <row r="142" spans="2:12" ht="16.5" thickTop="1" x14ac:dyDescent="0.25"/>
    <row r="144" spans="2:12" x14ac:dyDescent="0.25">
      <c r="C144" s="80" t="s">
        <v>124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125</v>
      </c>
    </row>
    <row r="145" spans="2:16" x14ac:dyDescent="0.25">
      <c r="C145" s="58" t="s">
        <v>126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127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128</v>
      </c>
      <c r="O146" s="84" t="s">
        <v>129</v>
      </c>
      <c r="P146" s="21" t="s">
        <v>130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131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132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132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133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133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134</v>
      </c>
    </row>
    <row r="153" spans="2:16" x14ac:dyDescent="0.25">
      <c r="C153" s="37" t="s">
        <v>135</v>
      </c>
    </row>
    <row r="154" spans="2:16" x14ac:dyDescent="0.25">
      <c r="C154" s="37" t="s">
        <v>136</v>
      </c>
    </row>
    <row r="155" spans="2:16" x14ac:dyDescent="0.25">
      <c r="C155" s="87" t="s">
        <v>137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138</v>
      </c>
      <c r="I157" s="24" t="s">
        <v>10</v>
      </c>
      <c r="J157" s="25" t="s">
        <v>3</v>
      </c>
    </row>
    <row r="158" spans="2:16" x14ac:dyDescent="0.25">
      <c r="B158" s="23" t="s">
        <v>139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132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140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141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132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140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142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142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142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132</v>
      </c>
      <c r="D177" s="21" t="s">
        <v>142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133</v>
      </c>
      <c r="D178" s="21" t="s">
        <v>142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508</v>
      </c>
    </row>
    <row r="183" spans="2:10" x14ac:dyDescent="0.25">
      <c r="B183" s="364"/>
      <c r="C183" s="365"/>
      <c r="D183" s="365"/>
      <c r="E183" s="365"/>
      <c r="F183" s="365"/>
      <c r="G183" s="365"/>
      <c r="H183" s="365"/>
      <c r="I183" s="365"/>
      <c r="J183" s="366"/>
    </row>
    <row r="184" spans="2:10" x14ac:dyDescent="0.25">
      <c r="B184" s="338" t="s">
        <v>509</v>
      </c>
      <c r="J184" s="367"/>
    </row>
    <row r="185" spans="2:10" x14ac:dyDescent="0.25">
      <c r="B185" s="338"/>
      <c r="C185" s="26" t="s">
        <v>13</v>
      </c>
      <c r="D185" s="368">
        <f>D146*D$130</f>
        <v>4.3302170790299686</v>
      </c>
      <c r="E185" s="368">
        <f t="shared" ref="E185:J185" si="30">E146*E$130</f>
        <v>20.596584135938251</v>
      </c>
      <c r="F185" s="368">
        <f t="shared" si="30"/>
        <v>0</v>
      </c>
      <c r="G185" s="368">
        <f t="shared" si="30"/>
        <v>0</v>
      </c>
      <c r="H185" s="368">
        <f t="shared" si="30"/>
        <v>11.88</v>
      </c>
      <c r="I185" s="368">
        <f t="shared" si="30"/>
        <v>20.61</v>
      </c>
      <c r="J185" s="369">
        <f t="shared" si="30"/>
        <v>5.9756182459967411</v>
      </c>
    </row>
    <row r="186" spans="2:10" x14ac:dyDescent="0.25">
      <c r="B186" s="338"/>
      <c r="C186" s="26" t="s">
        <v>11</v>
      </c>
      <c r="D186" s="368">
        <f t="shared" ref="D186:J186" si="31">D147*D$130</f>
        <v>8.8757836125478331</v>
      </c>
      <c r="E186" s="368">
        <f t="shared" si="31"/>
        <v>0</v>
      </c>
      <c r="F186" s="368">
        <f t="shared" si="31"/>
        <v>0</v>
      </c>
      <c r="G186" s="368">
        <f t="shared" si="31"/>
        <v>0</v>
      </c>
      <c r="H186" s="368">
        <f t="shared" si="31"/>
        <v>4.5900000000000007</v>
      </c>
      <c r="I186" s="368">
        <f t="shared" si="31"/>
        <v>0</v>
      </c>
      <c r="J186" s="369">
        <f t="shared" si="31"/>
        <v>4.4861323109367142</v>
      </c>
    </row>
    <row r="187" spans="2:10" x14ac:dyDescent="0.25">
      <c r="B187" s="338"/>
      <c r="C187" s="26" t="s">
        <v>14</v>
      </c>
      <c r="D187" s="368">
        <f t="shared" ref="D187:J187" si="32">D148*D$130</f>
        <v>5.8326578025314344</v>
      </c>
      <c r="E187" s="368">
        <f t="shared" si="32"/>
        <v>14.230367221193701</v>
      </c>
      <c r="F187" s="368">
        <f>F148*F$130</f>
        <v>0</v>
      </c>
      <c r="G187" s="368">
        <f t="shared" si="32"/>
        <v>7.5</v>
      </c>
      <c r="H187" s="368">
        <f t="shared" si="32"/>
        <v>8.9909999999999997</v>
      </c>
      <c r="I187" s="368">
        <f t="shared" si="32"/>
        <v>20.61</v>
      </c>
      <c r="J187" s="369">
        <f t="shared" si="32"/>
        <v>9.4561456232640211</v>
      </c>
    </row>
    <row r="188" spans="2:10" x14ac:dyDescent="0.25">
      <c r="B188" s="338"/>
      <c r="C188" s="26" t="s">
        <v>132</v>
      </c>
      <c r="D188" s="368">
        <f t="shared" ref="D188:J188" si="33">D149*D$130</f>
        <v>6.2130485287834842</v>
      </c>
      <c r="E188" s="368">
        <f t="shared" si="33"/>
        <v>2.2380324578113369</v>
      </c>
      <c r="F188" s="368">
        <f t="shared" si="33"/>
        <v>0</v>
      </c>
      <c r="G188" s="368">
        <f t="shared" si="33"/>
        <v>2.5</v>
      </c>
      <c r="H188" s="368">
        <f t="shared" si="33"/>
        <v>1.5390000000000001</v>
      </c>
      <c r="I188" s="368">
        <f t="shared" si="33"/>
        <v>3.4349999999999996</v>
      </c>
      <c r="J188" s="369">
        <f t="shared" si="33"/>
        <v>4.546123514757161</v>
      </c>
    </row>
    <row r="189" spans="2:10" x14ac:dyDescent="0.25">
      <c r="B189" s="370"/>
      <c r="C189" s="371" t="s">
        <v>140</v>
      </c>
      <c r="D189" s="372">
        <f t="shared" ref="D189:J189" si="34">D150*D$130</f>
        <v>0.12679690875068336</v>
      </c>
      <c r="E189" s="372">
        <f t="shared" si="34"/>
        <v>0.37448334792615001</v>
      </c>
      <c r="F189" s="372">
        <f t="shared" si="34"/>
        <v>0</v>
      </c>
      <c r="G189" s="372">
        <f t="shared" si="34"/>
        <v>0</v>
      </c>
      <c r="H189" s="372">
        <f t="shared" si="34"/>
        <v>0</v>
      </c>
      <c r="I189" s="372">
        <f t="shared" si="34"/>
        <v>1.145</v>
      </c>
      <c r="J189" s="373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143</v>
      </c>
    </row>
    <row r="195" spans="2:11" x14ac:dyDescent="0.25">
      <c r="C195" s="21" t="s">
        <v>144</v>
      </c>
      <c r="D195" s="21" t="s">
        <v>145</v>
      </c>
      <c r="G195" s="21" t="s">
        <v>146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147</v>
      </c>
      <c r="D196" s="21">
        <v>27.8</v>
      </c>
      <c r="E196" s="21" t="s">
        <v>148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147</v>
      </c>
      <c r="D197" s="21">
        <v>28.2</v>
      </c>
      <c r="E197" s="21" t="s">
        <v>148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149</v>
      </c>
      <c r="D198" s="21">
        <v>3.6</v>
      </c>
      <c r="E198" s="21" t="s">
        <v>150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132</v>
      </c>
      <c r="C199" s="21" t="s">
        <v>151</v>
      </c>
      <c r="D199" s="21">
        <v>1</v>
      </c>
      <c r="E199" s="21" t="s">
        <v>152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153</v>
      </c>
      <c r="C200" s="21" t="s">
        <v>151</v>
      </c>
      <c r="D200" s="21">
        <v>1</v>
      </c>
      <c r="E200" s="21" t="s">
        <v>152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154</v>
      </c>
      <c r="C201" s="21" t="s">
        <v>155</v>
      </c>
      <c r="D201" s="21">
        <v>41.716000000000001</v>
      </c>
      <c r="E201" s="21" t="s">
        <v>156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125</v>
      </c>
      <c r="I203" s="21" t="s">
        <v>0</v>
      </c>
      <c r="J203" s="21" t="s">
        <v>157</v>
      </c>
      <c r="K203" s="21" t="s">
        <v>158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132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153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154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132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153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154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/>
  </sheetViews>
  <sheetFormatPr defaultRowHeight="15" x14ac:dyDescent="0.25"/>
  <sheetData>
    <row r="2" spans="3:25" x14ac:dyDescent="0.25">
      <c r="C2" t="s">
        <v>510</v>
      </c>
      <c r="M2" t="s">
        <v>510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665</v>
      </c>
    </row>
    <row r="5" spans="3:25" x14ac:dyDescent="0.25">
      <c r="C5" s="4" t="s">
        <v>403</v>
      </c>
      <c r="D5">
        <v>2.33</v>
      </c>
      <c r="E5">
        <v>2.34</v>
      </c>
      <c r="F5">
        <v>2.3199999999999998</v>
      </c>
      <c r="G5" t="s">
        <v>407</v>
      </c>
      <c r="I5" s="5"/>
      <c r="M5" s="6" t="s">
        <v>429</v>
      </c>
      <c r="V5" s="5"/>
      <c r="Y5" s="118" t="s">
        <v>666</v>
      </c>
    </row>
    <row r="6" spans="3:25" x14ac:dyDescent="0.25">
      <c r="C6" s="4" t="s">
        <v>403</v>
      </c>
      <c r="D6">
        <v>2.91</v>
      </c>
      <c r="E6">
        <v>3.01</v>
      </c>
      <c r="F6">
        <v>3</v>
      </c>
      <c r="G6" t="s">
        <v>405</v>
      </c>
      <c r="I6" s="5"/>
      <c r="M6" s="4"/>
      <c r="O6" t="s">
        <v>968</v>
      </c>
      <c r="V6" s="5"/>
    </row>
    <row r="7" spans="3:25" x14ac:dyDescent="0.25">
      <c r="C7" s="4" t="s">
        <v>404</v>
      </c>
      <c r="D7">
        <v>14.84</v>
      </c>
      <c r="E7">
        <v>14.71</v>
      </c>
      <c r="F7">
        <v>14.3</v>
      </c>
      <c r="G7" t="s">
        <v>410</v>
      </c>
      <c r="I7" s="5"/>
      <c r="M7" s="4" t="s">
        <v>969</v>
      </c>
      <c r="O7">
        <v>4493</v>
      </c>
      <c r="Q7" t="s">
        <v>970</v>
      </c>
      <c r="V7" s="5"/>
    </row>
    <row r="8" spans="3:25" x14ac:dyDescent="0.25">
      <c r="C8" s="4"/>
      <c r="I8" s="5"/>
      <c r="M8" s="4"/>
      <c r="O8" t="s">
        <v>428</v>
      </c>
      <c r="V8" s="5"/>
    </row>
    <row r="9" spans="3:25" x14ac:dyDescent="0.25">
      <c r="C9" s="4" t="s">
        <v>409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406</v>
      </c>
      <c r="I9" s="5"/>
      <c r="M9" s="4" t="s">
        <v>971</v>
      </c>
      <c r="O9">
        <v>3098</v>
      </c>
      <c r="P9" t="s">
        <v>972</v>
      </c>
      <c r="Q9" t="s">
        <v>973</v>
      </c>
      <c r="V9" s="5"/>
    </row>
    <row r="10" spans="3:25" x14ac:dyDescent="0.25">
      <c r="C10" s="4"/>
      <c r="D10" s="268"/>
      <c r="E10" s="268"/>
      <c r="F10" s="268"/>
      <c r="I10" s="5"/>
      <c r="M10" s="4" t="s">
        <v>974</v>
      </c>
      <c r="O10">
        <v>1393</v>
      </c>
      <c r="P10" t="s">
        <v>972</v>
      </c>
      <c r="Q10" t="s">
        <v>973</v>
      </c>
      <c r="V10" s="5"/>
    </row>
    <row r="11" spans="3:25" x14ac:dyDescent="0.25">
      <c r="C11" s="4"/>
      <c r="D11" s="326">
        <f>D9*D5</f>
        <v>11.882199312714777</v>
      </c>
      <c r="E11" s="326">
        <f>E9*E5</f>
        <v>11.435681063122924</v>
      </c>
      <c r="F11" s="326">
        <f>F9*F5</f>
        <v>11.058666666666666</v>
      </c>
      <c r="G11" t="s">
        <v>408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975</v>
      </c>
      <c r="N13" s="18"/>
      <c r="O13" s="484">
        <f>O7*1000000/(O9*1000)</f>
        <v>1450.2905100064559</v>
      </c>
      <c r="P13" s="18" t="s">
        <v>976</v>
      </c>
      <c r="Q13" s="18" t="s">
        <v>977</v>
      </c>
      <c r="V13" s="5"/>
    </row>
    <row r="14" spans="3:25" x14ac:dyDescent="0.25">
      <c r="M14" s="4"/>
      <c r="V14" s="5"/>
    </row>
    <row r="15" spans="3:25" x14ac:dyDescent="0.25">
      <c r="C15" t="s">
        <v>511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513</v>
      </c>
      <c r="I17" s="5"/>
      <c r="M17" s="4"/>
      <c r="V17" s="5"/>
    </row>
    <row r="18" spans="3:22" x14ac:dyDescent="0.25">
      <c r="C18" s="4">
        <v>2017</v>
      </c>
      <c r="D18" s="361">
        <v>7581</v>
      </c>
      <c r="E18" t="s">
        <v>512</v>
      </c>
      <c r="I18" s="5"/>
      <c r="M18" s="4" t="s">
        <v>978</v>
      </c>
      <c r="V18" s="5"/>
    </row>
    <row r="19" spans="3:22" x14ac:dyDescent="0.25">
      <c r="C19" s="4">
        <v>2016</v>
      </c>
      <c r="D19" s="361">
        <v>6544</v>
      </c>
      <c r="E19" t="s">
        <v>512</v>
      </c>
      <c r="I19" s="5"/>
      <c r="M19" s="4"/>
      <c r="V19" s="5"/>
    </row>
    <row r="20" spans="3:22" x14ac:dyDescent="0.25">
      <c r="C20" s="4"/>
      <c r="I20" s="5"/>
      <c r="M20" s="4" t="s">
        <v>979</v>
      </c>
      <c r="P20">
        <v>16</v>
      </c>
      <c r="V20" s="5"/>
    </row>
    <row r="21" spans="3:22" x14ac:dyDescent="0.25">
      <c r="C21" s="4"/>
      <c r="I21" s="5"/>
      <c r="M21" s="117"/>
      <c r="N21" s="117" t="s">
        <v>976</v>
      </c>
      <c r="P21" t="s">
        <v>980</v>
      </c>
      <c r="V21" s="5"/>
    </row>
    <row r="22" spans="3:22" x14ac:dyDescent="0.25">
      <c r="C22" s="4" t="s">
        <v>514</v>
      </c>
      <c r="I22" s="5"/>
      <c r="M22" s="117" t="s">
        <v>981</v>
      </c>
      <c r="N22" s="470">
        <v>10250</v>
      </c>
      <c r="P22" s="321">
        <f>N22/$P$20</f>
        <v>640.625</v>
      </c>
      <c r="V22" s="5"/>
    </row>
    <row r="23" spans="3:22" x14ac:dyDescent="0.25">
      <c r="C23" s="4">
        <v>515</v>
      </c>
      <c r="D23" t="s">
        <v>515</v>
      </c>
      <c r="I23" s="5"/>
      <c r="M23" s="117" t="s">
        <v>138</v>
      </c>
      <c r="N23" s="470">
        <v>8036</v>
      </c>
      <c r="P23" s="321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62">
        <v>0.74270000000000003</v>
      </c>
      <c r="D26" t="s">
        <v>516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748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745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746</v>
      </c>
    </row>
    <row r="38" spans="3:17" x14ac:dyDescent="0.25">
      <c r="C38" s="4"/>
      <c r="I38" t="s">
        <v>749</v>
      </c>
      <c r="M38" s="5"/>
      <c r="P38">
        <v>1.4</v>
      </c>
      <c r="Q38" t="s">
        <v>747</v>
      </c>
    </row>
    <row r="39" spans="3:17" x14ac:dyDescent="0.25">
      <c r="C39" s="4"/>
      <c r="I39" t="s">
        <v>750</v>
      </c>
      <c r="M39" s="5"/>
    </row>
    <row r="40" spans="3:17" x14ac:dyDescent="0.25">
      <c r="C40" s="4"/>
      <c r="I40" t="s">
        <v>751</v>
      </c>
      <c r="M40" s="5"/>
    </row>
    <row r="41" spans="3:17" x14ac:dyDescent="0.25">
      <c r="C41" s="4"/>
      <c r="I41" t="s">
        <v>752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1100</v>
      </c>
    </row>
    <row r="79" spans="3:13" x14ac:dyDescent="0.25">
      <c r="D79" t="s">
        <v>663</v>
      </c>
    </row>
    <row r="94" spans="21:23" x14ac:dyDescent="0.25">
      <c r="V94" t="s">
        <v>667</v>
      </c>
    </row>
    <row r="95" spans="21:23" x14ac:dyDescent="0.25">
      <c r="U95" t="s">
        <v>335</v>
      </c>
      <c r="V95">
        <v>1072</v>
      </c>
      <c r="W95" t="s">
        <v>428</v>
      </c>
    </row>
    <row r="96" spans="21:23" x14ac:dyDescent="0.25">
      <c r="U96" t="s">
        <v>668</v>
      </c>
      <c r="V96">
        <v>1406</v>
      </c>
    </row>
    <row r="124" spans="3:3" x14ac:dyDescent="0.25">
      <c r="C124" t="s">
        <v>664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223</v>
      </c>
    </row>
    <row r="2" spans="1:46" x14ac:dyDescent="0.2">
      <c r="A2" s="13" t="s">
        <v>224</v>
      </c>
    </row>
    <row r="4" spans="1:46" ht="13.5" thickBot="1" x14ac:dyDescent="0.25">
      <c r="A4" s="13" t="s">
        <v>225</v>
      </c>
    </row>
    <row r="5" spans="1:46" x14ac:dyDescent="0.2">
      <c r="A5" s="688" t="s">
        <v>226</v>
      </c>
      <c r="B5" s="676" t="s">
        <v>227</v>
      </c>
      <c r="C5" s="677"/>
      <c r="D5" s="677"/>
      <c r="E5" s="683"/>
      <c r="F5" s="684" t="s">
        <v>228</v>
      </c>
      <c r="G5" s="677"/>
      <c r="H5" s="683"/>
      <c r="I5" s="677" t="s">
        <v>229</v>
      </c>
      <c r="J5" s="677"/>
      <c r="K5" s="677"/>
      <c r="L5" s="677"/>
      <c r="M5" s="677"/>
      <c r="N5" s="677"/>
      <c r="O5" s="677"/>
      <c r="P5" s="683"/>
      <c r="Q5" s="684" t="s">
        <v>230</v>
      </c>
      <c r="R5" s="677"/>
      <c r="S5" s="677"/>
      <c r="T5" s="677"/>
      <c r="U5" s="677"/>
      <c r="V5" s="677"/>
      <c r="W5" s="677"/>
      <c r="X5" s="683"/>
      <c r="Y5" s="677" t="s">
        <v>231</v>
      </c>
      <c r="Z5" s="677"/>
      <c r="AA5" s="677"/>
      <c r="AB5" s="678"/>
      <c r="AC5" s="676" t="s">
        <v>232</v>
      </c>
      <c r="AD5" s="677"/>
      <c r="AE5" s="677"/>
      <c r="AF5" s="677"/>
      <c r="AG5" s="137"/>
      <c r="AH5" s="137"/>
      <c r="AI5" s="138" t="s">
        <v>233</v>
      </c>
      <c r="AJ5" s="678" t="s">
        <v>234</v>
      </c>
      <c r="AK5" s="679"/>
      <c r="AL5" s="679"/>
      <c r="AM5" s="679"/>
      <c r="AN5" s="679"/>
      <c r="AO5" s="679"/>
      <c r="AP5" s="679"/>
      <c r="AQ5" s="679"/>
      <c r="AR5" s="679"/>
      <c r="AS5" s="679"/>
      <c r="AT5" s="680"/>
    </row>
    <row r="6" spans="1:46" s="151" customFormat="1" ht="26.25" customHeight="1" x14ac:dyDescent="0.2">
      <c r="A6" s="689"/>
      <c r="B6" s="139" t="s">
        <v>6</v>
      </c>
      <c r="C6" s="140" t="s">
        <v>235</v>
      </c>
      <c r="D6" s="139" t="s">
        <v>236</v>
      </c>
      <c r="E6" s="141" t="s">
        <v>237</v>
      </c>
      <c r="F6" s="142" t="s">
        <v>238</v>
      </c>
      <c r="G6" s="139" t="s">
        <v>239</v>
      </c>
      <c r="H6" s="143" t="s">
        <v>240</v>
      </c>
      <c r="I6" s="144" t="s">
        <v>6</v>
      </c>
      <c r="J6" s="145" t="s">
        <v>235</v>
      </c>
      <c r="K6" s="139" t="s">
        <v>241</v>
      </c>
      <c r="L6" s="139" t="s">
        <v>138</v>
      </c>
      <c r="M6" s="139" t="s">
        <v>237</v>
      </c>
      <c r="N6" s="139" t="s">
        <v>236</v>
      </c>
      <c r="O6" s="139" t="s">
        <v>242</v>
      </c>
      <c r="P6" s="146" t="s">
        <v>243</v>
      </c>
      <c r="Q6" s="142" t="s">
        <v>6</v>
      </c>
      <c r="R6" s="140" t="s">
        <v>235</v>
      </c>
      <c r="S6" s="139" t="s">
        <v>244</v>
      </c>
      <c r="T6" s="139" t="s">
        <v>245</v>
      </c>
      <c r="U6" s="139" t="s">
        <v>237</v>
      </c>
      <c r="V6" s="139" t="s">
        <v>236</v>
      </c>
      <c r="W6" s="139" t="s">
        <v>242</v>
      </c>
      <c r="X6" s="144" t="s">
        <v>243</v>
      </c>
      <c r="Y6" s="147" t="s">
        <v>246</v>
      </c>
      <c r="Z6" s="140" t="s">
        <v>13</v>
      </c>
      <c r="AA6" s="139" t="s">
        <v>247</v>
      </c>
      <c r="AB6" s="139" t="s">
        <v>248</v>
      </c>
      <c r="AC6" s="681" t="s">
        <v>249</v>
      </c>
      <c r="AD6" s="682"/>
      <c r="AE6" s="140" t="s">
        <v>250</v>
      </c>
      <c r="AF6" s="148" t="s">
        <v>251</v>
      </c>
      <c r="AG6" s="149" t="s">
        <v>252</v>
      </c>
      <c r="AH6" s="141" t="s">
        <v>253</v>
      </c>
      <c r="AI6" s="150" t="s">
        <v>233</v>
      </c>
      <c r="AJ6" s="147" t="s">
        <v>254</v>
      </c>
      <c r="AK6" s="139" t="s">
        <v>255</v>
      </c>
      <c r="AL6" s="139" t="s">
        <v>256</v>
      </c>
      <c r="AM6" s="139" t="s">
        <v>14</v>
      </c>
      <c r="AN6" s="139" t="s">
        <v>257</v>
      </c>
      <c r="AO6" s="139" t="s">
        <v>258</v>
      </c>
      <c r="AP6" s="139" t="s">
        <v>259</v>
      </c>
      <c r="AQ6" s="139" t="s">
        <v>260</v>
      </c>
      <c r="AR6" s="139" t="s">
        <v>261</v>
      </c>
      <c r="AS6" s="139" t="s">
        <v>3</v>
      </c>
      <c r="AT6" s="141" t="s">
        <v>262</v>
      </c>
    </row>
    <row r="7" spans="1:46" x14ac:dyDescent="0.2">
      <c r="A7" s="690"/>
      <c r="B7" s="152" t="s">
        <v>263</v>
      </c>
      <c r="C7" s="152" t="s">
        <v>263</v>
      </c>
      <c r="D7" s="152" t="s">
        <v>264</v>
      </c>
      <c r="E7" s="153" t="s">
        <v>263</v>
      </c>
      <c r="F7" s="154"/>
      <c r="G7" s="152"/>
      <c r="H7" s="153"/>
      <c r="I7" s="155" t="s">
        <v>263</v>
      </c>
      <c r="J7" s="156" t="s">
        <v>263</v>
      </c>
      <c r="K7" s="152" t="s">
        <v>263</v>
      </c>
      <c r="L7" s="152" t="s">
        <v>263</v>
      </c>
      <c r="M7" s="152" t="s">
        <v>263</v>
      </c>
      <c r="N7" s="152" t="s">
        <v>265</v>
      </c>
      <c r="O7" s="152" t="s">
        <v>266</v>
      </c>
      <c r="P7" s="157" t="s">
        <v>267</v>
      </c>
      <c r="Q7" s="154" t="s">
        <v>263</v>
      </c>
      <c r="R7" s="152" t="s">
        <v>263</v>
      </c>
      <c r="S7" s="152" t="s">
        <v>263</v>
      </c>
      <c r="T7" s="152" t="s">
        <v>263</v>
      </c>
      <c r="U7" s="152" t="s">
        <v>263</v>
      </c>
      <c r="V7" s="152" t="s">
        <v>265</v>
      </c>
      <c r="W7" s="152" t="s">
        <v>266</v>
      </c>
      <c r="X7" s="155" t="s">
        <v>267</v>
      </c>
      <c r="Y7" s="156" t="s">
        <v>268</v>
      </c>
      <c r="Z7" s="152" t="s">
        <v>268</v>
      </c>
      <c r="AA7" s="152" t="s">
        <v>268</v>
      </c>
      <c r="AB7" s="152" t="s">
        <v>268</v>
      </c>
      <c r="AC7" s="152" t="s">
        <v>269</v>
      </c>
      <c r="AD7" s="152" t="s">
        <v>270</v>
      </c>
      <c r="AE7" s="152" t="s">
        <v>270</v>
      </c>
      <c r="AF7" s="158" t="s">
        <v>270</v>
      </c>
      <c r="AG7" s="159" t="s">
        <v>271</v>
      </c>
      <c r="AH7" s="160" t="s">
        <v>272</v>
      </c>
      <c r="AI7" s="161" t="s">
        <v>273</v>
      </c>
      <c r="AJ7" s="156" t="s">
        <v>274</v>
      </c>
      <c r="AK7" s="152" t="s">
        <v>274</v>
      </c>
      <c r="AL7" s="152" t="s">
        <v>274</v>
      </c>
      <c r="AM7" s="152" t="s">
        <v>274</v>
      </c>
      <c r="AN7" s="152" t="s">
        <v>274</v>
      </c>
      <c r="AO7" s="152" t="s">
        <v>274</v>
      </c>
      <c r="AP7" s="152" t="s">
        <v>274</v>
      </c>
      <c r="AQ7" s="152" t="s">
        <v>274</v>
      </c>
      <c r="AR7" s="152" t="s">
        <v>274</v>
      </c>
      <c r="AS7" s="152" t="s">
        <v>274</v>
      </c>
      <c r="AT7" s="160" t="s">
        <v>275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276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85" t="s">
        <v>226</v>
      </c>
      <c r="B21" s="687" t="s">
        <v>277</v>
      </c>
      <c r="C21" s="680"/>
      <c r="D21" s="684" t="s">
        <v>278</v>
      </c>
      <c r="E21" s="677"/>
      <c r="F21" s="683"/>
      <c r="G21" s="684" t="s">
        <v>279</v>
      </c>
      <c r="H21" s="683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86"/>
      <c r="B22" s="162" t="s">
        <v>280</v>
      </c>
      <c r="C22" s="221" t="s">
        <v>281</v>
      </c>
      <c r="D22" s="162" t="s">
        <v>282</v>
      </c>
      <c r="E22" s="222" t="s">
        <v>283</v>
      </c>
      <c r="F22" s="221" t="s">
        <v>284</v>
      </c>
      <c r="G22" s="162" t="s">
        <v>285</v>
      </c>
      <c r="H22" s="221" t="s">
        <v>286</v>
      </c>
      <c r="AE22" s="238"/>
    </row>
    <row r="23" spans="1:47" x14ac:dyDescent="0.2">
      <c r="A23" s="686"/>
      <c r="B23" s="154" t="s">
        <v>266</v>
      </c>
      <c r="C23" s="153" t="s">
        <v>266</v>
      </c>
      <c r="D23" s="154" t="s">
        <v>266</v>
      </c>
      <c r="E23" s="152" t="s">
        <v>266</v>
      </c>
      <c r="F23" s="153" t="s">
        <v>266</v>
      </c>
      <c r="G23" s="154" t="s">
        <v>266</v>
      </c>
      <c r="H23" s="153" t="s">
        <v>266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75"/>
      <c r="T26" s="675"/>
      <c r="U26" s="675"/>
      <c r="V26" s="675"/>
      <c r="W26" s="675"/>
      <c r="X26" s="675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247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287</v>
      </c>
      <c r="F40" s="13" t="s">
        <v>288</v>
      </c>
      <c r="G40" s="13" t="s">
        <v>288</v>
      </c>
      <c r="H40" s="13" t="s">
        <v>289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290</v>
      </c>
      <c r="D41" s="227">
        <f>J14*K15/J15</f>
        <v>2311.3657479095696</v>
      </c>
      <c r="K41" s="13" t="s">
        <v>138</v>
      </c>
      <c r="L41" s="13" t="s">
        <v>606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138</v>
      </c>
      <c r="D42" s="227">
        <f>J14-D41</f>
        <v>1242.6342520904304</v>
      </c>
      <c r="K42" s="13" t="s">
        <v>293</v>
      </c>
      <c r="L42" s="13" t="s">
        <v>606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291</v>
      </c>
      <c r="D43" s="228">
        <f>R14*(S15/R15)</f>
        <v>1290.0096411355116</v>
      </c>
      <c r="K43" s="13" t="s">
        <v>244</v>
      </c>
      <c r="L43" s="13" t="s">
        <v>518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292</v>
      </c>
      <c r="D44" s="227">
        <f>R14-D43</f>
        <v>245.99035886448837</v>
      </c>
      <c r="K44" s="13" t="s">
        <v>245</v>
      </c>
      <c r="L44" s="13" t="s">
        <v>518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9">
        <f>H45*3.6/1000</f>
        <v>14.112</v>
      </c>
      <c r="I46" s="13" t="s">
        <v>142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192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91" t="s">
        <v>202</v>
      </c>
      <c r="F40" s="691"/>
      <c r="G40" s="691"/>
      <c r="H40" s="691"/>
      <c r="I40" s="691"/>
      <c r="J40" s="691"/>
      <c r="K40" s="691"/>
      <c r="L40" s="15"/>
      <c r="M40" s="691" t="s">
        <v>203</v>
      </c>
      <c r="N40" s="691"/>
      <c r="O40" s="692"/>
    </row>
    <row r="41" spans="3:17" x14ac:dyDescent="0.25">
      <c r="C41" s="4"/>
      <c r="E41" s="18" t="s">
        <v>13</v>
      </c>
      <c r="F41" s="18" t="s">
        <v>11</v>
      </c>
      <c r="G41" s="18" t="s">
        <v>194</v>
      </c>
      <c r="H41" s="18" t="s">
        <v>196</v>
      </c>
      <c r="I41" s="18" t="s">
        <v>201</v>
      </c>
      <c r="J41" s="18" t="s">
        <v>197</v>
      </c>
      <c r="K41" s="18" t="s">
        <v>195</v>
      </c>
      <c r="M41" s="18" t="s">
        <v>195</v>
      </c>
      <c r="N41" s="18" t="s">
        <v>200</v>
      </c>
      <c r="O41" s="131" t="s">
        <v>205</v>
      </c>
    </row>
    <row r="42" spans="3:17" x14ac:dyDescent="0.25">
      <c r="C42" s="693" t="s">
        <v>92</v>
      </c>
      <c r="D42" s="18" t="s">
        <v>193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198</v>
      </c>
      <c r="O42" s="5"/>
    </row>
    <row r="43" spans="3:17" x14ac:dyDescent="0.25">
      <c r="C43" s="693"/>
      <c r="D43" s="18" t="s">
        <v>199</v>
      </c>
      <c r="E43" s="1"/>
      <c r="F43" s="1"/>
      <c r="G43" s="1">
        <v>596000</v>
      </c>
      <c r="H43" s="1"/>
      <c r="I43" s="1">
        <v>297000</v>
      </c>
      <c r="J43" s="1" t="s">
        <v>198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204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348</v>
      </c>
      <c r="H51" s="19">
        <f>SUM(G42:G43,I42:I43)</f>
        <v>2010000</v>
      </c>
    </row>
    <row r="52" spans="2:21" x14ac:dyDescent="0.25">
      <c r="G52" t="s">
        <v>195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384</v>
      </c>
      <c r="G54" t="s">
        <v>193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385</v>
      </c>
      <c r="G55" t="s">
        <v>386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413</v>
      </c>
    </row>
    <row r="60" spans="2:21" x14ac:dyDescent="0.25">
      <c r="C60" t="s">
        <v>13</v>
      </c>
      <c r="D60" s="336">
        <f>E42/O47</f>
        <v>0.54441454869243722</v>
      </c>
      <c r="E60" t="s">
        <v>414</v>
      </c>
      <c r="H60" s="321">
        <f>D60*24</f>
        <v>13.065949168618493</v>
      </c>
      <c r="I60" s="321"/>
      <c r="J60" s="321"/>
      <c r="K60" s="321"/>
      <c r="L60" s="321"/>
      <c r="M60" s="321"/>
      <c r="N60" s="321"/>
      <c r="O60" s="321"/>
      <c r="P60" s="321"/>
      <c r="Q60" s="321"/>
      <c r="R60" s="321"/>
      <c r="S60" s="321"/>
      <c r="T60" s="321"/>
      <c r="U60" s="321">
        <f>$D$60*U59</f>
        <v>0</v>
      </c>
    </row>
    <row r="61" spans="2:21" x14ac:dyDescent="0.25">
      <c r="C61" t="s">
        <v>11</v>
      </c>
      <c r="D61" s="336">
        <f>F42/O47</f>
        <v>8.0654007213694409E-2</v>
      </c>
      <c r="E61" t="s">
        <v>414</v>
      </c>
      <c r="H61" s="321">
        <f>D61*30</f>
        <v>2.4196202164108325</v>
      </c>
    </row>
    <row r="63" spans="2:21" x14ac:dyDescent="0.25">
      <c r="H63" s="321">
        <f>SUM(H60:H61)</f>
        <v>15.485569385029326</v>
      </c>
    </row>
    <row r="66" spans="1:14" ht="21" x14ac:dyDescent="0.35">
      <c r="A66" s="349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436</v>
      </c>
    </row>
    <row r="69" spans="1:14" x14ac:dyDescent="0.25">
      <c r="B69" s="18" t="s">
        <v>443</v>
      </c>
    </row>
    <row r="70" spans="1:14" x14ac:dyDescent="0.25">
      <c r="B70" t="s">
        <v>445</v>
      </c>
    </row>
    <row r="72" spans="1:14" x14ac:dyDescent="0.25">
      <c r="B72" s="285">
        <v>0.26</v>
      </c>
      <c r="C72" t="s">
        <v>437</v>
      </c>
    </row>
    <row r="73" spans="1:14" x14ac:dyDescent="0.25">
      <c r="B73">
        <v>1.5</v>
      </c>
      <c r="C73" t="s">
        <v>440</v>
      </c>
      <c r="H73">
        <v>12.3</v>
      </c>
      <c r="I73" t="s">
        <v>439</v>
      </c>
    </row>
    <row r="74" spans="1:14" x14ac:dyDescent="0.25">
      <c r="B74">
        <v>949570</v>
      </c>
      <c r="C74" t="s">
        <v>438</v>
      </c>
    </row>
    <row r="75" spans="1:14" x14ac:dyDescent="0.25">
      <c r="A75" t="s">
        <v>444</v>
      </c>
    </row>
    <row r="76" spans="1:14" x14ac:dyDescent="0.25">
      <c r="B76">
        <f>B73*B74</f>
        <v>1424355</v>
      </c>
      <c r="C76" t="s">
        <v>597</v>
      </c>
    </row>
    <row r="77" spans="1:14" x14ac:dyDescent="0.25">
      <c r="B77" s="119">
        <f>B76/B72</f>
        <v>5478288.461538461</v>
      </c>
      <c r="C77" t="s">
        <v>442</v>
      </c>
    </row>
    <row r="79" spans="1:14" x14ac:dyDescent="0.25">
      <c r="B79" s="321">
        <f>B77*H73/1000</f>
        <v>67382.948076923072</v>
      </c>
      <c r="C79" t="s">
        <v>441</v>
      </c>
    </row>
    <row r="81" spans="2:3" x14ac:dyDescent="0.25">
      <c r="B81" s="321">
        <f>B79*3.6/1000</f>
        <v>242.57861307692306</v>
      </c>
      <c r="C81" t="s">
        <v>330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345</v>
      </c>
    </row>
    <row r="3" spans="2:9" x14ac:dyDescent="0.25">
      <c r="B3" t="s">
        <v>346</v>
      </c>
    </row>
    <row r="6" spans="2:9" x14ac:dyDescent="0.25">
      <c r="B6" t="s">
        <v>596</v>
      </c>
    </row>
    <row r="7" spans="2:9" x14ac:dyDescent="0.25">
      <c r="B7" t="s">
        <v>347</v>
      </c>
    </row>
    <row r="8" spans="2:9" x14ac:dyDescent="0.25">
      <c r="E8" t="s">
        <v>334</v>
      </c>
    </row>
    <row r="9" spans="2:9" x14ac:dyDescent="0.25">
      <c r="C9" s="18" t="s">
        <v>331</v>
      </c>
    </row>
    <row r="10" spans="2:9" x14ac:dyDescent="0.25">
      <c r="C10" t="s">
        <v>332</v>
      </c>
      <c r="D10">
        <v>1600</v>
      </c>
      <c r="E10" t="s">
        <v>333</v>
      </c>
      <c r="I10" t="s">
        <v>504</v>
      </c>
    </row>
    <row r="11" spans="2:9" x14ac:dyDescent="0.25">
      <c r="C11" t="s">
        <v>335</v>
      </c>
      <c r="D11">
        <v>275</v>
      </c>
      <c r="E11" t="s">
        <v>336</v>
      </c>
      <c r="H11">
        <v>30</v>
      </c>
      <c r="I11">
        <f>H11*D11/1000</f>
        <v>8.25</v>
      </c>
    </row>
    <row r="12" spans="2:9" x14ac:dyDescent="0.25">
      <c r="C12" t="s">
        <v>337</v>
      </c>
      <c r="D12">
        <v>205</v>
      </c>
      <c r="E12" t="s">
        <v>336</v>
      </c>
      <c r="H12">
        <v>24</v>
      </c>
      <c r="I12">
        <f>H12*D12/1000</f>
        <v>4.92</v>
      </c>
    </row>
    <row r="13" spans="2:9" x14ac:dyDescent="0.25">
      <c r="C13" t="s">
        <v>338</v>
      </c>
      <c r="D13">
        <v>1000</v>
      </c>
      <c r="E13" t="s">
        <v>339</v>
      </c>
    </row>
    <row r="15" spans="2:9" x14ac:dyDescent="0.25">
      <c r="C15" s="18" t="s">
        <v>340</v>
      </c>
    </row>
    <row r="16" spans="2:9" x14ac:dyDescent="0.25">
      <c r="C16" t="s">
        <v>341</v>
      </c>
      <c r="D16">
        <v>12000</v>
      </c>
      <c r="E16" t="s">
        <v>342</v>
      </c>
    </row>
    <row r="17" spans="3:5" x14ac:dyDescent="0.25">
      <c r="C17" t="s">
        <v>343</v>
      </c>
      <c r="D17">
        <v>320</v>
      </c>
      <c r="E17" t="s">
        <v>344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1509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210</v>
      </c>
    </row>
    <row r="3" spans="2:10" x14ac:dyDescent="0.25">
      <c r="B3" t="s">
        <v>209</v>
      </c>
    </row>
    <row r="4" spans="2:10" x14ac:dyDescent="0.25">
      <c r="B4" s="132" t="s">
        <v>595</v>
      </c>
    </row>
    <row r="5" spans="2:10" x14ac:dyDescent="0.25">
      <c r="B5" t="s">
        <v>211</v>
      </c>
    </row>
    <row r="6" spans="2:10" x14ac:dyDescent="0.25">
      <c r="J6" t="s">
        <v>217</v>
      </c>
    </row>
    <row r="8" spans="2:10" x14ac:dyDescent="0.25">
      <c r="B8" s="134" t="s">
        <v>213</v>
      </c>
    </row>
    <row r="9" spans="2:10" x14ac:dyDescent="0.25">
      <c r="B9" t="s">
        <v>212</v>
      </c>
    </row>
    <row r="11" spans="2:10" x14ac:dyDescent="0.25">
      <c r="B11" s="133" t="s">
        <v>219</v>
      </c>
    </row>
    <row r="12" spans="2:10" x14ac:dyDescent="0.25">
      <c r="C12" t="s">
        <v>220</v>
      </c>
    </row>
    <row r="13" spans="2:10" x14ac:dyDescent="0.25">
      <c r="C13" t="s">
        <v>218</v>
      </c>
    </row>
    <row r="15" spans="2:10" x14ac:dyDescent="0.25">
      <c r="B15" s="133" t="s">
        <v>221</v>
      </c>
    </row>
    <row r="16" spans="2:10" x14ac:dyDescent="0.25">
      <c r="C16" t="s">
        <v>216</v>
      </c>
    </row>
    <row r="19" spans="2:3" x14ac:dyDescent="0.25">
      <c r="B19" s="134" t="s">
        <v>214</v>
      </c>
    </row>
    <row r="21" spans="2:3" x14ac:dyDescent="0.25">
      <c r="B21" s="119">
        <v>900000</v>
      </c>
      <c r="C21" t="s">
        <v>215</v>
      </c>
    </row>
    <row r="25" spans="2:3" x14ac:dyDescent="0.25">
      <c r="B25" s="18" t="s">
        <v>352</v>
      </c>
    </row>
    <row r="26" spans="2:3" x14ac:dyDescent="0.25">
      <c r="B26">
        <v>1915</v>
      </c>
      <c r="C26" t="s">
        <v>350</v>
      </c>
    </row>
    <row r="27" spans="2:3" x14ac:dyDescent="0.25">
      <c r="B27">
        <v>478</v>
      </c>
      <c r="C27" t="s">
        <v>351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PAMS and scenarios</vt:lpstr>
      <vt:lpstr>HDRI scenarios</vt:lpstr>
      <vt:lpstr>H-DRI literature and calcs</vt:lpstr>
      <vt:lpstr>Summary Hydrogen DRI new</vt:lpstr>
      <vt:lpstr>HDRI-TSData</vt:lpstr>
      <vt:lpstr>HDRI-TIDData</vt:lpstr>
      <vt:lpstr>IS-Items</vt:lpstr>
      <vt:lpstr>IS-TSData</vt:lpstr>
      <vt:lpstr>IS-TIDData</vt:lpstr>
      <vt:lpstr>Iron &amp; Steel</vt:lpstr>
      <vt:lpstr>veda Process def</vt:lpstr>
      <vt:lpstr>I&amp;S SATIM input</vt:lpstr>
      <vt:lpstr>Energy Intensity</vt:lpstr>
      <vt:lpstr>Methodology Cap &amp; Prod</vt:lpstr>
      <vt:lpstr>Coke</vt:lpstr>
      <vt:lpstr>Energy and Emissions</vt:lpstr>
      <vt:lpstr>Scrap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2023-08-29T09:23:05Z</dcterms:modified>
</cp:coreProperties>
</file>