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comments4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5.xml" ContentType="application/vnd.openxmlformats-officedocument.spreadsheetml.comment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8531A969-47C8-47D9-933C-22CB1BECBA15}" xr6:coauthVersionLast="47" xr6:coauthVersionMax="47" xr10:uidLastSave="{00000000-0000-0000-0000-000000000000}"/>
  <bookViews>
    <workbookView xWindow="-120" yWindow="-120" windowWidth="29040" windowHeight="15840" tabRatio="842" activeTab="3" xr2:uid="{00000000-000D-0000-FFFF-FFFF00000000}"/>
  </bookViews>
  <sheets>
    <sheet name="About and Log" sheetId="64" r:id="rId1"/>
    <sheet name="SEC_Comm" sheetId="67" r:id="rId2"/>
    <sheet name="SEC_Processes" sheetId="68" r:id="rId3"/>
    <sheet name="Process Input" sheetId="56" r:id="rId4"/>
    <sheet name="Index" sheetId="60" r:id="rId5"/>
    <sheet name="RES_Cr" sheetId="52" r:id="rId6"/>
    <sheet name="RES_Mn" sheetId="66" r:id="rId7"/>
    <sheet name="EB_Exist" sheetId="27" r:id="rId8"/>
    <sheet name="ANSv2-692-REGIONS" sheetId="18" state="veryHidden" r:id="rId9"/>
    <sheet name="ANSv2-692-Commodities" sheetId="19" state="veryHidden" r:id="rId10"/>
    <sheet name="Commodities_BASE" sheetId="29" r:id="rId11"/>
    <sheet name="ANSv2-692-Processes" sheetId="20" state="veryHidden" r:id="rId12"/>
    <sheet name="ANSv2-692-Constraints" sheetId="23" state="veryHidden" r:id="rId13"/>
    <sheet name="ANSv2-692-CommData" sheetId="21" state="veryHidden" r:id="rId14"/>
    <sheet name="CommData_BASE" sheetId="30" r:id="rId15"/>
    <sheet name="Processes_BASE" sheetId="31" r:id="rId16"/>
    <sheet name="ANSv2-692-ProcData" sheetId="25" state="veryHidden" r:id="rId17"/>
    <sheet name="ProcData_F_Mn_Cr - PAMS" sheetId="61" r:id="rId18"/>
    <sheet name="NetZero work" sheetId="62" r:id="rId19"/>
    <sheet name="Production and Capacity" sheetId="63" r:id="rId20"/>
    <sheet name="RES of chrome industry with EE" sheetId="65" r:id="rId21"/>
    <sheet name="ANSv2-692-ConstrData" sheetId="24" state="veryHidden" r:id="rId22"/>
    <sheet name="ANSv2-692-ITEMS" sheetId="10" state="veryHidden" r:id="rId23"/>
    <sheet name="ANSv2-692-TS DATA" sheetId="12" state="veryHidden" r:id="rId24"/>
    <sheet name="ANSv2-692-TID DATA" sheetId="13" state="veryHidden" r:id="rId25"/>
    <sheet name="ANSv2-692-TS&amp;TID DATA" sheetId="14" state="veryHidden" r:id="rId26"/>
    <sheet name="ANSv2-692-TS TRADE" sheetId="15" state="veryHidden" r:id="rId27"/>
    <sheet name="ANSv2-692-TID TRADE" sheetId="16" state="veryHidden" r:id="rId28"/>
    <sheet name="ANSv2-692-TS&amp;TID TRADE" sheetId="17" state="veryHidden" r:id="rId29"/>
  </sheets>
  <definedNames>
    <definedName name="FA_PAMS_index">Index!$J$5</definedName>
    <definedName name="FID_1">#REF!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30" l="1"/>
  <c r="E19" i="30"/>
  <c r="C20" i="30"/>
  <c r="C19" i="30"/>
  <c r="M7" i="56" l="1"/>
  <c r="B8" i="56"/>
  <c r="C8" i="56"/>
  <c r="Q26" i="56" l="1"/>
  <c r="P26" i="56"/>
  <c r="H26" i="56"/>
  <c r="C13" i="31"/>
  <c r="B13" i="31"/>
  <c r="B27" i="27"/>
  <c r="A21" i="27"/>
  <c r="A8" i="27"/>
  <c r="R25" i="56"/>
  <c r="R24" i="56"/>
  <c r="R23" i="56"/>
  <c r="R29" i="56"/>
  <c r="C32" i="56" l="1"/>
  <c r="B32" i="56"/>
  <c r="C27" i="56"/>
  <c r="B27" i="56"/>
  <c r="F31" i="56"/>
  <c r="E30" i="56"/>
  <c r="E29" i="56"/>
  <c r="E28" i="56"/>
  <c r="E27" i="56"/>
  <c r="F26" i="56"/>
  <c r="E25" i="56"/>
  <c r="E24" i="56"/>
  <c r="E23" i="56"/>
  <c r="C15" i="31"/>
  <c r="B15" i="31"/>
  <c r="C14" i="31"/>
  <c r="B14" i="31"/>
  <c r="C8" i="30"/>
  <c r="B8" i="30"/>
  <c r="I24" i="27"/>
  <c r="H24" i="27"/>
  <c r="I21" i="27"/>
  <c r="H21" i="27"/>
  <c r="B25" i="27"/>
  <c r="A25" i="27"/>
  <c r="B24" i="27"/>
  <c r="A24" i="27"/>
  <c r="B23" i="27"/>
  <c r="A23" i="27"/>
  <c r="D21" i="27"/>
  <c r="C21" i="27"/>
  <c r="B21" i="27"/>
  <c r="J10" i="61"/>
  <c r="C10" i="29"/>
  <c r="B10" i="29"/>
  <c r="E8" i="30"/>
  <c r="F85" i="62"/>
  <c r="F87" i="62" s="1"/>
  <c r="E10" i="61"/>
  <c r="E9" i="61"/>
  <c r="D10" i="61"/>
  <c r="F86" i="62" l="1"/>
  <c r="D23" i="56"/>
  <c r="R32" i="56"/>
  <c r="R28" i="56"/>
  <c r="I26" i="56"/>
  <c r="Q31" i="56"/>
  <c r="Q36" i="56" s="1"/>
  <c r="D27" i="56"/>
  <c r="D32" i="56" s="1"/>
  <c r="E32" i="56"/>
  <c r="E33" i="56"/>
  <c r="E34" i="56"/>
  <c r="R34" i="56"/>
  <c r="E35" i="56"/>
  <c r="F36" i="56"/>
  <c r="M31" i="56"/>
  <c r="M36" i="56"/>
  <c r="B23" i="56"/>
  <c r="B10" i="61" s="1"/>
  <c r="C23" i="56"/>
  <c r="C10" i="61" s="1"/>
  <c r="F10" i="61"/>
  <c r="C16" i="29"/>
  <c r="B16" i="29"/>
  <c r="B15" i="29"/>
  <c r="R33" i="56" l="1"/>
  <c r="R35" i="56"/>
  <c r="R27" i="56"/>
  <c r="R30" i="56" s="1"/>
  <c r="C26" i="27" l="1"/>
  <c r="C27" i="27" s="1"/>
  <c r="D26" i="27"/>
  <c r="D27" i="27" s="1"/>
  <c r="K21" i="27"/>
  <c r="F22" i="27"/>
  <c r="AB22" i="27"/>
  <c r="I23" i="27"/>
  <c r="I25" i="27" s="1"/>
  <c r="AD25" i="27"/>
  <c r="A26" i="27"/>
  <c r="P5" i="56" s="1"/>
  <c r="P7" i="56" s="1"/>
  <c r="B26" i="27"/>
  <c r="AD26" i="27"/>
  <c r="AD27" i="27" s="1"/>
  <c r="AD28" i="27"/>
  <c r="AD29" i="27"/>
  <c r="AD33" i="27"/>
  <c r="AD34" i="27" s="1"/>
  <c r="AD35" i="27" s="1"/>
  <c r="AD36" i="27" s="1"/>
  <c r="T34" i="27"/>
  <c r="Q34" i="27" s="1"/>
  <c r="Q35" i="27"/>
  <c r="O36" i="27"/>
  <c r="U50" i="27"/>
  <c r="K25" i="27" s="1"/>
  <c r="H10" i="61" s="1"/>
  <c r="V50" i="27"/>
  <c r="W50" i="27" s="1"/>
  <c r="W52" i="27" s="1"/>
  <c r="U52" i="27"/>
  <c r="K23" i="27" s="1"/>
  <c r="U55" i="27"/>
  <c r="I10" i="61" l="1"/>
  <c r="K24" i="27"/>
  <c r="H23" i="27"/>
  <c r="H25" i="27" s="1"/>
  <c r="K22" i="27"/>
  <c r="Q36" i="27"/>
  <c r="D39" i="63" l="1"/>
  <c r="D38" i="63"/>
  <c r="D37" i="63"/>
  <c r="J18" i="63"/>
  <c r="I18" i="63"/>
  <c r="H18" i="63"/>
  <c r="G18" i="63"/>
  <c r="F18" i="63"/>
  <c r="E18" i="63"/>
  <c r="J17" i="63"/>
  <c r="I17" i="63"/>
  <c r="H17" i="63"/>
  <c r="G17" i="63"/>
  <c r="F17" i="63"/>
  <c r="E17" i="63"/>
  <c r="J16" i="63"/>
  <c r="J19" i="63" s="1"/>
  <c r="I16" i="63"/>
  <c r="I19" i="63" s="1"/>
  <c r="H16" i="63"/>
  <c r="H19" i="63" s="1"/>
  <c r="G16" i="63"/>
  <c r="G19" i="63" s="1"/>
  <c r="F16" i="63"/>
  <c r="F19" i="63" s="1"/>
  <c r="E16" i="63"/>
  <c r="Q155" i="62"/>
  <c r="Q156" i="62" s="1"/>
  <c r="S148" i="62"/>
  <c r="Q145" i="62" s="1"/>
  <c r="Q144" i="62"/>
  <c r="Q143" i="62"/>
  <c r="N140" i="62"/>
  <c r="N139" i="62"/>
  <c r="J103" i="62"/>
  <c r="D77" i="62"/>
  <c r="D88" i="62" s="1"/>
  <c r="D76" i="62"/>
  <c r="D87" i="62" s="1"/>
  <c r="I75" i="62"/>
  <c r="D75" i="62"/>
  <c r="D86" i="62" s="1"/>
  <c r="D74" i="62"/>
  <c r="D85" i="62" s="1"/>
  <c r="D73" i="62"/>
  <c r="D84" i="62" s="1"/>
  <c r="D72" i="62"/>
  <c r="D83" i="62" s="1"/>
  <c r="H71" i="62"/>
  <c r="H78" i="62" s="1"/>
  <c r="D71" i="62"/>
  <c r="D82" i="62" s="1"/>
  <c r="G54" i="62"/>
  <c r="F33" i="62" s="1"/>
  <c r="L52" i="62"/>
  <c r="G69" i="62" s="1"/>
  <c r="K52" i="62"/>
  <c r="G68" i="62" s="1"/>
  <c r="H68" i="62" s="1"/>
  <c r="J52" i="62"/>
  <c r="G67" i="62" s="1"/>
  <c r="H67" i="62" s="1"/>
  <c r="I52" i="62"/>
  <c r="G66" i="62" s="1"/>
  <c r="H66" i="62" s="1"/>
  <c r="H52" i="62"/>
  <c r="G52" i="62"/>
  <c r="G33" i="62" s="1"/>
  <c r="K50" i="62"/>
  <c r="F68" i="62" s="1"/>
  <c r="J50" i="62"/>
  <c r="F67" i="62" s="1"/>
  <c r="I50" i="62"/>
  <c r="F66" i="62" s="1"/>
  <c r="H50" i="62"/>
  <c r="G50" i="62"/>
  <c r="F64" i="62" s="1"/>
  <c r="H35" i="62"/>
  <c r="D35" i="62" s="1"/>
  <c r="F32" i="62"/>
  <c r="H30" i="62"/>
  <c r="F77" i="62" s="1"/>
  <c r="I29" i="62"/>
  <c r="F76" i="62" s="1"/>
  <c r="H27" i="62"/>
  <c r="F75" i="62" s="1"/>
  <c r="P25" i="62"/>
  <c r="H137" i="62" s="1"/>
  <c r="K137" i="62" s="1"/>
  <c r="H24" i="62"/>
  <c r="F74" i="62" s="1"/>
  <c r="H23" i="62"/>
  <c r="F73" i="62" s="1"/>
  <c r="H21" i="62"/>
  <c r="F72" i="62" s="1"/>
  <c r="G21" i="62"/>
  <c r="G72" i="62" s="1"/>
  <c r="G20" i="62"/>
  <c r="G71" i="62" s="1"/>
  <c r="E19" i="63" l="1"/>
  <c r="D40" i="63"/>
  <c r="F39" i="63" s="1"/>
  <c r="G64" i="62"/>
  <c r="F78" i="62"/>
  <c r="H33" i="62"/>
  <c r="H90" i="62"/>
  <c r="H95" i="62" s="1"/>
  <c r="H32" i="62"/>
  <c r="F34" i="62"/>
  <c r="H145" i="62"/>
  <c r="L50" i="62"/>
  <c r="F69" i="62" s="1"/>
  <c r="F70" i="62" s="1"/>
  <c r="G78" i="62"/>
  <c r="G90" i="62"/>
  <c r="N137" i="62"/>
  <c r="H69" i="62"/>
  <c r="H144" i="62"/>
  <c r="I33" i="62"/>
  <c r="D138" i="62"/>
  <c r="G70" i="62"/>
  <c r="G32" i="62"/>
  <c r="H64" i="62"/>
  <c r="I32" i="62"/>
  <c r="M11" i="60"/>
  <c r="E10" i="60"/>
  <c r="I4" i="61"/>
  <c r="J4" i="61" s="1"/>
  <c r="H5" i="61"/>
  <c r="I5" i="61" s="1"/>
  <c r="J5" i="61" s="1"/>
  <c r="D9" i="61"/>
  <c r="A8" i="61"/>
  <c r="A2" i="61"/>
  <c r="D10" i="60" s="1"/>
  <c r="B1" i="61"/>
  <c r="F38" i="63" l="1"/>
  <c r="F37" i="63"/>
  <c r="H113" i="62"/>
  <c r="H34" i="62"/>
  <c r="H94" i="62"/>
  <c r="H93" i="62"/>
  <c r="F79" i="62"/>
  <c r="D136" i="62" s="1"/>
  <c r="F138" i="62" s="1"/>
  <c r="H114" i="62"/>
  <c r="D32" i="62"/>
  <c r="I34" i="62"/>
  <c r="F90" i="62"/>
  <c r="F114" i="62" s="1"/>
  <c r="J114" i="62" s="1"/>
  <c r="G114" i="62"/>
  <c r="G92" i="62"/>
  <c r="G94" i="62"/>
  <c r="G113" i="62"/>
  <c r="G96" i="62"/>
  <c r="G93" i="62"/>
  <c r="G95" i="62"/>
  <c r="H96" i="62"/>
  <c r="G34" i="62"/>
  <c r="H143" i="62"/>
  <c r="H146" i="62" s="1"/>
  <c r="H142" i="62"/>
  <c r="J142" i="62" s="1"/>
  <c r="H92" i="62"/>
  <c r="H70" i="62"/>
  <c r="K8" i="27"/>
  <c r="K7" i="27"/>
  <c r="K6" i="27"/>
  <c r="D34" i="62" l="1"/>
  <c r="D36" i="62" s="1"/>
  <c r="D39" i="62"/>
  <c r="F93" i="62"/>
  <c r="J93" i="62" s="1"/>
  <c r="F95" i="62"/>
  <c r="J95" i="62" s="1"/>
  <c r="F113" i="62"/>
  <c r="J113" i="62" s="1"/>
  <c r="F94" i="62"/>
  <c r="J94" i="62" s="1"/>
  <c r="F96" i="62"/>
  <c r="J96" i="62" s="1"/>
  <c r="F92" i="62"/>
  <c r="J92" i="62" s="1"/>
  <c r="D110" i="62" s="1"/>
  <c r="J90" i="62"/>
  <c r="D109" i="62" s="1"/>
  <c r="J145" i="62"/>
  <c r="J144" i="62"/>
  <c r="J143" i="62"/>
  <c r="H148" i="62"/>
  <c r="K5" i="27"/>
  <c r="F5" i="27"/>
  <c r="R11" i="56" s="1"/>
  <c r="H9" i="61" s="1"/>
  <c r="I9" i="61" s="1"/>
  <c r="J9" i="61" s="1"/>
  <c r="D38" i="62" l="1"/>
  <c r="J146" i="62"/>
  <c r="F100" i="62"/>
  <c r="D143" i="62" s="1"/>
  <c r="J101" i="62"/>
  <c r="F101" i="62" s="1"/>
  <c r="F106" i="62" s="1"/>
  <c r="F99" i="62"/>
  <c r="D142" i="62" s="1"/>
  <c r="L90" i="62"/>
  <c r="D111" i="62"/>
  <c r="R9" i="56"/>
  <c r="R10" i="56"/>
  <c r="J148" i="62"/>
  <c r="E9" i="30"/>
  <c r="H12" i="56"/>
  <c r="I12" i="56" s="1"/>
  <c r="F105" i="62" l="1"/>
  <c r="D144" i="62"/>
  <c r="D146" i="62" s="1"/>
  <c r="F104" i="62"/>
  <c r="Q12" i="56"/>
  <c r="O12" i="56"/>
  <c r="K4" i="27"/>
  <c r="C13" i="56"/>
  <c r="C18" i="56"/>
  <c r="B18" i="56" l="1"/>
  <c r="M22" i="56"/>
  <c r="M17" i="56"/>
  <c r="E14" i="56"/>
  <c r="E19" i="56" s="1"/>
  <c r="E13" i="56"/>
  <c r="E18" i="56" s="1"/>
  <c r="Q17" i="56"/>
  <c r="Q22" i="56" s="1"/>
  <c r="E9" i="56"/>
  <c r="E10" i="56"/>
  <c r="E11" i="56"/>
  <c r="C12" i="31"/>
  <c r="B12" i="31"/>
  <c r="C9" i="30"/>
  <c r="B9" i="30"/>
  <c r="C11" i="29"/>
  <c r="B11" i="29"/>
  <c r="B6" i="27"/>
  <c r="A6" i="27"/>
  <c r="A7" i="27"/>
  <c r="B8" i="27"/>
  <c r="AD11" i="27" l="1"/>
  <c r="AD12" i="27" s="1"/>
  <c r="AD8" i="27"/>
  <c r="AD16" i="27"/>
  <c r="AD17" i="27" s="1"/>
  <c r="AD18" i="27" s="1"/>
  <c r="Q5" i="56"/>
  <c r="Q7" i="56" s="1"/>
  <c r="O5" i="56"/>
  <c r="O7" i="56" s="1"/>
  <c r="B10" i="27"/>
  <c r="B9" i="27"/>
  <c r="AD9" i="27"/>
  <c r="AD10" i="27" l="1"/>
  <c r="E16" i="56"/>
  <c r="E15" i="56"/>
  <c r="E20" i="56" s="1"/>
  <c r="D13" i="56"/>
  <c r="D18" i="56" s="1"/>
  <c r="B13" i="56"/>
  <c r="E21" i="56" l="1"/>
  <c r="C11" i="31"/>
  <c r="B11" i="31"/>
  <c r="B7" i="27"/>
  <c r="I4" i="27"/>
  <c r="H4" i="27"/>
  <c r="AB5" i="27"/>
  <c r="C15" i="29" l="1"/>
  <c r="C14" i="29"/>
  <c r="C13" i="29"/>
  <c r="C12" i="29"/>
  <c r="B14" i="29"/>
  <c r="F8" i="56" s="1"/>
  <c r="B13" i="29"/>
  <c r="E8" i="60" l="1"/>
  <c r="E9" i="60"/>
  <c r="E11" i="60"/>
  <c r="D11" i="60"/>
  <c r="A2" i="31"/>
  <c r="D9" i="60" s="1"/>
  <c r="A2" i="30"/>
  <c r="D8" i="60" s="1"/>
  <c r="A2" i="29"/>
  <c r="E7" i="60"/>
  <c r="D7" i="60" l="1"/>
  <c r="A1" i="61" s="1"/>
  <c r="A1" i="29" l="1"/>
  <c r="A1" i="30"/>
  <c r="A1" i="31"/>
  <c r="F17" i="56" l="1"/>
  <c r="F22" i="56" s="1"/>
  <c r="F12" i="56"/>
  <c r="F9" i="61" s="1"/>
  <c r="D9" i="56"/>
  <c r="I7" i="27"/>
  <c r="H7" i="27"/>
  <c r="B4" i="27"/>
  <c r="A4" i="27"/>
  <c r="C4" i="27"/>
  <c r="C9" i="27" s="1"/>
  <c r="C10" i="27" s="1"/>
  <c r="B10" i="31" l="1"/>
  <c r="H6" i="27"/>
  <c r="H8" i="27" s="1"/>
  <c r="D4" i="27"/>
  <c r="D9" i="27" s="1"/>
  <c r="D10" i="27" s="1"/>
  <c r="B9" i="56" l="1"/>
  <c r="B9" i="61"/>
  <c r="C10" i="31"/>
  <c r="I6" i="27"/>
  <c r="I8" i="27" s="1"/>
  <c r="C9" i="56" l="1"/>
  <c r="C9" i="61"/>
  <c r="B1" i="31"/>
  <c r="B1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8" authorId="0" shapeId="0" xr:uid="{66E9DA4F-6A8C-4E85-8CED-0FCEE4D6D57F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 xr:uid="{330ADEEA-26CD-4639-A280-010A937E35F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 xr:uid="{4383C39F-0595-4866-8DBC-A118DD01D69F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 xr:uid="{14AB6144-3DE7-4C94-A724-08F7DD0D18AA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 xr:uid="{BF941D7F-24DB-480C-91D4-C9EAFACA4219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7" authorId="0" shapeId="0" xr:uid="{43719CE7-E11C-4DC3-8354-731BF494CD7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5395BA03-EDD4-4DB1-A950-16D9B4CBDA34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 xr:uid="{73E4676E-31BF-44EC-B5CC-4945B5C206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 xr:uid="{18621C9D-9576-458F-A867-301107AA37E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DAB1004E-8755-4FCC-9D68-AC552E841706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<sst xmlns="http://schemas.openxmlformats.org/spreadsheetml/2006/main" count="1091" uniqueCount="602">
  <si>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</si>
  <si>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</si>
  <si>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</si>
  <si>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</si>
  <si>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</si>
  <si>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</si>
  <si>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</si>
  <si>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</si>
  <si>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</si>
  <si>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</si>
  <si>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</si>
  <si>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</si>
  <si>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</si>
  <si>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</si>
  <si>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</si>
  <si>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</si>
  <si>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</si>
  <si>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</si>
  <si>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</si>
  <si>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</si>
  <si>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</si>
  <si>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</si>
  <si>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</si>
  <si>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</si>
  <si>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</si>
  <si>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</si>
  <si>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</si>
  <si>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</si>
  <si>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</si>
  <si>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</si>
  <si>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</si>
  <si>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</si>
  <si>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</si>
  <si>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</si>
  <si>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</si>
  <si>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</si>
  <si>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</si>
  <si>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</si>
  <si>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</si>
  <si>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</si>
  <si>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</si>
  <si>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</si>
  <si>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</si>
  <si>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</si>
  <si>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</si>
  <si>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</si>
  <si>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</si>
  <si>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</si>
  <si>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</si>
  <si>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</si>
  <si>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</si>
  <si>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</si>
  <si>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</si>
  <si>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</si>
  <si>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</si>
  <si>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</si>
  <si>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</si>
  <si>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</si>
  <si>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</si>
  <si>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</si>
  <si>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</si>
  <si>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</si>
  <si>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</si>
  <si>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</si>
  <si>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</si>
  <si>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</si>
  <si>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</si>
  <si>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</si>
  <si>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</si>
  <si>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</si>
  <si>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</si>
  <si>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</si>
  <si>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</si>
  <si>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</si>
  <si>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</si>
  <si>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</si>
  <si>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</si>
  <si>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</si>
  <si>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</si>
  <si>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</si>
  <si>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</si>
  <si>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</si>
  <si>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</si>
  <si>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</si>
  <si>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</si>
  <si>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</si>
  <si>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</si>
  <si>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</si>
  <si>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</si>
  <si>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</si>
  <si>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</si>
  <si>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</si>
  <si>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</si>
  <si>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</si>
  <si>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</si>
  <si>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</si>
  <si>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</si>
  <si>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</si>
  <si>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</si>
  <si>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</si>
  <si>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</si>
  <si>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</si>
  <si>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</si>
  <si>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</si>
  <si>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</si>
  <si>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</si>
  <si>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</si>
  <si>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</si>
  <si>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</si>
  <si>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</si>
  <si>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</si>
  <si>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</si>
  <si>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</si>
  <si>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</si>
  <si>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* Sectoral commodities</t>
  </si>
  <si>
    <t>* Emissions</t>
  </si>
  <si>
    <t>PJ</t>
  </si>
  <si>
    <t>%</t>
  </si>
  <si>
    <t>COM,NRG,DAYNITE,ELC</t>
  </si>
  <si>
    <t>COM,NRG,ANNUAL,FOSSIL</t>
  </si>
  <si>
    <t>KT</t>
  </si>
  <si>
    <t>COM,ENV,ANNUAL,GHG</t>
  </si>
  <si>
    <t>PJ,PJa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</si>
  <si>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</si>
  <si>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</si>
  <si>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</si>
  <si>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</si>
  <si>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</si>
  <si>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</si>
  <si>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</si>
  <si>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PRC,PRE,ANNUAL</t>
  </si>
  <si>
    <t>mt</t>
  </si>
  <si>
    <t>COM_PROJ</t>
  </si>
  <si>
    <t>PRC,DMD,ANNUAL</t>
  </si>
  <si>
    <t>Producers</t>
  </si>
  <si>
    <t>Tech description</t>
  </si>
  <si>
    <t>Consumers</t>
  </si>
  <si>
    <t>unit</t>
  </si>
  <si>
    <t>value</t>
  </si>
  <si>
    <t>kton</t>
  </si>
  <si>
    <t>Source</t>
  </si>
  <si>
    <t>Commodity Code</t>
  </si>
  <si>
    <t>Tech Code</t>
  </si>
  <si>
    <t>Coal</t>
  </si>
  <si>
    <t>* Conversion technologies</t>
  </si>
  <si>
    <t>PRC_ACTFLO</t>
  </si>
  <si>
    <t>Existing Capacity</t>
  </si>
  <si>
    <t>Relationship between main activity flow and other flows</t>
  </si>
  <si>
    <t>Main activity efficiency</t>
  </si>
  <si>
    <t>PRC_RESID</t>
  </si>
  <si>
    <t>Fixed Cost</t>
  </si>
  <si>
    <t>NCAP_FOM</t>
  </si>
  <si>
    <t>Scenario to Import</t>
  </si>
  <si>
    <t>Scenarios</t>
  </si>
  <si>
    <t>BASE</t>
  </si>
  <si>
    <t>Import?</t>
  </si>
  <si>
    <t>Sheets</t>
  </si>
  <si>
    <t>Base Model</t>
  </si>
  <si>
    <t>GJ/ton</t>
  </si>
  <si>
    <t>CV (MJ/kg)</t>
  </si>
  <si>
    <t>LHV</t>
  </si>
  <si>
    <t>2017 Energy/Commodity Balance</t>
  </si>
  <si>
    <t>Exports/Links/Demands</t>
  </si>
  <si>
    <t>Feedstock</t>
  </si>
  <si>
    <t>Process</t>
  </si>
  <si>
    <r>
      <t>Net primary energy consumption [GJ/t NH</t>
    </r>
    <r>
      <rPr>
        <b/>
        <vertAlign val="subscript"/>
        <sz val="8"/>
        <color rgb="FFFFFFFF"/>
        <rFont val="Arial"/>
        <family val="2"/>
      </rPr>
      <t>3</t>
    </r>
    <r>
      <rPr>
        <b/>
        <sz val="8"/>
        <color rgb="FFFFFFFF"/>
        <rFont val="Arial"/>
        <family val="2"/>
      </rPr>
      <t xml:space="preserve"> (LHV)]</t>
    </r>
  </si>
  <si>
    <t>Natural gas</t>
  </si>
  <si>
    <t>Steam reforming</t>
  </si>
  <si>
    <t>Heavy hydrocarbon</t>
  </si>
  <si>
    <t>Partial oxidation</t>
  </si>
  <si>
    <t>Gas turbine required</t>
  </si>
  <si>
    <t>Electricity from H2 Plant</t>
  </si>
  <si>
    <t>Energy requirement</t>
  </si>
  <si>
    <t>kWh/tonne NH3</t>
  </si>
  <si>
    <t>Electricity production LHV efficiency</t>
  </si>
  <si>
    <r>
      <t>Equivalent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</t>
    </r>
  </si>
  <si>
    <t>Kg/tonne NH3</t>
  </si>
  <si>
    <r>
      <t>Total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 per tonne NH</t>
    </r>
    <r>
      <rPr>
        <vertAlign val="subscript"/>
        <sz val="8"/>
        <rFont val="Roboto Light"/>
      </rPr>
      <t>3</t>
    </r>
  </si>
  <si>
    <t>Per tonne NH3</t>
  </si>
  <si>
    <t>LHV efficiency</t>
  </si>
  <si>
    <t>Source JRC 2007</t>
  </si>
  <si>
    <t xml:space="preserve">Bartels and Pate, 2008 </t>
  </si>
  <si>
    <t>CV NH3</t>
  </si>
  <si>
    <t>LHV MJ/kg</t>
  </si>
  <si>
    <t>CV H2</t>
  </si>
  <si>
    <t>kWh/t</t>
  </si>
  <si>
    <t>CH4S</t>
  </si>
  <si>
    <t>CH4S South Africa</t>
  </si>
  <si>
    <t>Hydrogen per unit of ammonia</t>
  </si>
  <si>
    <t>ton H2/ton NH3</t>
  </si>
  <si>
    <t>GJ H2/ton NH3</t>
  </si>
  <si>
    <t>GJ H2/GJ NH3</t>
  </si>
  <si>
    <t>Investment Cost</t>
  </si>
  <si>
    <t>NCAP_COST</t>
  </si>
  <si>
    <t>Emission factor</t>
  </si>
  <si>
    <t>FLO_EMIS-O</t>
  </si>
  <si>
    <t>COM,DEM,ANNUAL,RES</t>
  </si>
  <si>
    <t>With Gas turbine</t>
  </si>
  <si>
    <t>Without Gas turbine</t>
  </si>
  <si>
    <t>Eff</t>
  </si>
  <si>
    <t>GJ elc/GJ NH3</t>
  </si>
  <si>
    <t>GJ elc/ton NH3</t>
  </si>
  <si>
    <t>IFAELC</t>
  </si>
  <si>
    <t>Industry-FA-Electricity</t>
  </si>
  <si>
    <t>IISCKE</t>
  </si>
  <si>
    <t>Industry - Iron and Steel - Coke</t>
  </si>
  <si>
    <t>IISCOA</t>
  </si>
  <si>
    <t>Industry - Iron and Steel - Coal</t>
  </si>
  <si>
    <t>Industry Biochar</t>
  </si>
  <si>
    <t>(existing)</t>
  </si>
  <si>
    <t>Industry - Ferro Alloy Metals production</t>
  </si>
  <si>
    <t>XINDBIO</t>
  </si>
  <si>
    <t>BIO</t>
  </si>
  <si>
    <t>FerroChrome existing</t>
  </si>
  <si>
    <t>FerrChrome New</t>
  </si>
  <si>
    <t>IFCEAF-N</t>
  </si>
  <si>
    <t>IFCEAF-E</t>
  </si>
  <si>
    <t>IFCEAFB-N</t>
  </si>
  <si>
    <t>FerroChrome with biomass</t>
  </si>
  <si>
    <t>NCAP_START</t>
  </si>
  <si>
    <t>IFACR</t>
  </si>
  <si>
    <t>Electricity</t>
  </si>
  <si>
    <t>GWh</t>
  </si>
  <si>
    <t>Coal+Anthracite</t>
  </si>
  <si>
    <t>Coke+char</t>
  </si>
  <si>
    <t>EB:</t>
  </si>
  <si>
    <t>Capacity</t>
  </si>
  <si>
    <t>2017 produciton</t>
  </si>
  <si>
    <t>CO2SPIFC</t>
  </si>
  <si>
    <t>Process Emissions FerroChrome South Africa</t>
  </si>
  <si>
    <t>PAMS</t>
  </si>
  <si>
    <t>Active:</t>
  </si>
  <si>
    <t>Level</t>
  </si>
  <si>
    <t>High</t>
  </si>
  <si>
    <t>Low</t>
  </si>
  <si>
    <t>description like in TCH_IND</t>
  </si>
  <si>
    <t>by 2030</t>
  </si>
  <si>
    <t>to elec only</t>
  </si>
  <si>
    <t>Reubens thesis</t>
  </si>
  <si>
    <t>Furnace route</t>
  </si>
  <si>
    <t>Characteristics</t>
  </si>
  <si>
    <r>
      <t>Open or semi-</t>
    </r>
    <r>
      <rPr>
        <b/>
        <sz val="11"/>
        <color rgb="FF000000"/>
        <rFont val="Times New Roman"/>
        <family val="1"/>
      </rPr>
      <t xml:space="preserve"> open submerged AC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</si>
  <si>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000000"/>
        <rFont val="Times New Roman"/>
        <family val="1"/>
      </rPr>
      <t>&lt;30 MVA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</si>
  <si>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000000"/>
        <rFont val="Times New Roman"/>
        <family val="1"/>
      </rPr>
      <t>70-75% Cr recovery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</si>
  <si>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000000"/>
        <rFont val="Times New Roman"/>
        <family val="1"/>
      </rPr>
      <t>4300 kWh/t</t>
    </r>
  </si>
  <si>
    <t>low cost</t>
  </si>
  <si>
    <t>Closed submerged arc AC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</si>
  <si>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&gt;135 MVA</t>
    </r>
  </si>
  <si>
    <t>CO recovery option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</si>
  <si>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83-87% Cr recovery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</si>
  <si>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3200 kWh/t</t>
    </r>
  </si>
  <si>
    <t>Prereduction preceding closed submerged arc AC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</si>
  <si>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60 MVA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</si>
  <si>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88-92% Cr recovery</t>
    </r>
  </si>
  <si>
    <t>High capital cost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</si>
  <si>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2400 kWh/t (Electrical energy only)</t>
    </r>
  </si>
  <si>
    <t>low coke consumption</t>
  </si>
  <si>
    <t>Open DC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</si>
  <si>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4300 kWh/t</t>
    </r>
  </si>
  <si>
    <t>Reuben's thesis</t>
  </si>
  <si>
    <t>Lion project:</t>
  </si>
  <si>
    <t>Company</t>
  </si>
  <si>
    <t>Production capacity (kt/year)</t>
  </si>
  <si>
    <t>Premus (lion)</t>
  </si>
  <si>
    <t>Outukumpu</t>
  </si>
  <si>
    <t>Conv. Closed</t>
  </si>
  <si>
    <t>Semi-closed</t>
  </si>
  <si>
    <t>Cogen?</t>
  </si>
  <si>
    <t>Prereduce</t>
  </si>
  <si>
    <t>https://www.engineeringnews.co.za/print-version/lion-ferrochrome-smelter-eastern-chrome-mines-restart-merafe-2020-05-08</t>
  </si>
  <si>
    <r>
      <t xml:space="preserve">Glencore Merafe </t>
    </r>
    <r>
      <rPr>
        <sz val="11"/>
        <color rgb="FF000000"/>
        <rFont val="Times New Roman"/>
        <family val="1"/>
      </rPr>
      <t>(Xstrata)</t>
    </r>
  </si>
  <si>
    <t>assume rest os Outukumpu</t>
  </si>
  <si>
    <t>no</t>
  </si>
  <si>
    <t>Samancor Chrome Limited</t>
  </si>
  <si>
    <t>Assume all closed + outukumpu. Henric assumed to be conventional</t>
  </si>
  <si>
    <t>(Samancor)</t>
  </si>
  <si>
    <t>billion ZAR for lion II</t>
  </si>
  <si>
    <t>Tata KZN</t>
  </si>
  <si>
    <t>assume</t>
  </si>
  <si>
    <t>Appear to be offline</t>
  </si>
  <si>
    <t>Mt Capacity of lion II</t>
  </si>
  <si>
    <t>Mt of lion I</t>
  </si>
  <si>
    <t>Includes Mogale alloys processing plant</t>
  </si>
  <si>
    <t>bn ZAR/Mt</t>
  </si>
  <si>
    <t>Hernic Ferrochrome</t>
  </si>
  <si>
    <t>Now owned by Samancor</t>
  </si>
  <si>
    <t>International Ferro Metals</t>
  </si>
  <si>
    <t>MW</t>
  </si>
  <si>
    <t>http://www.ifml.com/operations/project-development.html</t>
  </si>
  <si>
    <t>.</t>
  </si>
  <si>
    <t>(IFML)</t>
  </si>
  <si>
    <t>ASA Metals (Newco)</t>
  </si>
  <si>
    <t>https://www.miningweekly.com/print-version/asa-metals-builds-on-quality-2005-03-25</t>
  </si>
  <si>
    <t>Assmang Chrome</t>
  </si>
  <si>
    <t>https://www.miningweekly.com/article/technology-slashes-power-use-at-glencores-huge-s-african-chrome-smelter-2014-11-05/rep_id:3650</t>
  </si>
  <si>
    <t>Total South African capacity</t>
  </si>
  <si>
    <t>total capacity</t>
  </si>
  <si>
    <t>Mt</t>
  </si>
  <si>
    <t>Lion is preheat, prereduce and CO recovery (for drying and preheating)</t>
  </si>
  <si>
    <t>technology intensity</t>
  </si>
  <si>
    <t xml:space="preserve">MWh/tonne </t>
  </si>
  <si>
    <t>total elec:</t>
  </si>
  <si>
    <t>total gen:</t>
  </si>
  <si>
    <t>furnces total for company Glencore</t>
  </si>
  <si>
    <t>total net</t>
  </si>
  <si>
    <t>a mix of Semi-open furnaces some with Otukumpu pelletiser tech</t>
  </si>
  <si>
    <t>kWh/t avg - SA</t>
  </si>
  <si>
    <t>Close furnaces at Boshoek, uses outukumpu</t>
  </si>
  <si>
    <t>kWh/t avg - Glencore</t>
  </si>
  <si>
    <t>Lion furnaces (not clear if Lion II included) - using premus</t>
  </si>
  <si>
    <t>https://docplayer.net/86507326-Production-technologies-of-crm-from-primary.html</t>
  </si>
  <si>
    <t xml:space="preserve">Chapter 7 </t>
  </si>
  <si>
    <t>Conventional (AF)</t>
  </si>
  <si>
    <t>Energy and reductants characterisitics</t>
  </si>
  <si>
    <t>Reductants (source: Gegiba and Russ) - tonnes</t>
  </si>
  <si>
    <t>DC</t>
  </si>
  <si>
    <t>total</t>
  </si>
  <si>
    <t>Coke</t>
  </si>
  <si>
    <t>Char</t>
  </si>
  <si>
    <t>Anthracite</t>
  </si>
  <si>
    <t>no coke</t>
  </si>
  <si>
    <t>Conventional</t>
  </si>
  <si>
    <t>Pelletise, sinter, preheat</t>
  </si>
  <si>
    <t>Premus</t>
  </si>
  <si>
    <t>Recover CO gas for preheating</t>
  </si>
  <si>
    <t>"Premus was to reduce use of coke (high cost)" - Naiker 2006 Xstrata alloys profile</t>
  </si>
  <si>
    <t>"overall cant reduce reductants, just the type" - reuben thesis</t>
  </si>
  <si>
    <t>Sinter, pre-reduce, smelt</t>
  </si>
  <si>
    <t>CO gas + Coal for pre-reduce</t>
  </si>
  <si>
    <t>to report</t>
  </si>
  <si>
    <t>Conventional closed</t>
  </si>
  <si>
    <t>Onsite Elec gen. (MW)</t>
  </si>
  <si>
    <t>Notes</t>
  </si>
  <si>
    <t>Energy</t>
  </si>
  <si>
    <t>Electricity kWh/t FeCr</t>
  </si>
  <si>
    <t>references:</t>
  </si>
  <si>
    <t xml:space="preserve">Gediga and Russ, and </t>
  </si>
  <si>
    <t>Others</t>
  </si>
  <si>
    <t>Reductants (tonnes per t FeCr)</t>
  </si>
  <si>
    <t>Premus tech: asume half coke, increased anthracite</t>
  </si>
  <si>
    <t>coke</t>
  </si>
  <si>
    <t>Gediga and russ</t>
  </si>
  <si>
    <t>Gediga and Russ: Life Cycle Inventory (LCI) update of primary Ferrochrome production, 2007</t>
  </si>
  <si>
    <t>char</t>
  </si>
  <si>
    <t>anthracite</t>
  </si>
  <si>
    <t>Closed furnace without preheating</t>
  </si>
  <si>
    <t>subtotal</t>
  </si>
  <si>
    <t>kWh/kg</t>
  </si>
  <si>
    <t>Company capacity (Mt)</t>
  </si>
  <si>
    <t>kg reductants</t>
  </si>
  <si>
    <t>Includes Henric smelter (now owned by Samancor)</t>
  </si>
  <si>
    <t>of which:</t>
  </si>
  <si>
    <t>coal</t>
  </si>
  <si>
    <t>assume converted to conventional</t>
  </si>
  <si>
    <t>Total capacity</t>
  </si>
  <si>
    <t>assumptions on production levels</t>
  </si>
  <si>
    <t>Calibration check</t>
  </si>
  <si>
    <t>total here</t>
  </si>
  <si>
    <t>Total production</t>
  </si>
  <si>
    <t>diff to SAMI2018</t>
  </si>
  <si>
    <t>Consumption:</t>
  </si>
  <si>
    <t>Closed with preheating</t>
  </si>
  <si>
    <t>CV MJ/kg</t>
  </si>
  <si>
    <t>eskom incl. Manganese + silicon</t>
  </si>
  <si>
    <t>kWh</t>
  </si>
  <si>
    <t>reductants</t>
  </si>
  <si>
    <t>of which</t>
  </si>
  <si>
    <t>Aggregate intensity:</t>
  </si>
  <si>
    <t>kWh/tonne</t>
  </si>
  <si>
    <t>PJ/Mt</t>
  </si>
  <si>
    <t>Calibration fix</t>
  </si>
  <si>
    <t>FIX</t>
  </si>
  <si>
    <t>Mt - XMP coal for 2017 "mettalurgical" which is metals without steel sector</t>
  </si>
  <si>
    <t>Aggregate consumption</t>
  </si>
  <si>
    <t xml:space="preserve">Mt for Manganese </t>
  </si>
  <si>
    <t>PJ for Mn</t>
  </si>
  <si>
    <t>For report:</t>
  </si>
  <si>
    <t>Production</t>
  </si>
  <si>
    <t>Electricity consumption</t>
  </si>
  <si>
    <t>Net intensity</t>
  </si>
  <si>
    <t>Coal + Anthracite</t>
  </si>
  <si>
    <t>Bio-reductants</t>
  </si>
  <si>
    <t>CHAR:</t>
  </si>
  <si>
    <r>
      <t xml:space="preserve">Surup, G. R., Trubetskaya, A. and Tangstad, M. (2020) ‘Charcoal as an alternative reductant in ferroalloy production: A review’, </t>
    </r>
    <r>
      <rPr>
        <i/>
        <sz val="12"/>
        <color theme="1"/>
        <rFont val="Calibri"/>
        <family val="2"/>
        <scheme val="minor"/>
      </rPr>
      <t>Processes</t>
    </r>
    <r>
      <rPr>
        <sz val="10"/>
        <rFont val="Arial"/>
        <family val="2"/>
      </rPr>
      <t>, 8(11), pp. 1–41. doi: 10.3390/pr8111432.</t>
    </r>
  </si>
  <si>
    <t>Exarro opens char plant (2009)</t>
  </si>
  <si>
    <t>Charcoal kilns</t>
  </si>
  <si>
    <t>https://www.miningreview.com/top-stories/exxaro-opens-char-plant/</t>
  </si>
  <si>
    <t>efficiency</t>
  </si>
  <si>
    <t>Classic charcol kiln</t>
  </si>
  <si>
    <t>"officially opened its char plant alongside the Grootegeluk coal mine"</t>
  </si>
  <si>
    <t>Industrial retorts (kiln)</t>
  </si>
  <si>
    <t>"Char is a product that contains more than 80% fixed carbon and less than 5% volatile content. It is produced from metallurgical coal that contains more than 20% volatiles."</t>
  </si>
  <si>
    <t>kt.pa</t>
  </si>
  <si>
    <t>MODEL tech assumptions for phase 1 of NZ:</t>
  </si>
  <si>
    <t>Chrome existing</t>
  </si>
  <si>
    <t>assume mixture of current tech</t>
  </si>
  <si>
    <t xml:space="preserve">Chrome new </t>
  </si>
  <si>
    <t>assume all new furnace capacities would be most efficient but with biochar composition as today</t>
  </si>
  <si>
    <t>Chrome bio new</t>
  </si>
  <si>
    <t>assume new is most efficient route as above, but with biomass/char at 75% total reductant rest is coal+coke</t>
  </si>
  <si>
    <t>Chrome existing:</t>
  </si>
  <si>
    <t>Chrome new</t>
  </si>
  <si>
    <t>Chrome new biomass</t>
  </si>
  <si>
    <t>Biomass charring plant:</t>
  </si>
  <si>
    <t>Capacity Mt FeCr:</t>
  </si>
  <si>
    <t>Costs for biomass based plant:</t>
  </si>
  <si>
    <t>Capital cost</t>
  </si>
  <si>
    <t>assume extra for furnace operations, handling, other equipment</t>
  </si>
  <si>
    <t>Production in 2017</t>
  </si>
  <si>
    <t>Lifespan</t>
  </si>
  <si>
    <t>Costs for second stage pyrolysis:</t>
  </si>
  <si>
    <t>assume in addition</t>
  </si>
  <si>
    <t>Inputs:</t>
  </si>
  <si>
    <t>carbon content:</t>
  </si>
  <si>
    <t>assump</t>
  </si>
  <si>
    <t>MUST UPDATE THIS</t>
  </si>
  <si>
    <t>IndBiochar</t>
  </si>
  <si>
    <t xml:space="preserve">NOTE:This might actually be coal derived, not biomass. Char is 'activated carbon' basically. But the source of the carbon is not always clear in literature. </t>
  </si>
  <si>
    <t>It's coal char not bio</t>
  </si>
  <si>
    <t>http://www.fao.org/3/s4550e/s4550e09.htm#:~:text=Dried%20wood%20can%20give%204500,little%20around%207500%20Kcal%2Fkg.</t>
  </si>
  <si>
    <t>kcal/kg</t>
  </si>
  <si>
    <t>CO2SP</t>
  </si>
  <si>
    <t>KJ/kg</t>
  </si>
  <si>
    <t>charcoal</t>
  </si>
  <si>
    <t>twin retort kiln:</t>
  </si>
  <si>
    <t>FAO - BIOENERGY AND FOOD SECURITY RAPID APPRAISAL (BEFS RA) charcoal</t>
  </si>
  <si>
    <t>life"</t>
  </si>
  <si>
    <t>years</t>
  </si>
  <si>
    <t>http://www.fao.org/3/bp846e/bp846e.pdf</t>
  </si>
  <si>
    <t>USD $ /t</t>
  </si>
  <si>
    <t>In 2008</t>
  </si>
  <si>
    <t>in 2019</t>
  </si>
  <si>
    <t>2015 ZAR</t>
  </si>
  <si>
    <t>2019USD to 2015ZAR</t>
  </si>
  <si>
    <t>2008 to 2019</t>
  </si>
  <si>
    <t>Emissions factor</t>
  </si>
  <si>
    <t>from GHGinv</t>
  </si>
  <si>
    <t>need to update this factor</t>
  </si>
  <si>
    <t>SAMI 2018 report</t>
  </si>
  <si>
    <t>From NIR 2017 (presumably SAMI is the source)</t>
  </si>
  <si>
    <t>Activity tonnes per year</t>
  </si>
  <si>
    <t>Unit</t>
  </si>
  <si>
    <t>Ferrochromium</t>
  </si>
  <si>
    <t>tonnes</t>
  </si>
  <si>
    <t>Ferromanganeses (7% C)</t>
  </si>
  <si>
    <t>Ferromanganeses (1% C)</t>
  </si>
  <si>
    <t>Ferrosilicon 65% Si</t>
  </si>
  <si>
    <t>Silicon metal</t>
  </si>
  <si>
    <t>Summarised tonnes per year</t>
  </si>
  <si>
    <t>FerroChrome</t>
  </si>
  <si>
    <t>FerroManganese</t>
  </si>
  <si>
    <t>FerroSilicon</t>
  </si>
  <si>
    <t>Total</t>
  </si>
  <si>
    <t>Max value 2005 - 2017 from NIR 2017</t>
  </si>
  <si>
    <t xml:space="preserve">Summarised tonnes  per year </t>
  </si>
  <si>
    <t>total:</t>
  </si>
  <si>
    <t>From SAMI report 2018:</t>
  </si>
  <si>
    <t>YEAR</t>
  </si>
  <si>
    <t>PRODUCTION</t>
  </si>
  <si>
    <t>LOCAL SALES</t>
  </si>
  <si>
    <t>EXPORT SALES</t>
  </si>
  <si>
    <t>Mass</t>
  </si>
  <si>
    <t>Unit Value</t>
  </si>
  <si>
    <t>Mass       Value</t>
  </si>
  <si>
    <t>kt</t>
  </si>
  <si>
    <t>R' 000</t>
  </si>
  <si>
    <t>R/t</t>
  </si>
  <si>
    <t>FerroMn existing</t>
  </si>
  <si>
    <t>IFMEAF-E</t>
  </si>
  <si>
    <t>FerroMn New</t>
  </si>
  <si>
    <t>IFMEAF-N</t>
  </si>
  <si>
    <t>FerroMn with biomass</t>
  </si>
  <si>
    <t>IFMEAFB-N</t>
  </si>
  <si>
    <t>IFAMN</t>
  </si>
  <si>
    <t>Roughly, may be slightly less or slightly more</t>
  </si>
  <si>
    <t>Fixed carbon (% weight)</t>
  </si>
  <si>
    <t>Biochar</t>
  </si>
  <si>
    <t>what is the SA number?</t>
  </si>
  <si>
    <t>roughly, these were measurements specific to a batch</t>
  </si>
  <si>
    <t>This seems achievable with current technology</t>
  </si>
  <si>
    <t>New</t>
  </si>
  <si>
    <t>Coke or Coal</t>
  </si>
  <si>
    <t>SiMn</t>
  </si>
  <si>
    <t xml:space="preserve">Electicity </t>
  </si>
  <si>
    <t>MWh/tonne</t>
  </si>
  <si>
    <t>FEMn</t>
  </si>
  <si>
    <t>Share that is coal</t>
  </si>
  <si>
    <t>PJ total</t>
  </si>
  <si>
    <t>GWh total</t>
  </si>
  <si>
    <t>PJ/ktonne</t>
  </si>
  <si>
    <t>MWh/tonne assumed</t>
  </si>
  <si>
    <t>MWh/tonne Max</t>
  </si>
  <si>
    <t>MWh/tonne Min</t>
  </si>
  <si>
    <t>Says curerntly converted to FECR production</t>
  </si>
  <si>
    <t>Mogale</t>
  </si>
  <si>
    <t>Still in operation</t>
  </si>
  <si>
    <t>TransAlloys</t>
  </si>
  <si>
    <t>HCFEMn</t>
  </si>
  <si>
    <t>Assmang Machadodorp</t>
  </si>
  <si>
    <t>Assmang Cato Ridge</t>
  </si>
  <si>
    <t>Exept one of these sold to South32 and I think that smelter is closed, Steenkamp confirmed smelter closed</t>
  </si>
  <si>
    <t>Metalloys</t>
  </si>
  <si>
    <t>Capacity (Steenkamp, 2018)</t>
  </si>
  <si>
    <t>Installed capacity (MVA)</t>
  </si>
  <si>
    <t>Production rate</t>
  </si>
  <si>
    <t>FEMN</t>
  </si>
  <si>
    <t>Si</t>
  </si>
  <si>
    <t>seems too low, Steenkamp 2018 says that this is the MVA capacity for FeMn and SiMn, but that they are running at 50%, doesn't tie with production</t>
  </si>
  <si>
    <t>Mn</t>
  </si>
  <si>
    <t>thousand kt</t>
  </si>
  <si>
    <t>Cr</t>
  </si>
  <si>
    <t>Cap</t>
  </si>
  <si>
    <t>QUICK FIX: adding manganese to this book until it's complete in another workbook</t>
  </si>
  <si>
    <t xml:space="preserve">looks about right, </t>
  </si>
  <si>
    <t>Process Emissions FerroManganese South Africa</t>
  </si>
  <si>
    <t>CO2SPIFM</t>
  </si>
  <si>
    <t>GPS (Longtitude)</t>
  </si>
  <si>
    <t>?</t>
  </si>
  <si>
    <r>
      <t>Afarak (Probably now</t>
    </r>
    <r>
      <rPr>
        <b/>
        <sz val="11"/>
        <color rgb="FFFF0000"/>
        <rFont val="Times New Roman"/>
        <family val="1"/>
      </rPr>
      <t xml:space="preserve"> Zeetrust</t>
    </r>
    <r>
      <rPr>
        <b/>
        <sz val="11"/>
        <color theme="1"/>
        <rFont val="Times New Roman"/>
        <family val="1"/>
      </rPr>
      <t>)</t>
    </r>
  </si>
  <si>
    <t>linked to FC</t>
  </si>
  <si>
    <t>Biomass Other</t>
  </si>
  <si>
    <t xml:space="preserve">This is the Ferro Alloys (FA) workbook. </t>
  </si>
  <si>
    <t>About</t>
  </si>
  <si>
    <t>Changelog</t>
  </si>
  <si>
    <t>B Mccall</t>
  </si>
  <si>
    <t xml:space="preserve">Joseph had put together the ferrochrome and ferromanganese workbooks. Am getting this set up to become the main workbook for ferroalloys. </t>
  </si>
  <si>
    <t>Idea for ferrochrome endogenous efficiency technology modelling</t>
  </si>
  <si>
    <t>RES diagram of how the chrome industry produces ferrochrome and the potential avenues for efficiency routes</t>
  </si>
  <si>
    <t xml:space="preserve">Parts of the methodology (NetZero work) are not connected to the model inputs. Need to align this better. </t>
  </si>
  <si>
    <t>Have removed all links to old ferromanganese workbook</t>
  </si>
  <si>
    <t>This includes ferrochrome and ferromanganese</t>
  </si>
  <si>
    <t>Fixed layout table</t>
  </si>
  <si>
    <t>* Define the commodities used in this workbook</t>
  </si>
  <si>
    <t>Commodities</t>
  </si>
  <si>
    <t>~FI_Comm</t>
  </si>
  <si>
    <t>Csets</t>
  </si>
  <si>
    <t>LimType</t>
  </si>
  <si>
    <t>CTSLvl</t>
  </si>
  <si>
    <t>PeakTS</t>
  </si>
  <si>
    <t>Ctype</t>
  </si>
  <si>
    <t>*Commodity Set Membership</t>
  </si>
  <si>
    <t>Region Name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</si>
  <si>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</si>
  <si>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</si>
  <si>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</si>
  <si>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</si>
  <si>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</si>
  <si>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</si>
  <si>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* Define the Processes used in this workbook</t>
  </si>
  <si>
    <t>Processes</t>
  </si>
  <si>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</si>
  <si>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</si>
  <si>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</si>
  <si>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</si>
  <si>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</si>
  <si>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</si>
  <si>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</si>
  <si>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</si>
  <si>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</si>
  <si>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</si>
  <si>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</si>
  <si>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</si>
  <si>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</si>
  <si>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</si>
  <si>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</si>
  <si>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</si>
  <si>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</si>
  <si>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Comm-IN</t>
  </si>
  <si>
    <t>Comm-OUT</t>
  </si>
  <si>
    <t>Industry - FA - Electricity</t>
  </si>
  <si>
    <t>DAYNITE</t>
  </si>
  <si>
    <t>ELC</t>
  </si>
  <si>
    <t>Industry - FA - FerroChrome</t>
  </si>
  <si>
    <t>Industry - FA - FerroManganese</t>
  </si>
  <si>
    <t>Industry - Biochar</t>
  </si>
  <si>
    <t>Industry - FerroChrome existing</t>
  </si>
  <si>
    <t>Industry - FerrChrome New</t>
  </si>
  <si>
    <t>Industry - FerroChrome with biomass</t>
  </si>
  <si>
    <t>Industry - FerroMn existing</t>
  </si>
  <si>
    <t>Industry - FerroMn New</t>
  </si>
  <si>
    <t>Industry - FerroMn with biomass</t>
  </si>
  <si>
    <t>PRE</t>
  </si>
  <si>
    <t>Pja</t>
  </si>
  <si>
    <t>*ProcUnits</t>
  </si>
  <si>
    <t>PRC_RESID~2017</t>
  </si>
  <si>
    <t>PRC_RESID~2035</t>
  </si>
  <si>
    <t>PRC_RESID~2036</t>
  </si>
  <si>
    <t>PRC_RESID~2040</t>
  </si>
  <si>
    <t>PRC_RESID~2045</t>
  </si>
  <si>
    <t>IFACHA</t>
  </si>
  <si>
    <t>INDBIW</t>
  </si>
  <si>
    <t>~FI_T</t>
  </si>
  <si>
    <t>*TechDesc</t>
  </si>
  <si>
    <t>Attribute</t>
  </si>
  <si>
    <t>*Unit</t>
  </si>
  <si>
    <t>Demand Commodity Name</t>
  </si>
  <si>
    <t>Demand Unit</t>
  </si>
  <si>
    <t>Demand Value</t>
  </si>
  <si>
    <t>Demand</t>
  </si>
  <si>
    <t>PRC_CAPACT</t>
  </si>
  <si>
    <t>INDCOA</t>
  </si>
  <si>
    <t>*=RES_Cr!E2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</si>
</sst>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_-* #,##0.0000_-;\-* #,##0.0000_-;_-* &quot;-&quot;??_-;_-@_-"/>
    <numFmt numFmtId="168" formatCode="0.0%"/>
    <numFmt numFmtId="169" formatCode="_ * #,##0.00_ ;_ * \-#,##0.00_ ;_ * &quot;-&quot;??_ ;_ @_ "/>
    <numFmt numFmtId="170" formatCode="_ * #,##0_ ;_ * \-#,##0_ ;_ * &quot;-&quot;??_ ;_ @_ "/>
    <numFmt numFmtId="171" formatCode="_-* #,##0_-;\-* #,##0_-;_-* &quot;-&quot;??_-;_-@_-"/>
    <numFmt numFmtId="172" formatCode="0.0"/>
    <numFmt numFmtId="173" formatCode="[$£-809]#,##0.000;[Red]&quot;-&quot;[$£-809]#,##0.000"/>
  </numFmts>
  <fonts count="9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Roboto Light"/>
    </font>
    <font>
      <b/>
      <sz val="8"/>
      <color rgb="FFFFFFFF"/>
      <name val="Arial"/>
      <family val="2"/>
    </font>
    <font>
      <b/>
      <vertAlign val="subscript"/>
      <sz val="8"/>
      <color rgb="FFFFFFFF"/>
      <name val="Arial"/>
      <family val="2"/>
    </font>
    <font>
      <vertAlign val="subscript"/>
      <sz val="8"/>
      <name val="Roboto Light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rgb="FFFFFFFF"/>
      <name val="Times New Roman"/>
      <family val="1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indexed="8"/>
      <name val="Arial"/>
      <family val="2"/>
    </font>
    <font>
      <sz val="10"/>
      <name val="Times New Roman"/>
      <family val="1"/>
      <charset val="204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8"/>
      <color rgb="FFFFFFFF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2" tint="-9.9978637043366805E-2"/>
      <name val="Arial"/>
      <family val="2"/>
    </font>
    <font>
      <sz val="12"/>
      <color theme="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2"/>
      <color indexed="53"/>
      <name val="Arial"/>
      <family val="2"/>
    </font>
    <font>
      <sz val="10"/>
      <color rgb="FF000000"/>
      <name val="Times New Roman"/>
      <family val="1"/>
    </font>
    <font>
      <sz val="12"/>
      <color theme="1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sz val="10"/>
      <name val="Arial"/>
      <family val="2"/>
      <charset val="238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80808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6FAC46"/>
        <bgColor indexed="64"/>
      </patternFill>
    </fill>
    <fill>
      <patternFill patternType="solid">
        <fgColor rgb="FFE1EE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9BE8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thin">
        <color indexed="64"/>
      </left>
      <right style="medium">
        <color rgb="FF9CC2E4"/>
      </right>
      <top/>
      <bottom/>
      <diagonal/>
    </border>
    <border>
      <left/>
      <right style="medium">
        <color rgb="FF9CC2E4"/>
      </right>
      <top/>
      <bottom/>
      <diagonal/>
    </border>
    <border>
      <left style="thin">
        <color indexed="64"/>
      </left>
      <right style="medium">
        <color rgb="FF9CC2E4"/>
      </right>
      <top/>
      <bottom style="medium">
        <color rgb="FF9CC2E4"/>
      </bottom>
      <diagonal/>
    </border>
    <border>
      <left/>
      <right style="medium">
        <color rgb="FF9CC2E4"/>
      </right>
      <top/>
      <bottom style="medium">
        <color rgb="FF9CC2E4"/>
      </bottom>
      <diagonal/>
    </border>
    <border>
      <left style="thin">
        <color indexed="64"/>
      </left>
      <right style="medium">
        <color rgb="FF9CC2E4"/>
      </right>
      <top style="medium">
        <color rgb="FF9CC2E4"/>
      </top>
      <bottom/>
      <diagonal/>
    </border>
    <border>
      <left style="thin">
        <color indexed="64"/>
      </left>
      <right style="medium">
        <color rgb="FFA8D08D"/>
      </right>
      <top/>
      <bottom style="medium">
        <color rgb="FFA8D08D"/>
      </bottom>
      <diagonal/>
    </border>
    <border>
      <left/>
      <right/>
      <top/>
      <bottom style="medium">
        <color rgb="FFA8D08D"/>
      </bottom>
      <diagonal/>
    </border>
    <border>
      <left style="thin">
        <color indexed="64"/>
      </left>
      <right style="medium">
        <color rgb="FFA8D08D"/>
      </right>
      <top/>
      <bottom/>
      <diagonal/>
    </border>
    <border>
      <left style="medium">
        <color rgb="FFA8D08D"/>
      </left>
      <right/>
      <top style="medium">
        <color rgb="FFA8D08D"/>
      </top>
      <bottom/>
      <diagonal/>
    </border>
    <border>
      <left style="medium">
        <color rgb="FFA8D08D"/>
      </left>
      <right/>
      <top/>
      <bottom style="medium">
        <color rgb="FFA8D08D"/>
      </bottom>
      <diagonal/>
    </border>
    <border>
      <left style="thin">
        <color indexed="64"/>
      </left>
      <right style="medium">
        <color rgb="FFA8D08D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8">
    <xf numFmtId="0" fontId="0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15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14" fillId="0" borderId="0"/>
    <xf numFmtId="9" fontId="14" fillId="0" borderId="0" applyFont="0" applyFill="0" applyBorder="0" applyAlignment="0" applyProtection="0"/>
    <xf numFmtId="0" fontId="42" fillId="0" borderId="0"/>
    <xf numFmtId="43" fontId="42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4" fillId="0" borderId="17" applyNumberFormat="0" applyFill="0" applyAlignment="0" applyProtection="0"/>
    <xf numFmtId="0" fontId="45" fillId="0" borderId="18" applyNumberFormat="0" applyFill="0" applyAlignment="0" applyProtection="0"/>
    <xf numFmtId="0" fontId="46" fillId="4" borderId="0" applyNumberFormat="0" applyBorder="0" applyAlignment="0" applyProtection="0"/>
    <xf numFmtId="0" fontId="47" fillId="5" borderId="16" applyNumberFormat="0" applyAlignment="0" applyProtection="0"/>
    <xf numFmtId="0" fontId="52" fillId="0" borderId="0"/>
    <xf numFmtId="0" fontId="61" fillId="0" borderId="0" applyNumberFormat="0" applyFill="0" applyBorder="0" applyAlignment="0" applyProtection="0"/>
    <xf numFmtId="16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3" fillId="0" borderId="0"/>
    <xf numFmtId="0" fontId="22" fillId="0" borderId="0"/>
    <xf numFmtId="0" fontId="22" fillId="0" borderId="0"/>
    <xf numFmtId="0" fontId="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22" fillId="0" borderId="0"/>
    <xf numFmtId="0" fontId="52" fillId="0" borderId="0"/>
    <xf numFmtId="0" fontId="84" fillId="0" borderId="0"/>
    <xf numFmtId="0" fontId="2" fillId="0" borderId="0"/>
    <xf numFmtId="0" fontId="85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86" fillId="0" borderId="0" applyFont="0" applyFill="0" applyBorder="0" applyAlignment="0" applyProtection="0"/>
    <xf numFmtId="0" fontId="87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75" fillId="16" borderId="16" applyNumberFormat="0" applyAlignment="0" applyProtection="0"/>
    <xf numFmtId="0" fontId="47" fillId="5" borderId="16" applyNumberFormat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43" fontId="2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8" borderId="0" applyNumberFormat="0" applyBorder="0" applyAlignment="0" applyProtection="0"/>
    <xf numFmtId="0" fontId="76" fillId="17" borderId="0" applyNumberFormat="0" applyBorder="0" applyAlignment="0" applyProtection="0"/>
    <xf numFmtId="43" fontId="2" fillId="0" borderId="0" applyFont="0" applyFill="0" applyBorder="0" applyAlignment="0" applyProtection="0"/>
    <xf numFmtId="0" fontId="89" fillId="15" borderId="0" applyNumberFormat="0" applyBorder="0" applyAlignment="0" applyProtection="0"/>
    <xf numFmtId="0" fontId="22" fillId="0" borderId="0"/>
    <xf numFmtId="0" fontId="22" fillId="0" borderId="0"/>
    <xf numFmtId="0" fontId="2" fillId="0" borderId="0"/>
    <xf numFmtId="0" fontId="22" fillId="0" borderId="0"/>
    <xf numFmtId="0" fontId="88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</cellStyleXfs>
  <cellXfs count="335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7" fillId="0" borderId="0" xfId="0" applyFont="1"/>
    <xf numFmtId="0" fontId="18" fillId="0" borderId="0" xfId="0" applyFont="1" applyAlignment="1">
      <alignment horizontal="center" wrapText="1"/>
    </xf>
    <xf numFmtId="0" fontId="16" fillId="0" borderId="0" xfId="1" applyFont="1"/>
    <xf numFmtId="0" fontId="22" fillId="0" borderId="0" xfId="1"/>
    <xf numFmtId="0" fontId="19" fillId="0" borderId="0" xfId="1" applyFont="1"/>
    <xf numFmtId="0" fontId="25" fillId="0" borderId="0" xfId="1" applyFont="1"/>
    <xf numFmtId="0" fontId="18" fillId="0" borderId="0" xfId="1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0" fillId="0" borderId="0" xfId="1" applyFont="1"/>
    <xf numFmtId="0" fontId="27" fillId="0" borderId="0" xfId="1" applyFont="1"/>
    <xf numFmtId="0" fontId="28" fillId="0" borderId="0" xfId="1" applyFont="1"/>
    <xf numFmtId="49" fontId="27" fillId="0" borderId="0" xfId="0" applyNumberFormat="1" applyFont="1" applyAlignment="1">
      <alignment horizontal="left"/>
    </xf>
    <xf numFmtId="0" fontId="29" fillId="0" borderId="0" xfId="1" applyFont="1"/>
    <xf numFmtId="0" fontId="23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center" wrapText="1"/>
    </xf>
    <xf numFmtId="0" fontId="25" fillId="0" borderId="0" xfId="0" applyFont="1"/>
    <xf numFmtId="0" fontId="28" fillId="3" borderId="0" xfId="0" applyFont="1" applyFill="1"/>
    <xf numFmtId="0" fontId="28" fillId="3" borderId="0" xfId="1" applyFont="1" applyFill="1"/>
    <xf numFmtId="0" fontId="19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32" fillId="0" borderId="0" xfId="3" applyFont="1"/>
    <xf numFmtId="0" fontId="19" fillId="0" borderId="0" xfId="3" applyFont="1"/>
    <xf numFmtId="0" fontId="19" fillId="0" borderId="0" xfId="2" applyFont="1" applyAlignment="1">
      <alignment horizontal="center"/>
    </xf>
    <xf numFmtId="0" fontId="19" fillId="0" borderId="0" xfId="2" applyFont="1"/>
    <xf numFmtId="0" fontId="22" fillId="0" borderId="0" xfId="3"/>
    <xf numFmtId="0" fontId="34" fillId="0" borderId="0" xfId="1" applyFont="1"/>
    <xf numFmtId="0" fontId="35" fillId="0" borderId="0" xfId="2" applyFont="1"/>
    <xf numFmtId="0" fontId="35" fillId="0" borderId="0" xfId="3" applyFont="1"/>
    <xf numFmtId="0" fontId="35" fillId="0" borderId="0" xfId="1" applyFont="1"/>
    <xf numFmtId="0" fontId="33" fillId="0" borderId="0" xfId="1" applyFont="1"/>
    <xf numFmtId="0" fontId="19" fillId="0" borderId="0" xfId="2" applyFont="1" applyAlignment="1">
      <alignment horizontal="right"/>
    </xf>
    <xf numFmtId="0" fontId="28" fillId="0" borderId="0" xfId="2" applyFont="1"/>
    <xf numFmtId="0" fontId="14" fillId="0" borderId="0" xfId="12"/>
    <xf numFmtId="0" fontId="31" fillId="0" borderId="0" xfId="12" applyFont="1"/>
    <xf numFmtId="0" fontId="14" fillId="0" borderId="5" xfId="12" applyBorder="1" applyAlignment="1">
      <alignment horizontal="center"/>
    </xf>
    <xf numFmtId="0" fontId="14" fillId="0" borderId="0" xfId="12" applyAlignment="1">
      <alignment horizontal="center"/>
    </xf>
    <xf numFmtId="0" fontId="14" fillId="0" borderId="14" xfId="12" applyBorder="1" applyAlignment="1">
      <alignment horizontal="center"/>
    </xf>
    <xf numFmtId="0" fontId="14" fillId="0" borderId="4" xfId="12" applyBorder="1" applyAlignment="1">
      <alignment horizontal="center"/>
    </xf>
    <xf numFmtId="0" fontId="14" fillId="0" borderId="9" xfId="12" applyBorder="1" applyAlignment="1">
      <alignment horizontal="center"/>
    </xf>
    <xf numFmtId="0" fontId="14" fillId="0" borderId="4" xfId="12" applyBorder="1"/>
    <xf numFmtId="0" fontId="14" fillId="0" borderId="14" xfId="12" applyBorder="1"/>
    <xf numFmtId="0" fontId="14" fillId="0" borderId="8" xfId="12" applyBorder="1" applyAlignment="1">
      <alignment horizontal="center"/>
    </xf>
    <xf numFmtId="0" fontId="14" fillId="0" borderId="10" xfId="12" applyBorder="1" applyAlignment="1">
      <alignment horizontal="center"/>
    </xf>
    <xf numFmtId="0" fontId="14" fillId="0" borderId="3" xfId="12" applyBorder="1" applyAlignment="1">
      <alignment horizontal="center"/>
    </xf>
    <xf numFmtId="0" fontId="14" fillId="0" borderId="1" xfId="12" applyBorder="1" applyAlignment="1">
      <alignment horizontal="center"/>
    </xf>
    <xf numFmtId="0" fontId="14" fillId="0" borderId="6" xfId="12" applyBorder="1" applyAlignment="1">
      <alignment horizontal="center"/>
    </xf>
    <xf numFmtId="0" fontId="40" fillId="0" borderId="15" xfId="12" applyFont="1" applyBorder="1" applyAlignment="1">
      <alignment horizontal="center"/>
    </xf>
    <xf numFmtId="0" fontId="14" fillId="0" borderId="5" xfId="12" applyBorder="1"/>
    <xf numFmtId="0" fontId="14" fillId="0" borderId="15" xfId="12" applyBorder="1" applyAlignment="1">
      <alignment horizontal="center"/>
    </xf>
    <xf numFmtId="0" fontId="14" fillId="0" borderId="12" xfId="12" applyBorder="1" applyAlignment="1">
      <alignment horizontal="center"/>
    </xf>
    <xf numFmtId="0" fontId="38" fillId="0" borderId="0" xfId="12" applyFont="1"/>
    <xf numFmtId="0" fontId="40" fillId="0" borderId="0" xfId="12" applyFont="1"/>
    <xf numFmtId="0" fontId="37" fillId="0" borderId="0" xfId="12" applyFont="1"/>
    <xf numFmtId="0" fontId="39" fillId="0" borderId="0" xfId="12" applyFont="1"/>
    <xf numFmtId="0" fontId="37" fillId="0" borderId="14" xfId="12" applyFont="1" applyBorder="1" applyAlignment="1">
      <alignment horizontal="center"/>
    </xf>
    <xf numFmtId="0" fontId="41" fillId="0" borderId="0" xfId="12" applyFont="1"/>
    <xf numFmtId="0" fontId="14" fillId="0" borderId="5" xfId="12" applyBorder="1" applyAlignment="1">
      <alignment horizontal="center" textRotation="90"/>
    </xf>
    <xf numFmtId="0" fontId="14" fillId="0" borderId="4" xfId="12" applyBorder="1" applyAlignment="1">
      <alignment horizontal="center" textRotation="90"/>
    </xf>
    <xf numFmtId="0" fontId="14" fillId="0" borderId="0" xfId="12" applyAlignment="1">
      <alignment horizontal="center" textRotation="90"/>
    </xf>
    <xf numFmtId="0" fontId="22" fillId="0" borderId="0" xfId="0" applyFont="1"/>
    <xf numFmtId="0" fontId="13" fillId="0" borderId="5" xfId="12" applyFont="1" applyBorder="1" applyAlignment="1">
      <alignment horizontal="center" textRotation="90"/>
    </xf>
    <xf numFmtId="167" fontId="19" fillId="0" borderId="0" xfId="2" applyNumberFormat="1" applyFont="1"/>
    <xf numFmtId="0" fontId="44" fillId="0" borderId="17" xfId="19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4" fillId="0" borderId="0" xfId="19" applyBorder="1"/>
    <xf numFmtId="0" fontId="0" fillId="0" borderId="1" xfId="0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22" fillId="0" borderId="7" xfId="0" applyFont="1" applyBorder="1"/>
    <xf numFmtId="2" fontId="0" fillId="0" borderId="2" xfId="0" applyNumberFormat="1" applyBorder="1"/>
    <xf numFmtId="0" fontId="22" fillId="0" borderId="2" xfId="0" applyFont="1" applyBorder="1"/>
    <xf numFmtId="0" fontId="0" fillId="0" borderId="13" xfId="0" applyBorder="1"/>
    <xf numFmtId="0" fontId="0" fillId="0" borderId="11" xfId="0" applyBorder="1"/>
    <xf numFmtId="0" fontId="22" fillId="0" borderId="11" xfId="0" applyFont="1" applyBorder="1"/>
    <xf numFmtId="0" fontId="0" fillId="0" borderId="12" xfId="0" applyBorder="1"/>
    <xf numFmtId="2" fontId="19" fillId="0" borderId="0" xfId="0" applyNumberFormat="1" applyFont="1"/>
    <xf numFmtId="0" fontId="28" fillId="0" borderId="0" xfId="2" applyFont="1" applyAlignment="1">
      <alignment wrapText="1"/>
    </xf>
    <xf numFmtId="168" fontId="0" fillId="0" borderId="3" xfId="18" applyNumberFormat="1" applyFont="1" applyBorder="1"/>
    <xf numFmtId="0" fontId="19" fillId="0" borderId="0" xfId="2" applyFont="1" applyAlignment="1">
      <alignment wrapText="1"/>
    </xf>
    <xf numFmtId="165" fontId="19" fillId="0" borderId="0" xfId="0" applyNumberFormat="1" applyFont="1"/>
    <xf numFmtId="165" fontId="19" fillId="0" borderId="0" xfId="0" applyNumberFormat="1" applyFont="1" applyAlignment="1">
      <alignment horizontal="center"/>
    </xf>
    <xf numFmtId="0" fontId="47" fillId="5" borderId="16" xfId="22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2" applyFont="1" applyAlignment="1">
      <alignment horizontal="left"/>
    </xf>
    <xf numFmtId="0" fontId="19" fillId="0" borderId="0" xfId="0" applyFont="1" applyAlignment="1">
      <alignment horizontal="left"/>
    </xf>
    <xf numFmtId="166" fontId="19" fillId="0" borderId="0" xfId="0" applyNumberFormat="1" applyFont="1" applyAlignment="1">
      <alignment horizontal="center"/>
    </xf>
    <xf numFmtId="0" fontId="12" fillId="0" borderId="5" xfId="12" applyFont="1" applyBorder="1" applyAlignment="1">
      <alignment horizontal="center" textRotation="90"/>
    </xf>
    <xf numFmtId="0" fontId="45" fillId="0" borderId="19" xfId="20" applyBorder="1" applyAlignment="1">
      <alignment horizontal="center"/>
    </xf>
    <xf numFmtId="0" fontId="11" fillId="0" borderId="5" xfId="12" applyFont="1" applyBorder="1" applyAlignment="1">
      <alignment horizontal="center" textRotation="90"/>
    </xf>
    <xf numFmtId="0" fontId="14" fillId="0" borderId="13" xfId="12" applyBorder="1" applyAlignment="1">
      <alignment horizontal="center"/>
    </xf>
    <xf numFmtId="165" fontId="22" fillId="0" borderId="5" xfId="0" applyNumberFormat="1" applyFont="1" applyBorder="1"/>
    <xf numFmtId="165" fontId="22" fillId="0" borderId="2" xfId="0" applyNumberFormat="1" applyFont="1" applyBorder="1"/>
    <xf numFmtId="2" fontId="22" fillId="0" borderId="11" xfId="0" applyNumberFormat="1" applyFont="1" applyBorder="1"/>
    <xf numFmtId="0" fontId="22" fillId="0" borderId="3" xfId="0" applyFont="1" applyBorder="1"/>
    <xf numFmtId="0" fontId="10" fillId="0" borderId="5" xfId="12" applyFont="1" applyBorder="1" applyAlignment="1">
      <alignment horizontal="center" textRotation="90"/>
    </xf>
    <xf numFmtId="2" fontId="22" fillId="0" borderId="2" xfId="0" applyNumberFormat="1" applyFont="1" applyBorder="1"/>
    <xf numFmtId="0" fontId="9" fillId="0" borderId="0" xfId="12" applyFont="1"/>
    <xf numFmtId="0" fontId="9" fillId="0" borderId="5" xfId="12" applyFont="1" applyBorder="1" applyAlignment="1">
      <alignment horizontal="center" textRotation="90"/>
    </xf>
    <xf numFmtId="0" fontId="49" fillId="6" borderId="20" xfId="0" applyFont="1" applyFill="1" applyBorder="1" applyAlignment="1">
      <alignment horizontal="center" vertical="center"/>
    </xf>
    <xf numFmtId="0" fontId="49" fillId="6" borderId="21" xfId="0" applyFont="1" applyFill="1" applyBorder="1" applyAlignment="1">
      <alignment horizontal="center" vertical="center"/>
    </xf>
    <xf numFmtId="0" fontId="48" fillId="0" borderId="22" xfId="0" applyFont="1" applyBorder="1" applyAlignment="1">
      <alignment vertical="center"/>
    </xf>
    <xf numFmtId="0" fontId="48" fillId="0" borderId="23" xfId="0" applyFont="1" applyBorder="1" applyAlignment="1">
      <alignment vertical="center"/>
    </xf>
    <xf numFmtId="0" fontId="48" fillId="0" borderId="0" xfId="0" applyFont="1" applyAlignment="1">
      <alignment vertical="center"/>
    </xf>
    <xf numFmtId="0" fontId="48" fillId="0" borderId="24" xfId="0" applyFont="1" applyBorder="1" applyAlignment="1">
      <alignment vertical="center"/>
    </xf>
    <xf numFmtId="0" fontId="22" fillId="0" borderId="13" xfId="0" applyFont="1" applyBorder="1"/>
    <xf numFmtId="2" fontId="46" fillId="4" borderId="11" xfId="21" applyNumberFormat="1" applyBorder="1"/>
    <xf numFmtId="0" fontId="8" fillId="0" borderId="5" xfId="12" applyFont="1" applyBorder="1" applyAlignment="1">
      <alignment horizontal="center" textRotation="90"/>
    </xf>
    <xf numFmtId="0" fontId="7" fillId="0" borderId="5" xfId="12" applyFont="1" applyBorder="1" applyAlignment="1">
      <alignment horizontal="center" textRotation="90"/>
    </xf>
    <xf numFmtId="0" fontId="7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166" fontId="19" fillId="0" borderId="0" xfId="0" applyNumberFormat="1" applyFont="1"/>
    <xf numFmtId="0" fontId="19" fillId="0" borderId="0" xfId="0" applyFont="1" applyAlignment="1">
      <alignment horizontal="left" wrapText="1"/>
    </xf>
    <xf numFmtId="0" fontId="46" fillId="4" borderId="0" xfId="21" applyAlignment="1">
      <alignment horizontal="center"/>
    </xf>
    <xf numFmtId="0" fontId="46" fillId="4" borderId="0" xfId="21"/>
    <xf numFmtId="0" fontId="6" fillId="0" borderId="9" xfId="12" applyFont="1" applyBorder="1" applyAlignment="1">
      <alignment horizontal="center"/>
    </xf>
    <xf numFmtId="2" fontId="19" fillId="0" borderId="0" xfId="0" applyNumberFormat="1" applyFont="1" applyAlignment="1">
      <alignment horizontal="center"/>
    </xf>
    <xf numFmtId="0" fontId="6" fillId="0" borderId="5" xfId="12" applyFont="1" applyBorder="1" applyAlignment="1">
      <alignment horizontal="center" textRotation="90"/>
    </xf>
    <xf numFmtId="9" fontId="0" fillId="0" borderId="0" xfId="0" applyNumberFormat="1"/>
    <xf numFmtId="10" fontId="0" fillId="0" borderId="0" xfId="0" applyNumberFormat="1"/>
    <xf numFmtId="0" fontId="53" fillId="0" borderId="0" xfId="23" applyFont="1"/>
    <xf numFmtId="0" fontId="52" fillId="0" borderId="0" xfId="23"/>
    <xf numFmtId="0" fontId="52" fillId="0" borderId="1" xfId="23" applyBorder="1"/>
    <xf numFmtId="0" fontId="52" fillId="0" borderId="2" xfId="23" applyBorder="1"/>
    <xf numFmtId="0" fontId="52" fillId="0" borderId="3" xfId="23" applyBorder="1"/>
    <xf numFmtId="0" fontId="56" fillId="7" borderId="26" xfId="23" applyFont="1" applyFill="1" applyBorder="1" applyAlignment="1">
      <alignment horizontal="left" vertical="center" wrapText="1" indent="2"/>
    </xf>
    <xf numFmtId="0" fontId="52" fillId="0" borderId="5" xfId="23" applyBorder="1"/>
    <xf numFmtId="0" fontId="56" fillId="7" borderId="28" xfId="23" applyFont="1" applyFill="1" applyBorder="1" applyAlignment="1">
      <alignment horizontal="left" vertical="center" wrapText="1" indent="2"/>
    </xf>
    <xf numFmtId="0" fontId="56" fillId="0" borderId="26" xfId="23" applyFont="1" applyBorder="1" applyAlignment="1">
      <alignment horizontal="left" vertical="center" wrapText="1" indent="2"/>
    </xf>
    <xf numFmtId="0" fontId="56" fillId="0" borderId="28" xfId="23" applyFont="1" applyBorder="1" applyAlignment="1">
      <alignment horizontal="left" vertical="center" wrapText="1" indent="2"/>
    </xf>
    <xf numFmtId="0" fontId="52" fillId="0" borderId="4" xfId="23" applyBorder="1"/>
    <xf numFmtId="0" fontId="60" fillId="8" borderId="4" xfId="23" applyFont="1" applyFill="1" applyBorder="1" applyAlignment="1">
      <alignment horizontal="center" vertical="center" wrapText="1"/>
    </xf>
    <xf numFmtId="0" fontId="61" fillId="0" borderId="1" xfId="24" applyBorder="1"/>
    <xf numFmtId="0" fontId="55" fillId="9" borderId="30" xfId="23" applyFont="1" applyFill="1" applyBorder="1" applyAlignment="1">
      <alignment horizontal="center" vertical="center" wrapText="1"/>
    </xf>
    <xf numFmtId="0" fontId="58" fillId="9" borderId="31" xfId="23" applyFont="1" applyFill="1" applyBorder="1" applyAlignment="1">
      <alignment horizontal="center" vertical="center" wrapText="1"/>
    </xf>
    <xf numFmtId="0" fontId="54" fillId="0" borderId="32" xfId="23" applyFont="1" applyBorder="1" applyAlignment="1">
      <alignment horizontal="center" vertical="center" wrapText="1"/>
    </xf>
    <xf numFmtId="0" fontId="52" fillId="3" borderId="0" xfId="23" applyFill="1"/>
    <xf numFmtId="0" fontId="59" fillId="0" borderId="30" xfId="23" applyFont="1" applyBorder="1" applyAlignment="1">
      <alignment horizontal="center" vertical="center" wrapText="1"/>
    </xf>
    <xf numFmtId="9" fontId="52" fillId="0" borderId="0" xfId="23" applyNumberFormat="1"/>
    <xf numFmtId="0" fontId="61" fillId="0" borderId="0" xfId="24"/>
    <xf numFmtId="0" fontId="52" fillId="0" borderId="6" xfId="23" applyBorder="1"/>
    <xf numFmtId="0" fontId="52" fillId="0" borderId="7" xfId="23" applyBorder="1"/>
    <xf numFmtId="0" fontId="52" fillId="0" borderId="8" xfId="23" applyBorder="1"/>
    <xf numFmtId="0" fontId="54" fillId="0" borderId="30" xfId="23" applyFont="1" applyBorder="1" applyAlignment="1">
      <alignment horizontal="center" vertical="center" wrapText="1"/>
    </xf>
    <xf numFmtId="0" fontId="59" fillId="0" borderId="31" xfId="23" applyFont="1" applyBorder="1" applyAlignment="1">
      <alignment horizontal="center" vertical="center" wrapText="1"/>
    </xf>
    <xf numFmtId="0" fontId="61" fillId="0" borderId="4" xfId="24" applyBorder="1"/>
    <xf numFmtId="0" fontId="55" fillId="9" borderId="35" xfId="23" applyFont="1" applyFill="1" applyBorder="1" applyAlignment="1">
      <alignment horizontal="center" vertical="center" wrapText="1"/>
    </xf>
    <xf numFmtId="0" fontId="58" fillId="9" borderId="7" xfId="23" applyFont="1" applyFill="1" applyBorder="1" applyAlignment="1">
      <alignment horizontal="center" vertical="center" wrapText="1"/>
    </xf>
    <xf numFmtId="169" fontId="62" fillId="0" borderId="0" xfId="25" applyFont="1"/>
    <xf numFmtId="170" fontId="62" fillId="0" borderId="0" xfId="25" applyNumberFormat="1" applyFont="1"/>
    <xf numFmtId="0" fontId="62" fillId="0" borderId="0" xfId="23" applyFont="1"/>
    <xf numFmtId="170" fontId="52" fillId="0" borderId="0" xfId="23" applyNumberFormat="1"/>
    <xf numFmtId="171" fontId="52" fillId="0" borderId="0" xfId="23" applyNumberFormat="1"/>
    <xf numFmtId="1" fontId="52" fillId="0" borderId="0" xfId="23" applyNumberFormat="1"/>
    <xf numFmtId="0" fontId="62" fillId="0" borderId="4" xfId="23" applyFont="1" applyBorder="1"/>
    <xf numFmtId="0" fontId="62" fillId="3" borderId="0" xfId="23" applyFont="1" applyFill="1"/>
    <xf numFmtId="0" fontId="52" fillId="0" borderId="10" xfId="23" applyBorder="1"/>
    <xf numFmtId="0" fontId="62" fillId="0" borderId="10" xfId="23" applyFont="1" applyBorder="1"/>
    <xf numFmtId="0" fontId="63" fillId="0" borderId="10" xfId="23" applyFont="1" applyBorder="1"/>
    <xf numFmtId="2" fontId="63" fillId="0" borderId="10" xfId="23" applyNumberFormat="1" applyFont="1" applyBorder="1"/>
    <xf numFmtId="2" fontId="62" fillId="0" borderId="10" xfId="23" applyNumberFormat="1" applyFont="1" applyBorder="1"/>
    <xf numFmtId="2" fontId="52" fillId="0" borderId="10" xfId="23" applyNumberFormat="1" applyBorder="1"/>
    <xf numFmtId="9" fontId="52" fillId="0" borderId="10" xfId="23" applyNumberFormat="1" applyBorder="1"/>
    <xf numFmtId="9" fontId="52" fillId="3" borderId="10" xfId="23" applyNumberFormat="1" applyFill="1" applyBorder="1"/>
    <xf numFmtId="9" fontId="52" fillId="3" borderId="0" xfId="23" applyNumberFormat="1" applyFill="1"/>
    <xf numFmtId="0" fontId="62" fillId="0" borderId="0" xfId="23" applyFont="1" applyAlignment="1">
      <alignment horizontal="right"/>
    </xf>
    <xf numFmtId="0" fontId="52" fillId="0" borderId="0" xfId="23" applyAlignment="1">
      <alignment horizontal="right"/>
    </xf>
    <xf numFmtId="171" fontId="52" fillId="0" borderId="4" xfId="23" applyNumberFormat="1" applyBorder="1"/>
    <xf numFmtId="2" fontId="52" fillId="0" borderId="0" xfId="23" applyNumberFormat="1"/>
    <xf numFmtId="2" fontId="52" fillId="0" borderId="4" xfId="23" applyNumberFormat="1" applyBorder="1"/>
    <xf numFmtId="2" fontId="52" fillId="0" borderId="6" xfId="23" applyNumberFormat="1" applyBorder="1"/>
    <xf numFmtId="0" fontId="62" fillId="0" borderId="0" xfId="23" applyFont="1" applyAlignment="1">
      <alignment horizontal="left"/>
    </xf>
    <xf numFmtId="43" fontId="52" fillId="0" borderId="0" xfId="23" applyNumberFormat="1"/>
    <xf numFmtId="2" fontId="64" fillId="0" borderId="0" xfId="23" applyNumberFormat="1" applyFont="1"/>
    <xf numFmtId="0" fontId="64" fillId="0" borderId="0" xfId="23" applyFont="1"/>
    <xf numFmtId="0" fontId="52" fillId="10" borderId="0" xfId="23" applyFill="1"/>
    <xf numFmtId="165" fontId="52" fillId="0" borderId="10" xfId="23" applyNumberFormat="1" applyBorder="1"/>
    <xf numFmtId="171" fontId="52" fillId="0" borderId="10" xfId="23" applyNumberFormat="1" applyBorder="1"/>
    <xf numFmtId="0" fontId="64" fillId="0" borderId="4" xfId="23" applyFont="1" applyBorder="1"/>
    <xf numFmtId="0" fontId="65" fillId="0" borderId="0" xfId="23" applyFont="1"/>
    <xf numFmtId="9" fontId="0" fillId="0" borderId="0" xfId="26" applyFont="1"/>
    <xf numFmtId="172" fontId="52" fillId="0" borderId="0" xfId="23" applyNumberFormat="1"/>
    <xf numFmtId="9" fontId="52" fillId="0" borderId="1" xfId="23" applyNumberFormat="1" applyBorder="1"/>
    <xf numFmtId="9" fontId="52" fillId="0" borderId="4" xfId="23" applyNumberFormat="1" applyBorder="1"/>
    <xf numFmtId="9" fontId="52" fillId="0" borderId="6" xfId="23" applyNumberFormat="1" applyBorder="1"/>
    <xf numFmtId="2" fontId="62" fillId="0" borderId="0" xfId="23" applyNumberFormat="1" applyFont="1"/>
    <xf numFmtId="172" fontId="62" fillId="0" borderId="0" xfId="23" applyNumberFormat="1" applyFont="1"/>
    <xf numFmtId="165" fontId="52" fillId="0" borderId="0" xfId="23" applyNumberFormat="1"/>
    <xf numFmtId="170" fontId="0" fillId="0" borderId="0" xfId="25" applyNumberFormat="1" applyFont="1"/>
    <xf numFmtId="0" fontId="66" fillId="0" borderId="0" xfId="23" applyFont="1"/>
    <xf numFmtId="0" fontId="62" fillId="0" borderId="1" xfId="23" applyFont="1" applyBorder="1"/>
    <xf numFmtId="0" fontId="62" fillId="0" borderId="2" xfId="23" applyFont="1" applyBorder="1"/>
    <xf numFmtId="170" fontId="0" fillId="0" borderId="0" xfId="25" applyNumberFormat="1" applyFont="1" applyBorder="1"/>
    <xf numFmtId="0" fontId="52" fillId="0" borderId="2" xfId="23" applyBorder="1" applyAlignment="1">
      <alignment wrapText="1"/>
    </xf>
    <xf numFmtId="0" fontId="67" fillId="11" borderId="36" xfId="23" applyFont="1" applyFill="1" applyBorder="1" applyAlignment="1">
      <alignment horizontal="left" vertical="top" wrapText="1" indent="1"/>
    </xf>
    <xf numFmtId="0" fontId="67" fillId="11" borderId="37" xfId="23" applyFont="1" applyFill="1" applyBorder="1" applyAlignment="1">
      <alignment horizontal="center" vertical="top" wrapText="1"/>
    </xf>
    <xf numFmtId="0" fontId="68" fillId="11" borderId="1" xfId="23" applyFont="1" applyFill="1" applyBorder="1" applyAlignment="1">
      <alignment horizontal="left" wrapText="1"/>
    </xf>
    <xf numFmtId="0" fontId="68" fillId="12" borderId="4" xfId="23" applyFont="1" applyFill="1" applyBorder="1" applyAlignment="1">
      <alignment horizontal="left" vertical="center" wrapText="1"/>
    </xf>
    <xf numFmtId="0" fontId="68" fillId="12" borderId="0" xfId="23" applyFont="1" applyFill="1" applyAlignment="1">
      <alignment horizontal="left" vertical="center" wrapText="1"/>
    </xf>
    <xf numFmtId="0" fontId="67" fillId="12" borderId="4" xfId="23" applyFont="1" applyFill="1" applyBorder="1" applyAlignment="1">
      <alignment horizontal="center" vertical="top" wrapText="1"/>
    </xf>
    <xf numFmtId="0" fontId="67" fillId="12" borderId="0" xfId="23" applyFont="1" applyFill="1" applyAlignment="1">
      <alignment horizontal="center" vertical="top" wrapText="1"/>
    </xf>
    <xf numFmtId="0" fontId="67" fillId="12" borderId="5" xfId="23" applyFont="1" applyFill="1" applyBorder="1" applyAlignment="1">
      <alignment horizontal="center" vertical="top" wrapText="1"/>
    </xf>
    <xf numFmtId="0" fontId="67" fillId="12" borderId="0" xfId="23" applyFont="1" applyFill="1" applyAlignment="1">
      <alignment horizontal="left" vertical="top" wrapText="1" indent="1"/>
    </xf>
    <xf numFmtId="0" fontId="68" fillId="12" borderId="38" xfId="23" applyFont="1" applyFill="1" applyBorder="1" applyAlignment="1">
      <alignment horizontal="left" wrapText="1"/>
    </xf>
    <xf numFmtId="0" fontId="67" fillId="12" borderId="39" xfId="23" applyFont="1" applyFill="1" applyBorder="1" applyAlignment="1">
      <alignment horizontal="center" vertical="top" wrapText="1"/>
    </xf>
    <xf numFmtId="0" fontId="67" fillId="12" borderId="38" xfId="23" applyFont="1" applyFill="1" applyBorder="1" applyAlignment="1">
      <alignment horizontal="center" vertical="top" wrapText="1"/>
    </xf>
    <xf numFmtId="0" fontId="67" fillId="12" borderId="40" xfId="23" applyFont="1" applyFill="1" applyBorder="1" applyAlignment="1">
      <alignment horizontal="center" vertical="top" wrapText="1"/>
    </xf>
    <xf numFmtId="0" fontId="67" fillId="12" borderId="39" xfId="23" applyFont="1" applyFill="1" applyBorder="1" applyAlignment="1">
      <alignment horizontal="left" vertical="top" wrapText="1" indent="2"/>
    </xf>
    <xf numFmtId="1" fontId="67" fillId="0" borderId="36" xfId="23" applyNumberFormat="1" applyFont="1" applyBorder="1" applyAlignment="1">
      <alignment horizontal="left" vertical="top" indent="1" shrinkToFit="1"/>
    </xf>
    <xf numFmtId="0" fontId="67" fillId="0" borderId="37" xfId="23" applyFont="1" applyBorder="1" applyAlignment="1">
      <alignment horizontal="center" vertical="top" wrapText="1"/>
    </xf>
    <xf numFmtId="1" fontId="67" fillId="0" borderId="36" xfId="23" applyNumberFormat="1" applyFont="1" applyBorder="1" applyAlignment="1">
      <alignment horizontal="center" vertical="top" shrinkToFit="1"/>
    </xf>
    <xf numFmtId="0" fontId="67" fillId="0" borderId="41" xfId="23" applyFont="1" applyBorder="1" applyAlignment="1">
      <alignment horizontal="center" vertical="top" wrapText="1"/>
    </xf>
    <xf numFmtId="0" fontId="67" fillId="0" borderId="37" xfId="23" applyFont="1" applyBorder="1" applyAlignment="1">
      <alignment horizontal="left" vertical="top" wrapText="1" indent="1"/>
    </xf>
    <xf numFmtId="0" fontId="67" fillId="0" borderId="37" xfId="23" applyFont="1" applyBorder="1" applyAlignment="1">
      <alignment horizontal="right" vertical="top" wrapText="1" indent="1"/>
    </xf>
    <xf numFmtId="0" fontId="67" fillId="0" borderId="37" xfId="23" applyFont="1" applyBorder="1" applyAlignment="1">
      <alignment horizontal="left" vertical="top" wrapText="1" indent="2"/>
    </xf>
    <xf numFmtId="1" fontId="67" fillId="0" borderId="4" xfId="23" applyNumberFormat="1" applyFont="1" applyBorder="1" applyAlignment="1">
      <alignment horizontal="left" vertical="top" indent="1" shrinkToFit="1"/>
    </xf>
    <xf numFmtId="0" fontId="67" fillId="0" borderId="0" xfId="23" applyFont="1" applyAlignment="1">
      <alignment horizontal="center" vertical="top" wrapText="1"/>
    </xf>
    <xf numFmtId="1" fontId="67" fillId="0" borderId="4" xfId="23" applyNumberFormat="1" applyFont="1" applyBorder="1" applyAlignment="1">
      <alignment horizontal="center" vertical="top" shrinkToFit="1"/>
    </xf>
    <xf numFmtId="0" fontId="67" fillId="0" borderId="5" xfId="23" applyFont="1" applyBorder="1" applyAlignment="1">
      <alignment horizontal="center" vertical="top" wrapText="1"/>
    </xf>
    <xf numFmtId="0" fontId="67" fillId="0" borderId="0" xfId="23" applyFont="1" applyAlignment="1">
      <alignment horizontal="left" vertical="top" wrapText="1" indent="1"/>
    </xf>
    <xf numFmtId="0" fontId="67" fillId="0" borderId="0" xfId="23" applyFont="1" applyAlignment="1">
      <alignment horizontal="right" vertical="top" wrapText="1" indent="1"/>
    </xf>
    <xf numFmtId="0" fontId="67" fillId="0" borderId="0" xfId="23" applyFont="1" applyAlignment="1">
      <alignment horizontal="left" vertical="top" wrapText="1" indent="2"/>
    </xf>
    <xf numFmtId="1" fontId="67" fillId="0" borderId="38" xfId="23" applyNumberFormat="1" applyFont="1" applyBorder="1" applyAlignment="1">
      <alignment horizontal="left" vertical="top" indent="1" shrinkToFit="1"/>
    </xf>
    <xf numFmtId="0" fontId="67" fillId="0" borderId="39" xfId="23" applyFont="1" applyBorder="1" applyAlignment="1">
      <alignment horizontal="center" vertical="top" wrapText="1"/>
    </xf>
    <xf numFmtId="1" fontId="67" fillId="0" borderId="6" xfId="23" applyNumberFormat="1" applyFont="1" applyBorder="1" applyAlignment="1">
      <alignment horizontal="center" vertical="top" shrinkToFit="1"/>
    </xf>
    <xf numFmtId="0" fontId="67" fillId="0" borderId="7" xfId="23" applyFont="1" applyBorder="1" applyAlignment="1">
      <alignment horizontal="center" vertical="top" wrapText="1"/>
    </xf>
    <xf numFmtId="0" fontId="67" fillId="0" borderId="8" xfId="23" applyFont="1" applyBorder="1" applyAlignment="1">
      <alignment horizontal="center" vertical="top" wrapText="1"/>
    </xf>
    <xf numFmtId="0" fontId="67" fillId="0" borderId="39" xfId="23" applyFont="1" applyBorder="1" applyAlignment="1">
      <alignment horizontal="left" vertical="top" wrapText="1" indent="1"/>
    </xf>
    <xf numFmtId="0" fontId="67" fillId="0" borderId="39" xfId="23" applyFont="1" applyBorder="1" applyAlignment="1">
      <alignment horizontal="right" vertical="top" wrapText="1" indent="1"/>
    </xf>
    <xf numFmtId="0" fontId="5" fillId="0" borderId="5" xfId="12" applyFont="1" applyBorder="1" applyAlignment="1">
      <alignment horizontal="center" textRotation="90"/>
    </xf>
    <xf numFmtId="0" fontId="0" fillId="13" borderId="0" xfId="0" applyFill="1"/>
    <xf numFmtId="0" fontId="22" fillId="13" borderId="0" xfId="0" applyFont="1" applyFill="1"/>
    <xf numFmtId="0" fontId="0" fillId="14" borderId="0" xfId="0" applyFill="1"/>
    <xf numFmtId="0" fontId="22" fillId="14" borderId="0" xfId="0" applyFont="1" applyFill="1"/>
    <xf numFmtId="0" fontId="69" fillId="14" borderId="0" xfId="0" applyFont="1" applyFill="1"/>
    <xf numFmtId="0" fontId="70" fillId="14" borderId="0" xfId="0" applyFont="1" applyFill="1" applyAlignment="1">
      <alignment horizontal="center"/>
    </xf>
    <xf numFmtId="0" fontId="22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6" fillId="14" borderId="0" xfId="0" applyFont="1" applyFill="1"/>
    <xf numFmtId="0" fontId="0" fillId="0" borderId="5" xfId="0" applyBorder="1"/>
    <xf numFmtId="168" fontId="0" fillId="0" borderId="3" xfId="8" applyNumberFormat="1" applyFont="1" applyBorder="1"/>
    <xf numFmtId="2" fontId="0" fillId="0" borderId="0" xfId="0" applyNumberFormat="1"/>
    <xf numFmtId="0" fontId="69" fillId="0" borderId="0" xfId="0" applyFont="1"/>
    <xf numFmtId="2" fontId="46" fillId="4" borderId="0" xfId="21" applyNumberFormat="1" applyAlignment="1">
      <alignment horizontal="center"/>
    </xf>
    <xf numFmtId="0" fontId="60" fillId="8" borderId="0" xfId="23" applyFont="1" applyFill="1" applyAlignment="1">
      <alignment horizontal="left" vertical="center" wrapText="1" indent="4"/>
    </xf>
    <xf numFmtId="0" fontId="71" fillId="0" borderId="1" xfId="23" applyFont="1" applyBorder="1"/>
    <xf numFmtId="0" fontId="71" fillId="0" borderId="2" xfId="23" applyFont="1" applyBorder="1"/>
    <xf numFmtId="0" fontId="72" fillId="8" borderId="0" xfId="23" applyFont="1" applyFill="1" applyAlignment="1">
      <alignment horizontal="center" vertical="center" wrapText="1"/>
    </xf>
    <xf numFmtId="166" fontId="58" fillId="9" borderId="31" xfId="23" applyNumberFormat="1" applyFont="1" applyFill="1" applyBorder="1" applyAlignment="1">
      <alignment horizontal="center" vertical="center" wrapText="1"/>
    </xf>
    <xf numFmtId="0" fontId="74" fillId="0" borderId="34" xfId="23" applyFont="1" applyBorder="1" applyAlignment="1">
      <alignment horizontal="center" vertical="center" wrapText="1"/>
    </xf>
    <xf numFmtId="0" fontId="4" fillId="0" borderId="5" xfId="12" applyFont="1" applyBorder="1" applyAlignment="1">
      <alignment horizontal="center" textRotation="90"/>
    </xf>
    <xf numFmtId="15" fontId="0" fillId="0" borderId="0" xfId="0" applyNumberFormat="1"/>
    <xf numFmtId="0" fontId="3" fillId="0" borderId="0" xfId="27"/>
    <xf numFmtId="0" fontId="3" fillId="0" borderId="5" xfId="27" applyBorder="1" applyAlignment="1">
      <alignment horizontal="center"/>
    </xf>
    <xf numFmtId="0" fontId="3" fillId="0" borderId="14" xfId="27" applyBorder="1" applyAlignment="1">
      <alignment horizontal="center"/>
    </xf>
    <xf numFmtId="0" fontId="3" fillId="0" borderId="0" xfId="27" applyAlignment="1">
      <alignment horizontal="center"/>
    </xf>
    <xf numFmtId="0" fontId="3" fillId="0" borderId="4" xfId="27" applyBorder="1" applyAlignment="1">
      <alignment horizontal="center"/>
    </xf>
    <xf numFmtId="0" fontId="38" fillId="0" borderId="0" xfId="27" applyFont="1"/>
    <xf numFmtId="0" fontId="3" fillId="0" borderId="9" xfId="27" applyBorder="1" applyAlignment="1">
      <alignment horizontal="center"/>
    </xf>
    <xf numFmtId="0" fontId="3" fillId="0" borderId="14" xfId="27" applyBorder="1"/>
    <xf numFmtId="0" fontId="3" fillId="0" borderId="12" xfId="27" applyBorder="1" applyAlignment="1">
      <alignment horizontal="center"/>
    </xf>
    <xf numFmtId="0" fontId="3" fillId="0" borderId="13" xfId="27" applyBorder="1" applyAlignment="1">
      <alignment horizontal="center"/>
    </xf>
    <xf numFmtId="0" fontId="3" fillId="0" borderId="10" xfId="27" applyBorder="1" applyAlignment="1">
      <alignment horizontal="center"/>
    </xf>
    <xf numFmtId="0" fontId="40" fillId="0" borderId="0" xfId="27" applyFont="1"/>
    <xf numFmtId="0" fontId="3" fillId="0" borderId="3" xfId="27" applyBorder="1" applyAlignment="1">
      <alignment horizontal="center"/>
    </xf>
    <xf numFmtId="0" fontId="3" fillId="0" borderId="1" xfId="27" applyBorder="1" applyAlignment="1">
      <alignment horizontal="center"/>
    </xf>
    <xf numFmtId="0" fontId="37" fillId="0" borderId="14" xfId="27" applyFont="1" applyBorder="1" applyAlignment="1">
      <alignment horizontal="center"/>
    </xf>
    <xf numFmtId="0" fontId="3" fillId="0" borderId="8" xfId="27" applyBorder="1" applyAlignment="1">
      <alignment horizontal="center"/>
    </xf>
    <xf numFmtId="0" fontId="3" fillId="0" borderId="6" xfId="27" applyBorder="1" applyAlignment="1">
      <alignment horizontal="center"/>
    </xf>
    <xf numFmtId="0" fontId="40" fillId="0" borderId="15" xfId="27" applyFont="1" applyBorder="1" applyAlignment="1">
      <alignment horizontal="center"/>
    </xf>
    <xf numFmtId="0" fontId="31" fillId="0" borderId="0" xfId="27" applyFont="1"/>
    <xf numFmtId="0" fontId="37" fillId="0" borderId="0" xfId="27" applyFont="1"/>
    <xf numFmtId="0" fontId="3" fillId="0" borderId="4" xfId="27" applyBorder="1"/>
    <xf numFmtId="0" fontId="3" fillId="0" borderId="15" xfId="27" applyBorder="1" applyAlignment="1">
      <alignment horizontal="center"/>
    </xf>
    <xf numFmtId="0" fontId="39" fillId="0" borderId="0" xfId="27" applyFont="1"/>
    <xf numFmtId="0" fontId="41" fillId="0" borderId="0" xfId="27" applyFont="1"/>
    <xf numFmtId="0" fontId="3" fillId="0" borderId="5" xfId="27" applyBorder="1"/>
    <xf numFmtId="0" fontId="3" fillId="0" borderId="5" xfId="27" applyBorder="1" applyAlignment="1">
      <alignment horizontal="center" textRotation="90"/>
    </xf>
    <xf numFmtId="0" fontId="3" fillId="0" borderId="0" xfId="27" applyAlignment="1">
      <alignment horizontal="center" textRotation="90"/>
    </xf>
    <xf numFmtId="0" fontId="3" fillId="0" borderId="4" xfId="27" applyBorder="1" applyAlignment="1">
      <alignment horizontal="center" textRotation="90"/>
    </xf>
    <xf numFmtId="0" fontId="77" fillId="0" borderId="0" xfId="5" applyFont="1"/>
    <xf numFmtId="0" fontId="22" fillId="0" borderId="0" xfId="2"/>
    <xf numFmtId="0" fontId="78" fillId="0" borderId="0" xfId="5" applyFont="1"/>
    <xf numFmtId="0" fontId="79" fillId="19" borderId="0" xfId="2" applyFont="1" applyFill="1"/>
    <xf numFmtId="0" fontId="80" fillId="19" borderId="0" xfId="2" applyFont="1" applyFill="1"/>
    <xf numFmtId="0" fontId="81" fillId="0" borderId="0" xfId="2" applyFont="1"/>
    <xf numFmtId="0" fontId="16" fillId="20" borderId="2" xfId="2" applyFont="1" applyFill="1" applyBorder="1"/>
    <xf numFmtId="0" fontId="16" fillId="20" borderId="11" xfId="2" applyFont="1" applyFill="1" applyBorder="1"/>
    <xf numFmtId="0" fontId="16" fillId="20" borderId="2" xfId="2" applyFont="1" applyFill="1" applyBorder="1" applyAlignment="1">
      <alignment horizontal="left"/>
    </xf>
    <xf numFmtId="0" fontId="22" fillId="21" borderId="42" xfId="28" applyFill="1" applyBorder="1" applyAlignment="1">
      <alignment horizontal="left" wrapText="1"/>
    </xf>
    <xf numFmtId="0" fontId="22" fillId="21" borderId="43" xfId="28" applyFill="1" applyBorder="1" applyAlignment="1">
      <alignment horizontal="left" wrapText="1"/>
    </xf>
    <xf numFmtId="0" fontId="22" fillId="2" borderId="0" xfId="2" applyFill="1"/>
    <xf numFmtId="0" fontId="22" fillId="0" borderId="0" xfId="28"/>
    <xf numFmtId="0" fontId="82" fillId="0" borderId="0" xfId="28" applyFont="1"/>
    <xf numFmtId="0" fontId="83" fillId="0" borderId="0" xfId="28" applyFont="1"/>
    <xf numFmtId="0" fontId="79" fillId="19" borderId="0" xfId="28" applyFont="1" applyFill="1"/>
    <xf numFmtId="0" fontId="81" fillId="0" borderId="0" xfId="28" applyFont="1"/>
    <xf numFmtId="0" fontId="16" fillId="20" borderId="11" xfId="28" applyFont="1" applyFill="1" applyBorder="1"/>
    <xf numFmtId="0" fontId="22" fillId="2" borderId="0" xfId="28" applyFill="1"/>
    <xf numFmtId="0" fontId="19" fillId="0" borderId="0" xfId="2" applyFont="1" applyAlignment="1">
      <alignment horizontal="center" wrapText="1"/>
    </xf>
    <xf numFmtId="0" fontId="18" fillId="0" borderId="0" xfId="2" applyFont="1"/>
    <xf numFmtId="0" fontId="90" fillId="0" borderId="0" xfId="1" applyFont="1"/>
    <xf numFmtId="167" fontId="19" fillId="0" borderId="0" xfId="0" applyNumberFormat="1" applyFont="1"/>
    <xf numFmtId="0" fontId="1" fillId="0" borderId="5" xfId="12" applyFont="1" applyBorder="1" applyAlignment="1">
      <alignment horizontal="center" textRotation="90"/>
    </xf>
    <xf numFmtId="0" fontId="1" fillId="0" borderId="5" xfId="27" applyFont="1" applyBorder="1" applyAlignment="1">
      <alignment horizontal="center" textRotation="90"/>
    </xf>
    <xf numFmtId="0" fontId="59" fillId="0" borderId="33" xfId="23" applyFont="1" applyBorder="1" applyAlignment="1">
      <alignment horizontal="center" vertical="center" wrapText="1"/>
    </xf>
    <xf numFmtId="0" fontId="59" fillId="0" borderId="34" xfId="23" applyFont="1" applyBorder="1" applyAlignment="1">
      <alignment horizontal="center" vertical="center" wrapText="1"/>
    </xf>
    <xf numFmtId="0" fontId="54" fillId="7" borderId="25" xfId="23" applyFont="1" applyFill="1" applyBorder="1" applyAlignment="1">
      <alignment horizontal="center" vertical="center" wrapText="1"/>
    </xf>
    <xf numFmtId="0" fontId="54" fillId="7" borderId="27" xfId="23" applyFont="1" applyFill="1" applyBorder="1" applyAlignment="1">
      <alignment horizontal="center" vertical="center" wrapText="1"/>
    </xf>
    <xf numFmtId="0" fontId="54" fillId="0" borderId="29" xfId="23" applyFont="1" applyBorder="1" applyAlignment="1">
      <alignment horizontal="center" vertical="center" wrapText="1"/>
    </xf>
    <xf numFmtId="0" fontId="54" fillId="0" borderId="25" xfId="23" applyFont="1" applyBorder="1" applyAlignment="1">
      <alignment horizontal="center" vertical="center" wrapText="1"/>
    </xf>
    <xf numFmtId="0" fontId="54" fillId="0" borderId="27" xfId="23" applyFont="1" applyBorder="1" applyAlignment="1">
      <alignment horizontal="center" vertical="center" wrapText="1"/>
    </xf>
    <xf numFmtId="0" fontId="74" fillId="0" borderId="33" xfId="23" applyFont="1" applyBorder="1" applyAlignment="1">
      <alignment horizontal="center" vertical="center" wrapText="1"/>
    </xf>
    <xf numFmtId="0" fontId="74" fillId="0" borderId="34" xfId="23" applyFont="1" applyBorder="1" applyAlignment="1">
      <alignment horizontal="center" vertical="center" wrapText="1"/>
    </xf>
    <xf numFmtId="166" fontId="59" fillId="0" borderId="33" xfId="23" applyNumberFormat="1" applyFont="1" applyBorder="1" applyAlignment="1">
      <alignment horizontal="center" vertical="center" wrapText="1"/>
    </xf>
    <xf numFmtId="166" fontId="59" fillId="0" borderId="34" xfId="23" applyNumberFormat="1" applyFont="1" applyBorder="1" applyAlignment="1">
      <alignment horizontal="center" vertical="center" wrapText="1"/>
    </xf>
    <xf numFmtId="0" fontId="67" fillId="11" borderId="2" xfId="23" applyFont="1" applyFill="1" applyBorder="1" applyAlignment="1">
      <alignment horizontal="left" vertical="top" wrapText="1"/>
    </xf>
    <xf numFmtId="0" fontId="67" fillId="11" borderId="3" xfId="23" applyFont="1" applyFill="1" applyBorder="1" applyAlignment="1">
      <alignment horizontal="left" vertical="top" wrapText="1"/>
    </xf>
    <xf numFmtId="0" fontId="67" fillId="11" borderId="37" xfId="23" applyFont="1" applyFill="1" applyBorder="1" applyAlignment="1">
      <alignment horizontal="left" vertical="top" wrapText="1" indent="5"/>
    </xf>
    <xf numFmtId="0" fontId="67" fillId="12" borderId="0" xfId="23" applyFont="1" applyFill="1" applyAlignment="1">
      <alignment horizontal="left" vertical="top" wrapText="1"/>
    </xf>
  </cellXfs>
  <cellStyles count="78">
    <cellStyle name="20% - Accent5 2" xfId="60" xr:uid="{5E09AC11-EE5C-47C6-AC38-01F75E51F2D0}"/>
    <cellStyle name="60% - Accent2 2" xfId="61" xr:uid="{FE58BDC0-25A6-4848-8201-E7BB26715D1B}"/>
    <cellStyle name="Bad" xfId="21" builtinId="27"/>
    <cellStyle name="Calculation 2" xfId="51" xr:uid="{DF1D445C-49D7-46C4-A295-44C707A94294}"/>
    <cellStyle name="Comma 2" xfId="7" xr:uid="{00000000-0005-0000-0000-000000000000}"/>
    <cellStyle name="Comma 2 2" xfId="15" xr:uid="{2D29F2AE-A72A-4F35-A2CA-2C4A01C4F113}"/>
    <cellStyle name="Comma 2 2 2" xfId="49" xr:uid="{A34E4498-602E-4C2D-A0C6-28E96ED7A8D3}"/>
    <cellStyle name="Comma 2 2 3" xfId="36" xr:uid="{888B5626-B45A-4186-8498-47FDAD21BDAF}"/>
    <cellStyle name="Comma 2 3" xfId="6" xr:uid="{00000000-0005-0000-0000-000001000000}"/>
    <cellStyle name="Comma 2 3 2" xfId="31" xr:uid="{AA24BE92-96AC-4E4A-AE3B-D6C0C40F98F4}"/>
    <cellStyle name="Comma 2 4" xfId="48" xr:uid="{E270BFF4-407E-476B-AB21-58D2FD0BDF9B}"/>
    <cellStyle name="Comma 2 5" xfId="62" xr:uid="{7BCA5F1A-FA3D-4E83-8BDC-598DB31CB61D}"/>
    <cellStyle name="Comma 2 6" xfId="32" xr:uid="{D835B7A5-2FC6-4A21-AA92-8A250F47F7CB}"/>
    <cellStyle name="Comma 3" xfId="16" xr:uid="{C170A3C1-B68E-4AAE-92F6-CE979AB71698}"/>
    <cellStyle name="Comma 3 2" xfId="46" xr:uid="{BFAEF587-E245-422B-8663-87B2007EF306}"/>
    <cellStyle name="Comma 3 3" xfId="37" xr:uid="{2389C955-9D73-4444-882C-7D9D61DFC2F7}"/>
    <cellStyle name="Comma 4" xfId="25" xr:uid="{D1FA687A-5F8A-4679-9E4B-2C7C071EDA03}"/>
    <cellStyle name="Comma 4 2" xfId="59" xr:uid="{FBC7307C-D67A-4A1D-AD17-3EFB6E9D1474}"/>
    <cellStyle name="Comma 5" xfId="54" xr:uid="{432C402E-0D2E-4730-93AD-DC8D806FC586}"/>
    <cellStyle name="Heading 2" xfId="19" builtinId="17"/>
    <cellStyle name="Heading 3" xfId="20" builtinId="18"/>
    <cellStyle name="Hyperlink 2" xfId="11" xr:uid="{00000000-0005-0000-0000-000003000000}"/>
    <cellStyle name="Hyperlink 2 2" xfId="47" xr:uid="{BD6E85D7-D167-4D25-B815-CAC057C986E9}"/>
    <cellStyle name="Hyperlink 2 2 2" xfId="53" xr:uid="{52C98FC7-C905-4735-A68A-AFA00F1B5479}"/>
    <cellStyle name="Hyperlink 3" xfId="24" xr:uid="{9B1B0654-5311-4CDE-8D43-C62E5399FAF2}"/>
    <cellStyle name="Input" xfId="22" builtinId="20"/>
    <cellStyle name="Input 2" xfId="52" xr:uid="{4CC81B05-ABC3-40BE-B0AD-1DF7BF80F606}"/>
    <cellStyle name="Neutral 2" xfId="63" xr:uid="{D7C4774E-31D5-4013-845A-6B31AE5B37A2}"/>
    <cellStyle name="Normal" xfId="0" builtinId="0"/>
    <cellStyle name="Normal 10" xfId="28" xr:uid="{B74125DF-4299-416F-82F8-E26254227A36}"/>
    <cellStyle name="Normal 10 4" xfId="10" xr:uid="{00000000-0005-0000-0000-000005000000}"/>
    <cellStyle name="Normal 10 4 2" xfId="33" xr:uid="{80D9551D-CA87-46DC-B295-C61D763654B9}"/>
    <cellStyle name="Normal 12" xfId="40" xr:uid="{AF4231FE-7F67-48EC-B9F3-C3D1291C87ED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2 3" xfId="38" xr:uid="{B450799A-C01C-4916-A9E5-98A92616C968}"/>
    <cellStyle name="Normal 2 2 4" xfId="30" xr:uid="{CFC2FAF6-3EAB-43F6-8A45-DE52C53AAC1C}"/>
    <cellStyle name="Normal 2 3" xfId="14" xr:uid="{4AB230A0-E2D6-4984-83A4-4F34927A69CA}"/>
    <cellStyle name="Normal 2 3 2" xfId="50" xr:uid="{14AC1902-C30C-4CCE-B9EB-A2BA8AB830FC}"/>
    <cellStyle name="Normal 3" xfId="5" xr:uid="{00000000-0005-0000-0000-00000B000000}"/>
    <cellStyle name="Normal 3 2" xfId="39" xr:uid="{880715CD-F35C-4D5C-8953-037587400521}"/>
    <cellStyle name="Normal 4" xfId="12" xr:uid="{0BAD2C5B-36F5-4320-A9B9-F030A7823A07}"/>
    <cellStyle name="Normal 4 2" xfId="27" xr:uid="{9D395F08-F32A-4542-9182-03C1E3847973}"/>
    <cellStyle name="Normal 4 2 2" xfId="65" xr:uid="{DD2EC371-8E9F-40A2-8DC2-F9078DFECD98}"/>
    <cellStyle name="Normal 4 3" xfId="29" xr:uid="{4DD45C9D-445A-45F0-87E4-618656B045DC}"/>
    <cellStyle name="Normal 4 3 2" xfId="45" xr:uid="{5462DB82-F997-470E-A02D-B9650C4D902A}"/>
    <cellStyle name="Normal 4 4" xfId="64" xr:uid="{C1ECE29E-394D-4C4B-A0B9-40652E7D864E}"/>
    <cellStyle name="Normal 4 5" xfId="34" xr:uid="{0EAA9C07-3917-4C47-94FE-50E86606405E}"/>
    <cellStyle name="Normal 5" xfId="23" xr:uid="{4E7D1ADD-8FD9-49C2-88AA-2E3776C577CC}"/>
    <cellStyle name="Normal 5 2" xfId="42" xr:uid="{0EE34AFE-3D22-4330-88C6-46BD256A16D0}"/>
    <cellStyle name="Normal 6" xfId="41" xr:uid="{4FD9816D-8348-40C8-A669-8612EBA59A53}"/>
    <cellStyle name="Normal 7" xfId="43" xr:uid="{0ED0897A-D3C5-4EB6-B948-FAC682D0E4F4}"/>
    <cellStyle name="Normal 8" xfId="55" xr:uid="{48D0C8BB-970A-4DB8-97C4-BE34D4C66181}"/>
    <cellStyle name="Normal 8 2" xfId="66" xr:uid="{CC571C80-1E3B-4A73-9A4F-99589AAFADA3}"/>
    <cellStyle name="Normal 9" xfId="57" xr:uid="{E4DFF265-7E3A-4425-A804-16CA357492E5}"/>
    <cellStyle name="Normal 9 2" xfId="67" xr:uid="{97506B56-F1DD-4CF6-9F60-E730746DCF87}"/>
    <cellStyle name="Normale_B2020" xfId="68" xr:uid="{5CC06BF5-D1DF-4323-B112-121A26919E0E}"/>
    <cellStyle name="Percent" xfId="18" builtinId="5"/>
    <cellStyle name="Percent 2" xfId="13" xr:uid="{6FC4F8D8-ECD7-4A9E-B183-CAC9CE80278F}"/>
    <cellStyle name="Percent 2 2" xfId="17" xr:uid="{FFCF24A5-FA7A-4E91-8E3F-2BDE50B65C19}"/>
    <cellStyle name="Percent 2 3" xfId="44" xr:uid="{063D3976-0679-4FF7-88E6-171C8546CA9D}"/>
    <cellStyle name="Percent 2 4" xfId="69" xr:uid="{72E47F92-B2F2-4B3A-A59F-4BA9C0EA4D3C}"/>
    <cellStyle name="Percent 2 5" xfId="35" xr:uid="{0315B09A-2807-40A2-96EA-5AC900BB1DC0}"/>
    <cellStyle name="Percent 3" xfId="8" xr:uid="{00000000-0005-0000-0000-000010000000}"/>
    <cellStyle name="Percent 3 2" xfId="70" xr:uid="{32A0756E-D064-46A6-BC2A-CC03F65FEC0C}"/>
    <cellStyle name="Percent 3 3" xfId="71" xr:uid="{482A094C-AABF-4AC1-9885-18E5FE049259}"/>
    <cellStyle name="Percent 4" xfId="26" xr:uid="{5D598AA8-28F2-44B6-AA1E-F52C90C682F2}"/>
    <cellStyle name="Percent 4 2" xfId="73" xr:uid="{94260920-81B0-4F12-A73D-2B97D6F8E51B}"/>
    <cellStyle name="Percent 4 3" xfId="74" xr:uid="{39FEB2E0-6EBB-4816-9756-449FC78CBF78}"/>
    <cellStyle name="Percent 4 4" xfId="72" xr:uid="{5A0D1D1F-60C2-404E-992B-8D7F6B9B484F}"/>
    <cellStyle name="Percent 4 5" xfId="56" xr:uid="{DE28563D-E23D-4C36-BCDE-FCA2DCB76858}"/>
    <cellStyle name="Percent 5" xfId="58" xr:uid="{6E204304-458F-4588-816D-C85906389B62}"/>
    <cellStyle name="Percent 5 2" xfId="75" xr:uid="{F1E703E6-90C1-40A2-9E6E-A1927CCA79F8}"/>
    <cellStyle name="Percent 6" xfId="76" xr:uid="{487F0A5F-CAD2-4C00-AC9C-A1DD744A113B}"/>
    <cellStyle name="Standard_Sce_D_Extraction" xfId="77" xr:uid="{027E5D5B-E069-498A-B3B4-95B1EFAB6366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7" Type="http://schemas.openxmlformats.org/officeDocument/2006/relationships/image" Target="../media/image23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Relationship Id="rId6" Type="http://schemas.openxmlformats.org/officeDocument/2006/relationships/image" Target="../media/image22.emf"/><Relationship Id="rId5" Type="http://schemas.openxmlformats.org/officeDocument/2006/relationships/image" Target="../media/image21.emf"/><Relationship Id="rId4" Type="http://schemas.openxmlformats.org/officeDocument/2006/relationships/image" Target="../media/image20.em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25.emf"/><Relationship Id="rId1" Type="http://schemas.openxmlformats.org/officeDocument/2006/relationships/image" Target="../media/image24.jpeg"/><Relationship Id="rId4" Type="http://schemas.openxmlformats.org/officeDocument/2006/relationships/image" Target="../media/image27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emf"/><Relationship Id="rId3" Type="http://schemas.openxmlformats.org/officeDocument/2006/relationships/image" Target="../media/image31.emf"/><Relationship Id="rId7" Type="http://schemas.openxmlformats.org/officeDocument/2006/relationships/image" Target="../media/image35.emf"/><Relationship Id="rId2" Type="http://schemas.openxmlformats.org/officeDocument/2006/relationships/image" Target="../media/image30.emf"/><Relationship Id="rId1" Type="http://schemas.openxmlformats.org/officeDocument/2006/relationships/image" Target="../media/image29.emf"/><Relationship Id="rId6" Type="http://schemas.openxmlformats.org/officeDocument/2006/relationships/image" Target="../media/image34.emf"/><Relationship Id="rId5" Type="http://schemas.openxmlformats.org/officeDocument/2006/relationships/image" Target="../media/image33.emf"/><Relationship Id="rId4" Type="http://schemas.openxmlformats.org/officeDocument/2006/relationships/image" Target="../media/image32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emf"/><Relationship Id="rId2" Type="http://schemas.openxmlformats.org/officeDocument/2006/relationships/image" Target="../media/image38.emf"/><Relationship Id="rId1" Type="http://schemas.openxmlformats.org/officeDocument/2006/relationships/image" Target="../media/image37.emf"/><Relationship Id="rId4" Type="http://schemas.openxmlformats.org/officeDocument/2006/relationships/image" Target="../media/image40.emf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emf"/><Relationship Id="rId3" Type="http://schemas.openxmlformats.org/officeDocument/2006/relationships/image" Target="../media/image43.emf"/><Relationship Id="rId7" Type="http://schemas.openxmlformats.org/officeDocument/2006/relationships/image" Target="../media/image47.emf"/><Relationship Id="rId2" Type="http://schemas.openxmlformats.org/officeDocument/2006/relationships/image" Target="../media/image42.emf"/><Relationship Id="rId1" Type="http://schemas.openxmlformats.org/officeDocument/2006/relationships/image" Target="../media/image41.emf"/><Relationship Id="rId6" Type="http://schemas.openxmlformats.org/officeDocument/2006/relationships/image" Target="../media/image46.emf"/><Relationship Id="rId5" Type="http://schemas.openxmlformats.org/officeDocument/2006/relationships/image" Target="../media/image45.emf"/><Relationship Id="rId10" Type="http://schemas.openxmlformats.org/officeDocument/2006/relationships/image" Target="../media/image50.emf"/><Relationship Id="rId4" Type="http://schemas.openxmlformats.org/officeDocument/2006/relationships/image" Target="../media/image44.emf"/><Relationship Id="rId9" Type="http://schemas.openxmlformats.org/officeDocument/2006/relationships/image" Target="../media/image49.emf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emf"/><Relationship Id="rId3" Type="http://schemas.openxmlformats.org/officeDocument/2006/relationships/image" Target="../media/image53.emf"/><Relationship Id="rId7" Type="http://schemas.openxmlformats.org/officeDocument/2006/relationships/image" Target="../media/image57.emf"/><Relationship Id="rId2" Type="http://schemas.openxmlformats.org/officeDocument/2006/relationships/image" Target="../media/image52.emf"/><Relationship Id="rId1" Type="http://schemas.openxmlformats.org/officeDocument/2006/relationships/image" Target="../media/image51.emf"/><Relationship Id="rId6" Type="http://schemas.openxmlformats.org/officeDocument/2006/relationships/image" Target="../media/image56.emf"/><Relationship Id="rId5" Type="http://schemas.openxmlformats.org/officeDocument/2006/relationships/image" Target="../media/image55.emf"/><Relationship Id="rId4" Type="http://schemas.openxmlformats.org/officeDocument/2006/relationships/image" Target="../media/image54.emf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66.emf"/><Relationship Id="rId3" Type="http://schemas.openxmlformats.org/officeDocument/2006/relationships/image" Target="../media/image61.emf"/><Relationship Id="rId7" Type="http://schemas.openxmlformats.org/officeDocument/2006/relationships/image" Target="../media/image65.emf"/><Relationship Id="rId2" Type="http://schemas.openxmlformats.org/officeDocument/2006/relationships/image" Target="../media/image60.emf"/><Relationship Id="rId1" Type="http://schemas.openxmlformats.org/officeDocument/2006/relationships/image" Target="../media/image59.emf"/><Relationship Id="rId6" Type="http://schemas.openxmlformats.org/officeDocument/2006/relationships/image" Target="../media/image64.emf"/><Relationship Id="rId5" Type="http://schemas.openxmlformats.org/officeDocument/2006/relationships/image" Target="../media/image63.emf"/><Relationship Id="rId10" Type="http://schemas.openxmlformats.org/officeDocument/2006/relationships/image" Target="../media/image68.emf"/><Relationship Id="rId4" Type="http://schemas.openxmlformats.org/officeDocument/2006/relationships/image" Target="../media/image62.emf"/><Relationship Id="rId9" Type="http://schemas.openxmlformats.org/officeDocument/2006/relationships/image" Target="../media/image67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6.emf"/><Relationship Id="rId3" Type="http://schemas.openxmlformats.org/officeDocument/2006/relationships/image" Target="../media/image71.emf"/><Relationship Id="rId7" Type="http://schemas.openxmlformats.org/officeDocument/2006/relationships/image" Target="../media/image75.emf"/><Relationship Id="rId2" Type="http://schemas.openxmlformats.org/officeDocument/2006/relationships/image" Target="../media/image70.emf"/><Relationship Id="rId1" Type="http://schemas.openxmlformats.org/officeDocument/2006/relationships/image" Target="../media/image69.emf"/><Relationship Id="rId6" Type="http://schemas.openxmlformats.org/officeDocument/2006/relationships/image" Target="../media/image74.emf"/><Relationship Id="rId5" Type="http://schemas.openxmlformats.org/officeDocument/2006/relationships/image" Target="../media/image73.emf"/><Relationship Id="rId10" Type="http://schemas.openxmlformats.org/officeDocument/2006/relationships/image" Target="../media/image78.emf"/><Relationship Id="rId4" Type="http://schemas.openxmlformats.org/officeDocument/2006/relationships/image" Target="../media/image72.emf"/><Relationship Id="rId9" Type="http://schemas.openxmlformats.org/officeDocument/2006/relationships/image" Target="../media/image77.emf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6.emf"/><Relationship Id="rId3" Type="http://schemas.openxmlformats.org/officeDocument/2006/relationships/image" Target="../media/image81.emf"/><Relationship Id="rId7" Type="http://schemas.openxmlformats.org/officeDocument/2006/relationships/image" Target="../media/image85.emf"/><Relationship Id="rId2" Type="http://schemas.openxmlformats.org/officeDocument/2006/relationships/image" Target="../media/image80.emf"/><Relationship Id="rId1" Type="http://schemas.openxmlformats.org/officeDocument/2006/relationships/image" Target="../media/image79.emf"/><Relationship Id="rId6" Type="http://schemas.openxmlformats.org/officeDocument/2006/relationships/image" Target="../media/image84.emf"/><Relationship Id="rId5" Type="http://schemas.openxmlformats.org/officeDocument/2006/relationships/image" Target="../media/image83.emf"/><Relationship Id="rId4" Type="http://schemas.openxmlformats.org/officeDocument/2006/relationships/image" Target="../media/image82.emf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4.emf"/><Relationship Id="rId3" Type="http://schemas.openxmlformats.org/officeDocument/2006/relationships/image" Target="../media/image89.emf"/><Relationship Id="rId7" Type="http://schemas.openxmlformats.org/officeDocument/2006/relationships/image" Target="../media/image93.emf"/><Relationship Id="rId2" Type="http://schemas.openxmlformats.org/officeDocument/2006/relationships/image" Target="../media/image88.emf"/><Relationship Id="rId1" Type="http://schemas.openxmlformats.org/officeDocument/2006/relationships/image" Target="../media/image87.emf"/><Relationship Id="rId6" Type="http://schemas.openxmlformats.org/officeDocument/2006/relationships/image" Target="../media/image92.emf"/><Relationship Id="rId5" Type="http://schemas.openxmlformats.org/officeDocument/2006/relationships/image" Target="../media/image91.emf"/><Relationship Id="rId10" Type="http://schemas.openxmlformats.org/officeDocument/2006/relationships/image" Target="../media/image96.emf"/><Relationship Id="rId4" Type="http://schemas.openxmlformats.org/officeDocument/2006/relationships/image" Target="../media/image90.emf"/><Relationship Id="rId9" Type="http://schemas.openxmlformats.org/officeDocument/2006/relationships/image" Target="../media/image95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5" Type="http://schemas.openxmlformats.org/officeDocument/2006/relationships/image" Target="../media/image16.emf"/><Relationship Id="rId4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857250</xdr:colOff>
      <xdr:row>2</xdr:row>
      <xdr:rowOff>205740</xdr:rowOff>
    </xdr:to>
    <xdr:sp macro="" textlink="">
      <xdr:nvSpPr>
        <xdr:cNvPr id="157697" name="cmdTechNameAndDesc" hidden="1">
          <a:extLst>
            <a:ext uri="{63B3BB69-23CF-44E3-9099-C40C66FF867C}">
              <a14:compatExt xmlns:a14="http://schemas.microsoft.com/office/drawing/2010/main" spid="_x0000_s157697"/>
            </a:ext>
            <a:ext uri="{FF2B5EF4-FFF2-40B4-BE49-F238E27FC236}">
              <a16:creationId xmlns:a16="http://schemas.microsoft.com/office/drawing/2014/main" id="{00000000-0008-0000-0D00-000001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628650</xdr:colOff>
      <xdr:row>2</xdr:row>
      <xdr:rowOff>205740</xdr:rowOff>
    </xdr:to>
    <xdr:sp macro="" textlink="">
      <xdr:nvSpPr>
        <xdr:cNvPr id="157698" name="cmdCommIN" hidden="1">
          <a:extLst>
            <a:ext uri="{63B3BB69-23CF-44E3-9099-C40C66FF867C}">
              <a14:compatExt xmlns:a14="http://schemas.microsoft.com/office/drawing/2010/main" spid="_x0000_s157698"/>
            </a:ext>
            <a:ext uri="{FF2B5EF4-FFF2-40B4-BE49-F238E27FC236}">
              <a16:creationId xmlns:a16="http://schemas.microsoft.com/office/drawing/2014/main" id="{00000000-0008-0000-0D00-000002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628650</xdr:colOff>
      <xdr:row>2</xdr:row>
      <xdr:rowOff>205740</xdr:rowOff>
    </xdr:to>
    <xdr:sp macro="" textlink="">
      <xdr:nvSpPr>
        <xdr:cNvPr id="157699" name="cmdCommOUT" hidden="1">
          <a:extLst>
            <a:ext uri="{63B3BB69-23CF-44E3-9099-C40C66FF867C}">
              <a14:compatExt xmlns:a14="http://schemas.microsoft.com/office/drawing/2010/main" spid="_x0000_s157699"/>
            </a:ext>
            <a:ext uri="{FF2B5EF4-FFF2-40B4-BE49-F238E27FC236}">
              <a16:creationId xmlns:a16="http://schemas.microsoft.com/office/drawing/2014/main" id="{00000000-0008-0000-0D00-000003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0</xdr:colOff>
      <xdr:row>2</xdr:row>
      <xdr:rowOff>438150</xdr:rowOff>
    </xdr:to>
    <xdr:sp macro="" textlink="">
      <xdr:nvSpPr>
        <xdr:cNvPr id="157700" name="cmdAddParameter" hidden="1">
          <a:extLst>
            <a:ext uri="{63B3BB69-23CF-44E3-9099-C40C66FF867C}">
              <a14:compatExt xmlns:a14="http://schemas.microsoft.com/office/drawing/2010/main" spid="_x0000_s157700"/>
            </a:ext>
            <a:ext uri="{FF2B5EF4-FFF2-40B4-BE49-F238E27FC236}">
              <a16:creationId xmlns:a16="http://schemas.microsoft.com/office/drawing/2014/main" id="{00000000-0008-0000-0D00-000004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0</xdr:colOff>
      <xdr:row>4</xdr:row>
      <xdr:rowOff>129540</xdr:rowOff>
    </xdr:to>
    <xdr:sp macro="" textlink="">
      <xdr:nvSpPr>
        <xdr:cNvPr id="157701" name="cmdAddParamQualifier1" hidden="1">
          <a:extLst>
            <a:ext uri="{63B3BB69-23CF-44E3-9099-C40C66FF867C}">
              <a14:compatExt xmlns:a14="http://schemas.microsoft.com/office/drawing/2010/main" spid="_x0000_s157701"/>
            </a:ext>
            <a:ext uri="{FF2B5EF4-FFF2-40B4-BE49-F238E27FC236}">
              <a16:creationId xmlns:a16="http://schemas.microsoft.com/office/drawing/2014/main" id="{00000000-0008-0000-0D00-000005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0</xdr:colOff>
      <xdr:row>2</xdr:row>
      <xdr:rowOff>205740</xdr:rowOff>
    </xdr:to>
    <xdr:sp macro="" textlink="">
      <xdr:nvSpPr>
        <xdr:cNvPr id="157702" name="cmdCheckTechDataSheet" hidden="1">
          <a:extLst>
            <a:ext uri="{63B3BB69-23CF-44E3-9099-C40C66FF867C}">
              <a14:compatExt xmlns:a14="http://schemas.microsoft.com/office/drawing/2010/main" spid="_x0000_s157702"/>
            </a:ext>
            <a:ext uri="{FF2B5EF4-FFF2-40B4-BE49-F238E27FC236}">
              <a16:creationId xmlns:a16="http://schemas.microsoft.com/office/drawing/2014/main" id="{00000000-0008-0000-0D00-000006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0</xdr:colOff>
      <xdr:row>6</xdr:row>
      <xdr:rowOff>38100</xdr:rowOff>
    </xdr:to>
    <xdr:sp macro="" textlink="">
      <xdr:nvSpPr>
        <xdr:cNvPr id="157703" name="cmdAddParamQualifier2" hidden="1">
          <a:extLst>
            <a:ext uri="{63B3BB69-23CF-44E3-9099-C40C66FF867C}">
              <a14:compatExt xmlns:a14="http://schemas.microsoft.com/office/drawing/2010/main" spid="_x0000_s157703"/>
            </a:ext>
            <a:ext uri="{FF2B5EF4-FFF2-40B4-BE49-F238E27FC236}">
              <a16:creationId xmlns:a16="http://schemas.microsoft.com/office/drawing/2014/main" id="{00000000-0008-0000-0D00-000007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1304925</xdr:colOff>
      <xdr:row>2</xdr:row>
      <xdr:rowOff>209550</xdr:rowOff>
    </xdr:to>
    <xdr:sp macro="" textlink="">
      <xdr:nvSpPr>
        <xdr:cNvPr id="113665" name="cmdTechNameAndDesc" hidden="1">
          <a:extLst>
            <a:ext uri="{63B3BB69-23CF-44E3-9099-C40C66FF867C}">
              <a14:compatExt xmlns:a14="http://schemas.microsoft.com/office/drawing/2010/main" spid="_x0000_s113665"/>
            </a:ext>
            <a:ext uri="{FF2B5EF4-FFF2-40B4-BE49-F238E27FC236}">
              <a16:creationId xmlns:a16="http://schemas.microsoft.com/office/drawing/2014/main" id="{00000000-0008-0000-0C00-000001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5</xdr:col>
      <xdr:colOff>28575</xdr:colOff>
      <xdr:row>2</xdr:row>
      <xdr:rowOff>209550</xdr:rowOff>
    </xdr:to>
    <xdr:sp macro="" textlink="">
      <xdr:nvSpPr>
        <xdr:cNvPr id="113666" name="cmdCommIN" hidden="1">
          <a:extLst>
            <a:ext uri="{63B3BB69-23CF-44E3-9099-C40C66FF867C}">
              <a14:compatExt xmlns:a14="http://schemas.microsoft.com/office/drawing/2010/main" spid="_x0000_s113666"/>
            </a:ext>
            <a:ext uri="{FF2B5EF4-FFF2-40B4-BE49-F238E27FC236}">
              <a16:creationId xmlns:a16="http://schemas.microsoft.com/office/drawing/2014/main" id="{00000000-0008-0000-0C00-000002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619125</xdr:colOff>
      <xdr:row>2</xdr:row>
      <xdr:rowOff>209550</xdr:rowOff>
    </xdr:to>
    <xdr:sp macro="" textlink="">
      <xdr:nvSpPr>
        <xdr:cNvPr id="113667" name="cmdCommOUT" hidden="1">
          <a:extLst>
            <a:ext uri="{63B3BB69-23CF-44E3-9099-C40C66FF867C}">
              <a14:compatExt xmlns:a14="http://schemas.microsoft.com/office/drawing/2010/main" spid="_x0000_s113667"/>
            </a:ext>
            <a:ext uri="{FF2B5EF4-FFF2-40B4-BE49-F238E27FC236}">
              <a16:creationId xmlns:a16="http://schemas.microsoft.com/office/drawing/2014/main" id="{00000000-0008-0000-0C00-000003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9525</xdr:colOff>
      <xdr:row>3</xdr:row>
      <xdr:rowOff>152400</xdr:rowOff>
    </xdr:to>
    <xdr:sp macro="" textlink="">
      <xdr:nvSpPr>
        <xdr:cNvPr id="113668" name="cmdAddParameter" hidden="1">
          <a:extLst>
            <a:ext uri="{63B3BB69-23CF-44E3-9099-C40C66FF867C}">
              <a14:compatExt xmlns:a14="http://schemas.microsoft.com/office/drawing/2010/main" spid="_x0000_s113668"/>
            </a:ext>
            <a:ext uri="{FF2B5EF4-FFF2-40B4-BE49-F238E27FC236}">
              <a16:creationId xmlns:a16="http://schemas.microsoft.com/office/drawing/2014/main" id="{00000000-0008-0000-0C00-000004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9525</xdr:colOff>
      <xdr:row>4</xdr:row>
      <xdr:rowOff>190500</xdr:rowOff>
    </xdr:to>
    <xdr:sp macro="" textlink="">
      <xdr:nvSpPr>
        <xdr:cNvPr id="113669" name="cmdAddParamQualifier1" hidden="1">
          <a:extLst>
            <a:ext uri="{63B3BB69-23CF-44E3-9099-C40C66FF867C}">
              <a14:compatExt xmlns:a14="http://schemas.microsoft.com/office/drawing/2010/main" spid="_x0000_s113669"/>
            </a:ext>
            <a:ext uri="{FF2B5EF4-FFF2-40B4-BE49-F238E27FC236}">
              <a16:creationId xmlns:a16="http://schemas.microsoft.com/office/drawing/2014/main" id="{00000000-0008-0000-0C00-000005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9525</xdr:colOff>
      <xdr:row>2</xdr:row>
      <xdr:rowOff>209550</xdr:rowOff>
    </xdr:to>
    <xdr:sp macro="" textlink="">
      <xdr:nvSpPr>
        <xdr:cNvPr id="113670" name="cmdCheckTechDataSheet" hidden="1">
          <a:extLst>
            <a:ext uri="{63B3BB69-23CF-44E3-9099-C40C66FF867C}">
              <a14:compatExt xmlns:a14="http://schemas.microsoft.com/office/drawing/2010/main" spid="_x0000_s113670"/>
            </a:ext>
            <a:ext uri="{FF2B5EF4-FFF2-40B4-BE49-F238E27FC236}">
              <a16:creationId xmlns:a16="http://schemas.microsoft.com/office/drawing/2014/main" id="{00000000-0008-0000-0C00-000006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9525</xdr:colOff>
      <xdr:row>6</xdr:row>
      <xdr:rowOff>38100</xdr:rowOff>
    </xdr:to>
    <xdr:sp macro="" textlink="">
      <xdr:nvSpPr>
        <xdr:cNvPr id="113672" name="cmdAddParamQualifier2" hidden="1">
          <a:extLst>
            <a:ext uri="{63B3BB69-23CF-44E3-9099-C40C66FF867C}">
              <a14:compatExt xmlns:a14="http://schemas.microsoft.com/office/drawing/2010/main" spid="_x0000_s113672"/>
            </a:ext>
            <a:ext uri="{FF2B5EF4-FFF2-40B4-BE49-F238E27FC236}">
              <a16:creationId xmlns:a16="http://schemas.microsoft.com/office/drawing/2014/main" id="{00000000-0008-0000-0C00-000008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114300</xdr:rowOff>
    </xdr:from>
    <xdr:to>
      <xdr:col>2</xdr:col>
      <xdr:colOff>1304925</xdr:colOff>
      <xdr:row>2</xdr:row>
      <xdr:rowOff>209550</xdr:rowOff>
    </xdr:to>
    <xdr:pic>
      <xdr:nvPicPr>
        <xdr:cNvPr id="2" name="cmdTechNameAndDesc">
          <a:extLst>
            <a:ext uri="{FF2B5EF4-FFF2-40B4-BE49-F238E27FC236}">
              <a16:creationId xmlns:a16="http://schemas.microsoft.com/office/drawing/2014/main" id="{B6FC7E93-8EB1-4FCF-B0E1-EE1F2945D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257175"/>
          <a:ext cx="18669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114300</xdr:rowOff>
    </xdr:from>
    <xdr:to>
      <xdr:col>5</xdr:col>
      <xdr:colOff>28575</xdr:colOff>
      <xdr:row>2</xdr:row>
      <xdr:rowOff>209550</xdr:rowOff>
    </xdr:to>
    <xdr:pic>
      <xdr:nvPicPr>
        <xdr:cNvPr id="3" name="cmdCommIN">
          <a:extLst>
            <a:ext uri="{FF2B5EF4-FFF2-40B4-BE49-F238E27FC236}">
              <a16:creationId xmlns:a16="http://schemas.microsoft.com/office/drawing/2014/main" id="{D2D6B279-C1A4-4992-BF9F-C964F13AF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619125</xdr:colOff>
      <xdr:row>2</xdr:row>
      <xdr:rowOff>209550</xdr:rowOff>
    </xdr:to>
    <xdr:pic>
      <xdr:nvPicPr>
        <xdr:cNvPr id="4" name="cmdCommOUT">
          <a:extLst>
            <a:ext uri="{FF2B5EF4-FFF2-40B4-BE49-F238E27FC236}">
              <a16:creationId xmlns:a16="http://schemas.microsoft.com/office/drawing/2014/main" id="{3B2272E4-F6E5-49B8-A864-1C7FC5161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9525</xdr:colOff>
      <xdr:row>3</xdr:row>
      <xdr:rowOff>152400</xdr:rowOff>
    </xdr:to>
    <xdr:pic>
      <xdr:nvPicPr>
        <xdr:cNvPr id="5" name="cmdAddParameter">
          <a:extLst>
            <a:ext uri="{FF2B5EF4-FFF2-40B4-BE49-F238E27FC236}">
              <a16:creationId xmlns:a16="http://schemas.microsoft.com/office/drawing/2014/main" id="{C8C1EEE3-9180-4B59-B9BD-458216141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762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9525</xdr:colOff>
      <xdr:row>4</xdr:row>
      <xdr:rowOff>190500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452E08D8-BDA7-4D06-9159-A3939FFB4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3342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9525</xdr:colOff>
      <xdr:row>2</xdr:row>
      <xdr:rowOff>209550</xdr:rowOff>
    </xdr:to>
    <xdr:pic>
      <xdr:nvPicPr>
        <xdr:cNvPr id="7" name="cmdCheckTechDataSheet">
          <a:extLst>
            <a:ext uri="{FF2B5EF4-FFF2-40B4-BE49-F238E27FC236}">
              <a16:creationId xmlns:a16="http://schemas.microsoft.com/office/drawing/2014/main" id="{3BD29D85-C882-418D-AD15-AFF4D71B8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571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9525</xdr:colOff>
      <xdr:row>6</xdr:row>
      <xdr:rowOff>38100</xdr:rowOff>
    </xdr:to>
    <xdr:pic>
      <xdr:nvPicPr>
        <xdr:cNvPr id="8" name="cmdAddParamQualifier2">
          <a:extLst>
            <a:ext uri="{FF2B5EF4-FFF2-40B4-BE49-F238E27FC236}">
              <a16:creationId xmlns:a16="http://schemas.microsoft.com/office/drawing/2014/main" id="{765AB9CC-7456-40B9-87CA-6B023263D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0096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853440</xdr:colOff>
      <xdr:row>2</xdr:row>
      <xdr:rowOff>224790</xdr:rowOff>
    </xdr:to>
    <xdr:sp macro="" textlink="">
      <xdr:nvSpPr>
        <xdr:cNvPr id="2" name="cmdTechNameAndDesc" hidden="1">
          <a:extLst>
            <a:ext uri="{63B3BB69-23CF-44E3-9099-C40C66FF867C}">
              <a14:compatExt xmlns:a14="http://schemas.microsoft.com/office/drawing/2010/main" spid="_x0000_s157697"/>
            </a:ext>
            <a:ext uri="{FF2B5EF4-FFF2-40B4-BE49-F238E27FC236}">
              <a16:creationId xmlns:a16="http://schemas.microsoft.com/office/drawing/2014/main" id="{63F7A94A-9AEC-448F-982D-9CB5891BB2A5}"/>
            </a:ext>
          </a:extLst>
        </xdr:cNvPr>
        <xdr:cNvSpPr/>
      </xdr:nvSpPr>
      <xdr:spPr bwMode="auto">
        <a:xfrm>
          <a:off x="819150" y="257175"/>
          <a:ext cx="18669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624840</xdr:colOff>
      <xdr:row>2</xdr:row>
      <xdr:rowOff>224790</xdr:rowOff>
    </xdr:to>
    <xdr:sp macro="" textlink="">
      <xdr:nvSpPr>
        <xdr:cNvPr id="3" name="cmdCommIN" hidden="1">
          <a:extLst>
            <a:ext uri="{63B3BB69-23CF-44E3-9099-C40C66FF867C}">
              <a14:compatExt xmlns:a14="http://schemas.microsoft.com/office/drawing/2010/main" spid="_x0000_s157698"/>
            </a:ext>
            <a:ext uri="{FF2B5EF4-FFF2-40B4-BE49-F238E27FC236}">
              <a16:creationId xmlns:a16="http://schemas.microsoft.com/office/drawing/2014/main" id="{8EDC961A-0128-483B-B393-1BABFD949F67}"/>
            </a:ext>
          </a:extLst>
        </xdr:cNvPr>
        <xdr:cNvSpPr/>
      </xdr:nvSpPr>
      <xdr:spPr bwMode="auto">
        <a:xfrm>
          <a:off x="4819650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624840</xdr:colOff>
      <xdr:row>2</xdr:row>
      <xdr:rowOff>224790</xdr:rowOff>
    </xdr:to>
    <xdr:sp macro="" textlink="">
      <xdr:nvSpPr>
        <xdr:cNvPr id="4" name="cmdCommOUT" hidden="1">
          <a:extLst>
            <a:ext uri="{63B3BB69-23CF-44E3-9099-C40C66FF867C}">
              <a14:compatExt xmlns:a14="http://schemas.microsoft.com/office/drawing/2010/main" spid="_x0000_s157699"/>
            </a:ext>
            <a:ext uri="{FF2B5EF4-FFF2-40B4-BE49-F238E27FC236}">
              <a16:creationId xmlns:a16="http://schemas.microsoft.com/office/drawing/2014/main" id="{F0B6867D-D71D-4F57-B898-D885B7491444}"/>
            </a:ext>
          </a:extLst>
        </xdr:cNvPr>
        <xdr:cNvSpPr/>
      </xdr:nvSpPr>
      <xdr:spPr bwMode="auto">
        <a:xfrm>
          <a:off x="5638800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0</xdr:colOff>
      <xdr:row>2</xdr:row>
      <xdr:rowOff>434340</xdr:rowOff>
    </xdr:to>
    <xdr:sp macro="" textlink="">
      <xdr:nvSpPr>
        <xdr:cNvPr id="5" name="cmdAddParameter" hidden="1">
          <a:extLst>
            <a:ext uri="{63B3BB69-23CF-44E3-9099-C40C66FF867C}">
              <a14:compatExt xmlns:a14="http://schemas.microsoft.com/office/drawing/2010/main" spid="_x0000_s157700"/>
            </a:ext>
            <a:ext uri="{FF2B5EF4-FFF2-40B4-BE49-F238E27FC236}">
              <a16:creationId xmlns:a16="http://schemas.microsoft.com/office/drawing/2014/main" id="{EC9E382F-0E15-4FF6-AE79-7EB8C429BCF9}"/>
            </a:ext>
          </a:extLst>
        </xdr:cNvPr>
        <xdr:cNvSpPr/>
      </xdr:nvSpPr>
      <xdr:spPr bwMode="auto">
        <a:xfrm>
          <a:off x="9525" y="476250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0</xdr:colOff>
      <xdr:row>4</xdr:row>
      <xdr:rowOff>148590</xdr:rowOff>
    </xdr:to>
    <xdr:sp macro="" textlink="">
      <xdr:nvSpPr>
        <xdr:cNvPr id="6" name="cmdAddParamQualifier1" hidden="1">
          <a:extLst>
            <a:ext uri="{63B3BB69-23CF-44E3-9099-C40C66FF867C}">
              <a14:compatExt xmlns:a14="http://schemas.microsoft.com/office/drawing/2010/main" spid="_x0000_s157701"/>
            </a:ext>
            <a:ext uri="{FF2B5EF4-FFF2-40B4-BE49-F238E27FC236}">
              <a16:creationId xmlns:a16="http://schemas.microsoft.com/office/drawing/2014/main" id="{19F9CCFF-2D0F-4E60-9AE5-57002B15C421}"/>
            </a:ext>
          </a:extLst>
        </xdr:cNvPr>
        <xdr:cNvSpPr/>
      </xdr:nvSpPr>
      <xdr:spPr bwMode="auto">
        <a:xfrm>
          <a:off x="9525" y="895350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0</xdr:colOff>
      <xdr:row>2</xdr:row>
      <xdr:rowOff>224790</xdr:rowOff>
    </xdr:to>
    <xdr:sp macro="" textlink="">
      <xdr:nvSpPr>
        <xdr:cNvPr id="7" name="cmdCheckTechDataSheet" hidden="1">
          <a:extLst>
            <a:ext uri="{63B3BB69-23CF-44E3-9099-C40C66FF867C}">
              <a14:compatExt xmlns:a14="http://schemas.microsoft.com/office/drawing/2010/main" spid="_x0000_s157702"/>
            </a:ext>
            <a:ext uri="{FF2B5EF4-FFF2-40B4-BE49-F238E27FC236}">
              <a16:creationId xmlns:a16="http://schemas.microsoft.com/office/drawing/2014/main" id="{760A3283-7B86-4095-8093-F03733B473BB}"/>
            </a:ext>
          </a:extLst>
        </xdr:cNvPr>
        <xdr:cNvSpPr/>
      </xdr:nvSpPr>
      <xdr:spPr bwMode="auto">
        <a:xfrm>
          <a:off x="9525" y="257175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0</xdr:colOff>
      <xdr:row>6</xdr:row>
      <xdr:rowOff>38100</xdr:rowOff>
    </xdr:to>
    <xdr:sp macro="" textlink="">
      <xdr:nvSpPr>
        <xdr:cNvPr id="8" name="cmdAddParamQualifier2" hidden="1">
          <a:extLst>
            <a:ext uri="{63B3BB69-23CF-44E3-9099-C40C66FF867C}">
              <a14:compatExt xmlns:a14="http://schemas.microsoft.com/office/drawing/2010/main" spid="_x0000_s157703"/>
            </a:ext>
            <a:ext uri="{FF2B5EF4-FFF2-40B4-BE49-F238E27FC236}">
              <a16:creationId xmlns:a16="http://schemas.microsoft.com/office/drawing/2014/main" id="{AFE3EA4C-ADA6-4574-9C35-EC0DE880CA3F}"/>
            </a:ext>
          </a:extLst>
        </xdr:cNvPr>
        <xdr:cNvSpPr/>
      </xdr:nvSpPr>
      <xdr:spPr bwMode="auto">
        <a:xfrm>
          <a:off x="9525" y="1228725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429389</xdr:colOff>
      <xdr:row>43</xdr:row>
      <xdr:rowOff>154490</xdr:rowOff>
    </xdr:from>
    <xdr:to>
      <xdr:col>27</xdr:col>
      <xdr:colOff>149453</xdr:colOff>
      <xdr:row>63</xdr:row>
      <xdr:rowOff>722</xdr:rowOff>
    </xdr:to>
    <xdr:pic>
      <xdr:nvPicPr>
        <xdr:cNvPr id="2" name="Picture 1" descr="Production technologies of CRM from primary - PDF Free Download">
          <a:extLst>
            <a:ext uri="{FF2B5EF4-FFF2-40B4-BE49-F238E27FC236}">
              <a16:creationId xmlns:a16="http://schemas.microsoft.com/office/drawing/2014/main" id="{97BA5668-70CC-4D37-AC27-184E9F02B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7089" y="9431840"/>
          <a:ext cx="5206464" cy="3846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560070</xdr:colOff>
      <xdr:row>67</xdr:row>
      <xdr:rowOff>100965</xdr:rowOff>
    </xdr:from>
    <xdr:ext cx="4939240" cy="4248150"/>
    <xdr:pic>
      <xdr:nvPicPr>
        <xdr:cNvPr id="3" name="Picture 2">
          <a:extLst>
            <a:ext uri="{FF2B5EF4-FFF2-40B4-BE49-F238E27FC236}">
              <a16:creationId xmlns:a16="http://schemas.microsoft.com/office/drawing/2014/main" id="{0684C986-A028-4493-B917-8CC6C0319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47770" y="14178915"/>
          <a:ext cx="4939240" cy="424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340995</xdr:colOff>
      <xdr:row>90</xdr:row>
      <xdr:rowOff>79215</xdr:rowOff>
    </xdr:from>
    <xdr:ext cx="5335905" cy="4483929"/>
    <xdr:pic>
      <xdr:nvPicPr>
        <xdr:cNvPr id="4" name="Picture 3">
          <a:extLst>
            <a:ext uri="{FF2B5EF4-FFF2-40B4-BE49-F238E27FC236}">
              <a16:creationId xmlns:a16="http://schemas.microsoft.com/office/drawing/2014/main" id="{00C9A414-2951-4A5C-BB52-D7F786461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28695" y="18757740"/>
          <a:ext cx="5335905" cy="4483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631248</xdr:colOff>
      <xdr:row>59</xdr:row>
      <xdr:rowOff>38100</xdr:rowOff>
    </xdr:from>
    <xdr:to>
      <xdr:col>5</xdr:col>
      <xdr:colOff>448541</xdr:colOff>
      <xdr:row>61</xdr:row>
      <xdr:rowOff>142875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C34B7653-35F4-4D8F-94D1-BE59ED9E9FF9}"/>
            </a:ext>
          </a:extLst>
        </xdr:cNvPr>
        <xdr:cNvSpPr/>
      </xdr:nvSpPr>
      <xdr:spPr>
        <a:xfrm>
          <a:off x="5289839" y="12619759"/>
          <a:ext cx="1635702" cy="503093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ZA" sz="1100"/>
            <a:t>summarise</a:t>
          </a:r>
        </a:p>
      </xdr:txBody>
    </xdr:sp>
    <xdr:clientData/>
  </xdr:twoCellAnchor>
  <xdr:twoCellAnchor editAs="oneCell">
    <xdr:from>
      <xdr:col>19</xdr:col>
      <xdr:colOff>217715</xdr:colOff>
      <xdr:row>153</xdr:row>
      <xdr:rowOff>67163</xdr:rowOff>
    </xdr:from>
    <xdr:to>
      <xdr:col>34</xdr:col>
      <xdr:colOff>342643</xdr:colOff>
      <xdr:row>169</xdr:row>
      <xdr:rowOff>463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4EDD36-FE5A-482F-AEF1-3D2A23242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05415" y="31480613"/>
          <a:ext cx="10411928" cy="313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10</xdr:row>
      <xdr:rowOff>123825</xdr:rowOff>
    </xdr:from>
    <xdr:to>
      <xdr:col>5</xdr:col>
      <xdr:colOff>657225</xdr:colOff>
      <xdr:row>12</xdr:row>
      <xdr:rowOff>114300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A9B2FB3A-050A-4D7F-B734-EAD5D8AB1233}"/>
            </a:ext>
          </a:extLst>
        </xdr:cNvPr>
        <xdr:cNvSpPr/>
      </xdr:nvSpPr>
      <xdr:spPr>
        <a:xfrm>
          <a:off x="4905375" y="2219325"/>
          <a:ext cx="371475" cy="390525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ZA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5</xdr:row>
      <xdr:rowOff>47625</xdr:rowOff>
    </xdr:from>
    <xdr:to>
      <xdr:col>24</xdr:col>
      <xdr:colOff>412604</xdr:colOff>
      <xdr:row>48</xdr:row>
      <xdr:rowOff>137980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FAEDAB-BE3B-4B9B-94D9-BD4EF809C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4925" y="857250"/>
          <a:ext cx="13738079" cy="705313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0</xdr:rowOff>
    </xdr:from>
    <xdr:to>
      <xdr:col>2</xdr:col>
      <xdr:colOff>1085850</xdr:colOff>
      <xdr:row>2</xdr:row>
      <xdr:rowOff>190500</xdr:rowOff>
    </xdr:to>
    <xdr:sp macro="" textlink="">
      <xdr:nvSpPr>
        <xdr:cNvPr id="102401" name="cmdConstrNameAndDesc" hidden="1">
          <a:extLst>
            <a:ext uri="{63B3BB69-23CF-44E3-9099-C40C66FF867C}">
              <a14:compatExt xmlns:a14="http://schemas.microsoft.com/office/drawing/2010/main" spid="_x0000_s102401"/>
            </a:ext>
            <a:ext uri="{FF2B5EF4-FFF2-40B4-BE49-F238E27FC236}">
              <a16:creationId xmlns:a16="http://schemas.microsoft.com/office/drawing/2014/main" id="{00000000-0008-0000-0E00-000001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0</xdr:colOff>
      <xdr:row>2</xdr:row>
      <xdr:rowOff>238125</xdr:rowOff>
    </xdr:to>
    <xdr:sp macro="" textlink="">
      <xdr:nvSpPr>
        <xdr:cNvPr id="102402" name="cmdProcName" hidden="1">
          <a:extLst>
            <a:ext uri="{63B3BB69-23CF-44E3-9099-C40C66FF867C}">
              <a14:compatExt xmlns:a14="http://schemas.microsoft.com/office/drawing/2010/main" spid="_x0000_s102402"/>
            </a:ext>
            <a:ext uri="{FF2B5EF4-FFF2-40B4-BE49-F238E27FC236}">
              <a16:creationId xmlns:a16="http://schemas.microsoft.com/office/drawing/2014/main" id="{00000000-0008-0000-0E00-000002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190500</xdr:rowOff>
    </xdr:from>
    <xdr:to>
      <xdr:col>0</xdr:col>
      <xdr:colOff>819150</xdr:colOff>
      <xdr:row>3</xdr:row>
      <xdr:rowOff>152400</xdr:rowOff>
    </xdr:to>
    <xdr:sp macro="" textlink="">
      <xdr:nvSpPr>
        <xdr:cNvPr id="102403" name="cmdAddParameter" hidden="1">
          <a:extLst>
            <a:ext uri="{63B3BB69-23CF-44E3-9099-C40C66FF867C}">
              <a14:compatExt xmlns:a14="http://schemas.microsoft.com/office/drawing/2010/main" spid="_x0000_s102403"/>
            </a:ext>
            <a:ext uri="{FF2B5EF4-FFF2-40B4-BE49-F238E27FC236}">
              <a16:creationId xmlns:a16="http://schemas.microsoft.com/office/drawing/2014/main" id="{00000000-0008-0000-0E00-000003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1</xdr:col>
      <xdr:colOff>0</xdr:colOff>
      <xdr:row>2</xdr:row>
      <xdr:rowOff>238125</xdr:rowOff>
    </xdr:to>
    <xdr:sp macro="" textlink="">
      <xdr:nvSpPr>
        <xdr:cNvPr id="102404" name="cmdCheckConstrDataSheet" hidden="1">
          <a:extLst>
            <a:ext uri="{63B3BB69-23CF-44E3-9099-C40C66FF867C}">
              <a14:compatExt xmlns:a14="http://schemas.microsoft.com/office/drawing/2010/main" spid="_x0000_s102404"/>
            </a:ext>
            <a:ext uri="{FF2B5EF4-FFF2-40B4-BE49-F238E27FC236}">
              <a16:creationId xmlns:a16="http://schemas.microsoft.com/office/drawing/2014/main" id="{00000000-0008-0000-0E00-000004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</xdr:row>
      <xdr:rowOff>9525</xdr:rowOff>
    </xdr:from>
    <xdr:to>
      <xdr:col>0</xdr:col>
      <xdr:colOff>819150</xdr:colOff>
      <xdr:row>5</xdr:row>
      <xdr:rowOff>28575</xdr:rowOff>
    </xdr:to>
    <xdr:sp macro="" textlink="">
      <xdr:nvSpPr>
        <xdr:cNvPr id="102405" name="cmdAddParamQualifier1" hidden="1">
          <a:extLst>
            <a:ext uri="{63B3BB69-23CF-44E3-9099-C40C66FF867C}">
              <a14:compatExt xmlns:a14="http://schemas.microsoft.com/office/drawing/2010/main" spid="_x0000_s102405"/>
            </a:ext>
            <a:ext uri="{FF2B5EF4-FFF2-40B4-BE49-F238E27FC236}">
              <a16:creationId xmlns:a16="http://schemas.microsoft.com/office/drawing/2014/main" id="{00000000-0008-0000-0E00-000005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2</xdr:row>
      <xdr:rowOff>238125</xdr:rowOff>
    </xdr:to>
    <xdr:sp macro="" textlink="">
      <xdr:nvSpPr>
        <xdr:cNvPr id="102407" name="cmdCommName" hidden="1">
          <a:extLst>
            <a:ext uri="{63B3BB69-23CF-44E3-9099-C40C66FF867C}">
              <a14:compatExt xmlns:a14="http://schemas.microsoft.com/office/drawing/2010/main" spid="_x0000_s102407"/>
            </a:ext>
            <a:ext uri="{FF2B5EF4-FFF2-40B4-BE49-F238E27FC236}">
              <a16:creationId xmlns:a16="http://schemas.microsoft.com/office/drawing/2014/main" id="{00000000-0008-0000-0E00-000007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9525</xdr:colOff>
      <xdr:row>2</xdr:row>
      <xdr:rowOff>238125</xdr:rowOff>
    </xdr:to>
    <xdr:sp macro="" textlink="">
      <xdr:nvSpPr>
        <xdr:cNvPr id="102408" name="cmdTimeSlice" hidden="1">
          <a:extLst>
            <a:ext uri="{63B3BB69-23CF-44E3-9099-C40C66FF867C}">
              <a14:compatExt xmlns:a14="http://schemas.microsoft.com/office/drawing/2010/main" spid="_x0000_s102408"/>
            </a:ext>
            <a:ext uri="{FF2B5EF4-FFF2-40B4-BE49-F238E27FC236}">
              <a16:creationId xmlns:a16="http://schemas.microsoft.com/office/drawing/2014/main" id="{00000000-0008-0000-0E00-000008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</xdr:row>
      <xdr:rowOff>19050</xdr:rowOff>
    </xdr:from>
    <xdr:to>
      <xdr:col>0</xdr:col>
      <xdr:colOff>819150</xdr:colOff>
      <xdr:row>6</xdr:row>
      <xdr:rowOff>38100</xdr:rowOff>
    </xdr:to>
    <xdr:sp macro="" textlink="">
      <xdr:nvSpPr>
        <xdr:cNvPr id="102409" name="cmdAddParamQualifier2" hidden="1">
          <a:extLst>
            <a:ext uri="{63B3BB69-23CF-44E3-9099-C40C66FF867C}">
              <a14:compatExt xmlns:a14="http://schemas.microsoft.com/office/drawing/2010/main" spid="_x0000_s102409"/>
            </a:ext>
            <a:ext uri="{FF2B5EF4-FFF2-40B4-BE49-F238E27FC236}">
              <a16:creationId xmlns:a16="http://schemas.microsoft.com/office/drawing/2014/main" id="{00000000-0008-0000-0E00-000009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</xdr:colOff>
      <xdr:row>2</xdr:row>
      <xdr:rowOff>0</xdr:rowOff>
    </xdr:from>
    <xdr:to>
      <xdr:col>2</xdr:col>
      <xdr:colOff>1085850</xdr:colOff>
      <xdr:row>2</xdr:row>
      <xdr:rowOff>190500</xdr:rowOff>
    </xdr:to>
    <xdr:pic>
      <xdr:nvPicPr>
        <xdr:cNvPr id="2" name="cmdConstrNameAndDesc">
          <a:extLst>
            <a:ext uri="{FF2B5EF4-FFF2-40B4-BE49-F238E27FC236}">
              <a16:creationId xmlns:a16="http://schemas.microsoft.com/office/drawing/2014/main" id="{553358E6-FDAB-41E3-B880-D005DF631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85750"/>
          <a:ext cx="18954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0</xdr:colOff>
      <xdr:row>2</xdr:row>
      <xdr:rowOff>238125</xdr:rowOff>
    </xdr:to>
    <xdr:pic>
      <xdr:nvPicPr>
        <xdr:cNvPr id="3" name="cmdProcName">
          <a:extLst>
            <a:ext uri="{FF2B5EF4-FFF2-40B4-BE49-F238E27FC236}">
              <a16:creationId xmlns:a16="http://schemas.microsoft.com/office/drawing/2014/main" id="{11E6D97F-B557-4EAB-AE20-E9B4FAFF0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190500</xdr:rowOff>
    </xdr:from>
    <xdr:to>
      <xdr:col>0</xdr:col>
      <xdr:colOff>819150</xdr:colOff>
      <xdr:row>3</xdr:row>
      <xdr:rowOff>152400</xdr:rowOff>
    </xdr:to>
    <xdr:pic>
      <xdr:nvPicPr>
        <xdr:cNvPr id="4" name="cmdAddParameter">
          <a:extLst>
            <a:ext uri="{FF2B5EF4-FFF2-40B4-BE49-F238E27FC236}">
              <a16:creationId xmlns:a16="http://schemas.microsoft.com/office/drawing/2014/main" id="{45706E44-25A7-4401-9ACF-0AFC09EAD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1</xdr:col>
      <xdr:colOff>0</xdr:colOff>
      <xdr:row>2</xdr:row>
      <xdr:rowOff>238125</xdr:rowOff>
    </xdr:to>
    <xdr:pic>
      <xdr:nvPicPr>
        <xdr:cNvPr id="5" name="cmdCheckConstrDataSheet">
          <a:extLst>
            <a:ext uri="{FF2B5EF4-FFF2-40B4-BE49-F238E27FC236}">
              <a16:creationId xmlns:a16="http://schemas.microsoft.com/office/drawing/2014/main" id="{FD036529-0568-4D63-BA0B-86256B696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</xdr:row>
      <xdr:rowOff>9525</xdr:rowOff>
    </xdr:from>
    <xdr:to>
      <xdr:col>0</xdr:col>
      <xdr:colOff>819150</xdr:colOff>
      <xdr:row>5</xdr:row>
      <xdr:rowOff>28575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CFE9C0A0-7504-45D3-B307-71F03D45B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5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2</xdr:row>
      <xdr:rowOff>238125</xdr:rowOff>
    </xdr:to>
    <xdr:pic>
      <xdr:nvPicPr>
        <xdr:cNvPr id="7" name="cmdCommName">
          <a:extLst>
            <a:ext uri="{FF2B5EF4-FFF2-40B4-BE49-F238E27FC236}">
              <a16:creationId xmlns:a16="http://schemas.microsoft.com/office/drawing/2014/main" id="{ABAE4EE7-E3F7-4635-BD31-4BC763F32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9525</xdr:colOff>
      <xdr:row>2</xdr:row>
      <xdr:rowOff>238125</xdr:rowOff>
    </xdr:to>
    <xdr:pic>
      <xdr:nvPicPr>
        <xdr:cNvPr id="8" name="cmdTimeSlice">
          <a:extLst>
            <a:ext uri="{FF2B5EF4-FFF2-40B4-BE49-F238E27FC236}">
              <a16:creationId xmlns:a16="http://schemas.microsoft.com/office/drawing/2014/main" id="{DE5EBDA8-D579-4F33-A528-4C6CFCA00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19050</xdr:rowOff>
    </xdr:from>
    <xdr:to>
      <xdr:col>0</xdr:col>
      <xdr:colOff>819150</xdr:colOff>
      <xdr:row>6</xdr:row>
      <xdr:rowOff>38100</xdr:rowOff>
    </xdr:to>
    <xdr:pic>
      <xdr:nvPicPr>
        <xdr:cNvPr id="9" name="cmdAddParamQualifier2">
          <a:extLst>
            <a:ext uri="{FF2B5EF4-FFF2-40B4-BE49-F238E27FC236}">
              <a16:creationId xmlns:a16="http://schemas.microsoft.com/office/drawing/2014/main" id="{B1D5C044-D0B0-47E5-9934-6933AC5F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1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0</xdr:rowOff>
    </xdr:to>
    <xdr:sp macro="" textlink="">
      <xdr:nvSpPr>
        <xdr:cNvPr id="55297" name="cmdCheckItemsSheet" hidden="1">
          <a:extLst>
            <a:ext uri="{63B3BB69-23CF-44E3-9099-C40C66FF867C}">
              <a14:compatExt xmlns:a14="http://schemas.microsoft.com/office/drawing/2010/main" spid="_x0000_s55297"/>
            </a:ext>
            <a:ext uri="{FF2B5EF4-FFF2-40B4-BE49-F238E27FC236}">
              <a16:creationId xmlns:a16="http://schemas.microsoft.com/office/drawing/2014/main" id="{00000000-0008-0000-0F00-000001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152400</xdr:colOff>
      <xdr:row>4</xdr:row>
      <xdr:rowOff>95250</xdr:rowOff>
    </xdr:to>
    <xdr:sp macro="" textlink="">
      <xdr:nvSpPr>
        <xdr:cNvPr id="55298" name="cmdSpecifyComponent" hidden="1">
          <a:extLst>
            <a:ext uri="{63B3BB69-23CF-44E3-9099-C40C66FF867C}">
              <a14:compatExt xmlns:a14="http://schemas.microsoft.com/office/drawing/2010/main" spid="_x0000_s55298"/>
            </a:ext>
            <a:ext uri="{FF2B5EF4-FFF2-40B4-BE49-F238E27FC236}">
              <a16:creationId xmlns:a16="http://schemas.microsoft.com/office/drawing/2014/main" id="{00000000-0008-0000-0F00-000002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0</xdr:colOff>
      <xdr:row>4</xdr:row>
      <xdr:rowOff>95250</xdr:rowOff>
    </xdr:to>
    <xdr:sp macro="" textlink="">
      <xdr:nvSpPr>
        <xdr:cNvPr id="55299" name="cmdSpecifyUnits" hidden="1">
          <a:extLst>
            <a:ext uri="{63B3BB69-23CF-44E3-9099-C40C66FF867C}">
              <a14:compatExt xmlns:a14="http://schemas.microsoft.com/office/drawing/2010/main" spid="_x0000_s55299"/>
            </a:ext>
            <a:ext uri="{FF2B5EF4-FFF2-40B4-BE49-F238E27FC236}">
              <a16:creationId xmlns:a16="http://schemas.microsoft.com/office/drawing/2014/main" id="{00000000-0008-0000-0F00-000003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0</xdr:colOff>
      <xdr:row>4</xdr:row>
      <xdr:rowOff>95250</xdr:rowOff>
    </xdr:to>
    <xdr:sp macro="" textlink="">
      <xdr:nvSpPr>
        <xdr:cNvPr id="55300" name="cmdSpecifySets" hidden="1">
          <a:extLst>
            <a:ext uri="{63B3BB69-23CF-44E3-9099-C40C66FF867C}">
              <a14:compatExt xmlns:a14="http://schemas.microsoft.com/office/drawing/2010/main" spid="_x0000_s55300"/>
            </a:ext>
            <a:ext uri="{FF2B5EF4-FFF2-40B4-BE49-F238E27FC236}">
              <a16:creationId xmlns:a16="http://schemas.microsoft.com/office/drawing/2014/main" id="{00000000-0008-0000-0F00-000004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0</xdr:rowOff>
    </xdr:to>
    <xdr:pic>
      <xdr:nvPicPr>
        <xdr:cNvPr id="2" name="cmdCheckItemsSheet">
          <a:extLst>
            <a:ext uri="{FF2B5EF4-FFF2-40B4-BE49-F238E27FC236}">
              <a16:creationId xmlns:a16="http://schemas.microsoft.com/office/drawing/2014/main" id="{248168B4-37A5-4F79-AA0B-C49A1409D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152400</xdr:colOff>
      <xdr:row>4</xdr:row>
      <xdr:rowOff>95250</xdr:rowOff>
    </xdr:to>
    <xdr:pic>
      <xdr:nvPicPr>
        <xdr:cNvPr id="3" name="cmdSpecifyComponent">
          <a:extLst>
            <a:ext uri="{FF2B5EF4-FFF2-40B4-BE49-F238E27FC236}">
              <a16:creationId xmlns:a16="http://schemas.microsoft.com/office/drawing/2014/main" id="{C2F7FB0D-DDD4-445C-9659-2210932D4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23875"/>
          <a:ext cx="7524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0</xdr:colOff>
      <xdr:row>4</xdr:row>
      <xdr:rowOff>95250</xdr:rowOff>
    </xdr:to>
    <xdr:pic>
      <xdr:nvPicPr>
        <xdr:cNvPr id="4" name="cmdSpecifyUnits">
          <a:extLst>
            <a:ext uri="{FF2B5EF4-FFF2-40B4-BE49-F238E27FC236}">
              <a16:creationId xmlns:a16="http://schemas.microsoft.com/office/drawing/2014/main" id="{66D3393D-AFEA-4AAD-8A27-6269D7483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523875"/>
          <a:ext cx="6667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0</xdr:colOff>
      <xdr:row>4</xdr:row>
      <xdr:rowOff>95250</xdr:rowOff>
    </xdr:to>
    <xdr:pic>
      <xdr:nvPicPr>
        <xdr:cNvPr id="5" name="cmdSpecifySets">
          <a:extLst>
            <a:ext uri="{FF2B5EF4-FFF2-40B4-BE49-F238E27FC236}">
              <a16:creationId xmlns:a16="http://schemas.microsoft.com/office/drawing/2014/main" id="{DBCC71F4-04EE-40D0-8368-D3DD85C7C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52387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19050</xdr:rowOff>
    </xdr:to>
    <xdr:sp macro="" textlink="">
      <xdr:nvSpPr>
        <xdr:cNvPr id="57345" name="cmdCheckTSDataSheet" hidden="1">
          <a:extLst>
            <a:ext uri="{63B3BB69-23CF-44E3-9099-C40C66FF867C}">
              <a14:compatExt xmlns:a14="http://schemas.microsoft.com/office/drawing/2010/main" spid="_x0000_s57345"/>
            </a:ext>
            <a:ext uri="{FF2B5EF4-FFF2-40B4-BE49-F238E27FC236}">
              <a16:creationId xmlns:a16="http://schemas.microsoft.com/office/drawing/2014/main" id="{00000000-0008-0000-1000-000001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19050</xdr:colOff>
      <xdr:row>4</xdr:row>
      <xdr:rowOff>104775</xdr:rowOff>
    </xdr:to>
    <xdr:sp macro="" textlink="">
      <xdr:nvSpPr>
        <xdr:cNvPr id="57346" name="cmdSpecifyParameter" hidden="1">
          <a:extLst>
            <a:ext uri="{63B3BB69-23CF-44E3-9099-C40C66FF867C}">
              <a14:compatExt xmlns:a14="http://schemas.microsoft.com/office/drawing/2010/main" spid="_x0000_s57346"/>
            </a:ext>
            <a:ext uri="{FF2B5EF4-FFF2-40B4-BE49-F238E27FC236}">
              <a16:creationId xmlns:a16="http://schemas.microsoft.com/office/drawing/2014/main" id="{00000000-0008-0000-1000-000002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</xdr:colOff>
      <xdr:row>3</xdr:row>
      <xdr:rowOff>0</xdr:rowOff>
    </xdr:from>
    <xdr:to>
      <xdr:col>3</xdr:col>
      <xdr:colOff>19050</xdr:colOff>
      <xdr:row>4</xdr:row>
      <xdr:rowOff>104775</xdr:rowOff>
    </xdr:to>
    <xdr:sp macro="" textlink="">
      <xdr:nvSpPr>
        <xdr:cNvPr id="57347" name="cmdSpecifyArg1" hidden="1">
          <a:extLst>
            <a:ext uri="{63B3BB69-23CF-44E3-9099-C40C66FF867C}">
              <a14:compatExt xmlns:a14="http://schemas.microsoft.com/office/drawing/2010/main" spid="_x0000_s57347"/>
            </a:ext>
            <a:ext uri="{FF2B5EF4-FFF2-40B4-BE49-F238E27FC236}">
              <a16:creationId xmlns:a16="http://schemas.microsoft.com/office/drawing/2014/main" id="{00000000-0008-0000-1000-000003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0</xdr:rowOff>
    </xdr:from>
    <xdr:to>
      <xdr:col>4</xdr:col>
      <xdr:colOff>19050</xdr:colOff>
      <xdr:row>4</xdr:row>
      <xdr:rowOff>104775</xdr:rowOff>
    </xdr:to>
    <xdr:sp macro="" textlink="">
      <xdr:nvSpPr>
        <xdr:cNvPr id="57348" name="cmdSpecifyArg2" hidden="1">
          <a:extLst>
            <a:ext uri="{63B3BB69-23CF-44E3-9099-C40C66FF867C}">
              <a14:compatExt xmlns:a14="http://schemas.microsoft.com/office/drawing/2010/main" spid="_x0000_s57348"/>
            </a:ext>
            <a:ext uri="{FF2B5EF4-FFF2-40B4-BE49-F238E27FC236}">
              <a16:creationId xmlns:a16="http://schemas.microsoft.com/office/drawing/2014/main" id="{00000000-0008-0000-1000-000004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19050</xdr:colOff>
      <xdr:row>4</xdr:row>
      <xdr:rowOff>104775</xdr:rowOff>
    </xdr:to>
    <xdr:sp macro="" textlink="">
      <xdr:nvSpPr>
        <xdr:cNvPr id="57349" name="cmdSpecifyArg3" hidden="1">
          <a:extLst>
            <a:ext uri="{63B3BB69-23CF-44E3-9099-C40C66FF867C}">
              <a14:compatExt xmlns:a14="http://schemas.microsoft.com/office/drawing/2010/main" spid="_x0000_s57349"/>
            </a:ext>
            <a:ext uri="{FF2B5EF4-FFF2-40B4-BE49-F238E27FC236}">
              <a16:creationId xmlns:a16="http://schemas.microsoft.com/office/drawing/2014/main" id="{00000000-0008-0000-1000-000005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sp macro="" textlink="">
      <xdr:nvSpPr>
        <xdr:cNvPr id="57350" name="cmdSpecifyArg4" hidden="1">
          <a:extLst>
            <a:ext uri="{63B3BB69-23CF-44E3-9099-C40C66FF867C}">
              <a14:compatExt xmlns:a14="http://schemas.microsoft.com/office/drawing/2010/main" spid="_x0000_s57350"/>
            </a:ext>
            <a:ext uri="{FF2B5EF4-FFF2-40B4-BE49-F238E27FC236}">
              <a16:creationId xmlns:a16="http://schemas.microsoft.com/office/drawing/2014/main" id="{00000000-0008-0000-1000-000006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sp macro="" textlink="">
      <xdr:nvSpPr>
        <xdr:cNvPr id="57351" name="cmdSpecifyArg5" hidden="1">
          <a:extLst>
            <a:ext uri="{63B3BB69-23CF-44E3-9099-C40C66FF867C}">
              <a14:compatExt xmlns:a14="http://schemas.microsoft.com/office/drawing/2010/main" spid="_x0000_s57351"/>
            </a:ext>
            <a:ext uri="{FF2B5EF4-FFF2-40B4-BE49-F238E27FC236}">
              <a16:creationId xmlns:a16="http://schemas.microsoft.com/office/drawing/2014/main" id="{00000000-0008-0000-1000-000007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sp macro="" textlink="">
      <xdr:nvSpPr>
        <xdr:cNvPr id="57352" name="cmdSpecifyArg6" hidden="1">
          <a:extLst>
            <a:ext uri="{63B3BB69-23CF-44E3-9099-C40C66FF867C}">
              <a14:compatExt xmlns:a14="http://schemas.microsoft.com/office/drawing/2010/main" spid="_x0000_s57352"/>
            </a:ext>
            <a:ext uri="{FF2B5EF4-FFF2-40B4-BE49-F238E27FC236}">
              <a16:creationId xmlns:a16="http://schemas.microsoft.com/office/drawing/2014/main" id="{00000000-0008-0000-1000-000008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9525</xdr:colOff>
      <xdr:row>3</xdr:row>
      <xdr:rowOff>0</xdr:rowOff>
    </xdr:from>
    <xdr:to>
      <xdr:col>9</xdr:col>
      <xdr:colOff>19050</xdr:colOff>
      <xdr:row>4</xdr:row>
      <xdr:rowOff>85725</xdr:rowOff>
    </xdr:to>
    <xdr:sp macro="" textlink="">
      <xdr:nvSpPr>
        <xdr:cNvPr id="57353" name="cmdSpecifyIEOptcode" hidden="1">
          <a:extLst>
            <a:ext uri="{63B3BB69-23CF-44E3-9099-C40C66FF867C}">
              <a14:compatExt xmlns:a14="http://schemas.microsoft.com/office/drawing/2010/main" spid="_x0000_s57353"/>
            </a:ext>
            <a:ext uri="{FF2B5EF4-FFF2-40B4-BE49-F238E27FC236}">
              <a16:creationId xmlns:a16="http://schemas.microsoft.com/office/drawing/2014/main" id="{00000000-0008-0000-1000-000009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</xdr:row>
      <xdr:rowOff>57150</xdr:rowOff>
    </xdr:from>
    <xdr:to>
      <xdr:col>0</xdr:col>
      <xdr:colOff>819150</xdr:colOff>
      <xdr:row>6</xdr:row>
      <xdr:rowOff>0</xdr:rowOff>
    </xdr:to>
    <xdr:sp macro="" textlink="">
      <xdr:nvSpPr>
        <xdr:cNvPr id="57354" name="cmdPopulateDataYears" hidden="1">
          <a:extLst>
            <a:ext uri="{63B3BB69-23CF-44E3-9099-C40C66FF867C}">
              <a14:compatExt xmlns:a14="http://schemas.microsoft.com/office/drawing/2010/main" spid="_x0000_s57354"/>
            </a:ext>
            <a:ext uri="{FF2B5EF4-FFF2-40B4-BE49-F238E27FC236}">
              <a16:creationId xmlns:a16="http://schemas.microsoft.com/office/drawing/2014/main" id="{00000000-0008-0000-1000-00000A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19050</xdr:rowOff>
    </xdr:to>
    <xdr:pic>
      <xdr:nvPicPr>
        <xdr:cNvPr id="2" name="cmdCheckTSDataSheet">
          <a:extLst>
            <a:ext uri="{FF2B5EF4-FFF2-40B4-BE49-F238E27FC236}">
              <a16:creationId xmlns:a16="http://schemas.microsoft.com/office/drawing/2014/main" id="{7390696B-C0DE-400A-AAE3-C61C0B967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19050</xdr:colOff>
      <xdr:row>4</xdr:row>
      <xdr:rowOff>104775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B5A6FCD9-9102-428D-8367-B8F296784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04825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3</xdr:row>
      <xdr:rowOff>0</xdr:rowOff>
    </xdr:from>
    <xdr:to>
      <xdr:col>3</xdr:col>
      <xdr:colOff>19050</xdr:colOff>
      <xdr:row>4</xdr:row>
      <xdr:rowOff>104775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C5F0D1E8-CB94-419A-8683-04D08AB3B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0</xdr:rowOff>
    </xdr:from>
    <xdr:to>
      <xdr:col>4</xdr:col>
      <xdr:colOff>19050</xdr:colOff>
      <xdr:row>4</xdr:row>
      <xdr:rowOff>104775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E56E9487-CDF9-4E03-87C9-1E49B0D09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19050</xdr:colOff>
      <xdr:row>4</xdr:row>
      <xdr:rowOff>104775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014CC773-D2AA-4940-A593-BD9180085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61F72968-1CFA-4DA6-B067-63DE12242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F84A0A01-62D6-4008-B963-EEB28C42A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A3A7C019-6CF7-4129-8033-65BBFCA12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</xdr:colOff>
      <xdr:row>3</xdr:row>
      <xdr:rowOff>0</xdr:rowOff>
    </xdr:from>
    <xdr:to>
      <xdr:col>9</xdr:col>
      <xdr:colOff>19050</xdr:colOff>
      <xdr:row>4</xdr:row>
      <xdr:rowOff>85725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86404911-9763-4877-9C0A-C9CC122D8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504825"/>
          <a:ext cx="457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57150</xdr:rowOff>
    </xdr:from>
    <xdr:to>
      <xdr:col>0</xdr:col>
      <xdr:colOff>819150</xdr:colOff>
      <xdr:row>6</xdr:row>
      <xdr:rowOff>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7495F7C8-24DD-48C1-9D04-033D50BC6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"/>
          <a:ext cx="8191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819150</xdr:colOff>
      <xdr:row>3</xdr:row>
      <xdr:rowOff>38100</xdr:rowOff>
    </xdr:to>
    <xdr:sp macro="" textlink="">
      <xdr:nvSpPr>
        <xdr:cNvPr id="58369" name="cmdCheckTIDDataSheet" hidden="1">
          <a:extLst>
            <a:ext uri="{63B3BB69-23CF-44E3-9099-C40C66FF867C}">
              <a14:compatExt xmlns:a14="http://schemas.microsoft.com/office/drawing/2010/main" spid="_x0000_s58369"/>
            </a:ext>
            <a:ext uri="{FF2B5EF4-FFF2-40B4-BE49-F238E27FC236}">
              <a16:creationId xmlns:a16="http://schemas.microsoft.com/office/drawing/2014/main" id="{00000000-0008-0000-1100-000001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9525</xdr:rowOff>
    </xdr:from>
    <xdr:to>
      <xdr:col>2</xdr:col>
      <xdr:colOff>19050</xdr:colOff>
      <xdr:row>4</xdr:row>
      <xdr:rowOff>95250</xdr:rowOff>
    </xdr:to>
    <xdr:sp macro="" textlink="">
      <xdr:nvSpPr>
        <xdr:cNvPr id="58370" name="cmdSpecifyParameter" hidden="1">
          <a:extLst>
            <a:ext uri="{63B3BB69-23CF-44E3-9099-C40C66FF867C}">
              <a14:compatExt xmlns:a14="http://schemas.microsoft.com/office/drawing/2010/main" spid="_x0000_s58370"/>
            </a:ext>
            <a:ext uri="{FF2B5EF4-FFF2-40B4-BE49-F238E27FC236}">
              <a16:creationId xmlns:a16="http://schemas.microsoft.com/office/drawing/2014/main" id="{00000000-0008-0000-1100-000002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9525</xdr:colOff>
      <xdr:row>4</xdr:row>
      <xdr:rowOff>95250</xdr:rowOff>
    </xdr:to>
    <xdr:sp macro="" textlink="">
      <xdr:nvSpPr>
        <xdr:cNvPr id="58371" name="cmdSpecifyArg1" hidden="1">
          <a:extLst>
            <a:ext uri="{63B3BB69-23CF-44E3-9099-C40C66FF867C}">
              <a14:compatExt xmlns:a14="http://schemas.microsoft.com/office/drawing/2010/main" spid="_x0000_s58371"/>
            </a:ext>
            <a:ext uri="{FF2B5EF4-FFF2-40B4-BE49-F238E27FC236}">
              <a16:creationId xmlns:a16="http://schemas.microsoft.com/office/drawing/2014/main" id="{00000000-0008-0000-1100-000003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9525</xdr:rowOff>
    </xdr:from>
    <xdr:to>
      <xdr:col>4</xdr:col>
      <xdr:colOff>9525</xdr:colOff>
      <xdr:row>4</xdr:row>
      <xdr:rowOff>95250</xdr:rowOff>
    </xdr:to>
    <xdr:sp macro="" textlink="">
      <xdr:nvSpPr>
        <xdr:cNvPr id="58372" name="cmdSpecifyArg2" hidden="1">
          <a:extLst>
            <a:ext uri="{63B3BB69-23CF-44E3-9099-C40C66FF867C}">
              <a14:compatExt xmlns:a14="http://schemas.microsoft.com/office/drawing/2010/main" spid="_x0000_s58372"/>
            </a:ext>
            <a:ext uri="{FF2B5EF4-FFF2-40B4-BE49-F238E27FC236}">
              <a16:creationId xmlns:a16="http://schemas.microsoft.com/office/drawing/2014/main" id="{00000000-0008-0000-1100-000004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9525</xdr:rowOff>
    </xdr:from>
    <xdr:to>
      <xdr:col>5</xdr:col>
      <xdr:colOff>9525</xdr:colOff>
      <xdr:row>4</xdr:row>
      <xdr:rowOff>95250</xdr:rowOff>
    </xdr:to>
    <xdr:sp macro="" textlink="">
      <xdr:nvSpPr>
        <xdr:cNvPr id="58373" name="cmdSpecifyArg3" hidden="1">
          <a:extLst>
            <a:ext uri="{63B3BB69-23CF-44E3-9099-C40C66FF867C}">
              <a14:compatExt xmlns:a14="http://schemas.microsoft.com/office/drawing/2010/main" spid="_x0000_s58373"/>
            </a:ext>
            <a:ext uri="{FF2B5EF4-FFF2-40B4-BE49-F238E27FC236}">
              <a16:creationId xmlns:a16="http://schemas.microsoft.com/office/drawing/2014/main" id="{00000000-0008-0000-1100-000005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9525</xdr:rowOff>
    </xdr:from>
    <xdr:to>
      <xdr:col>6</xdr:col>
      <xdr:colOff>9525</xdr:colOff>
      <xdr:row>4</xdr:row>
      <xdr:rowOff>95250</xdr:rowOff>
    </xdr:to>
    <xdr:sp macro="" textlink="">
      <xdr:nvSpPr>
        <xdr:cNvPr id="58374" name="cmdSpecifyArg4" hidden="1">
          <a:extLst>
            <a:ext uri="{63B3BB69-23CF-44E3-9099-C40C66FF867C}">
              <a14:compatExt xmlns:a14="http://schemas.microsoft.com/office/drawing/2010/main" spid="_x0000_s58374"/>
            </a:ext>
            <a:ext uri="{FF2B5EF4-FFF2-40B4-BE49-F238E27FC236}">
              <a16:creationId xmlns:a16="http://schemas.microsoft.com/office/drawing/2014/main" id="{00000000-0008-0000-1100-000006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3</xdr:row>
      <xdr:rowOff>9525</xdr:rowOff>
    </xdr:from>
    <xdr:to>
      <xdr:col>7</xdr:col>
      <xdr:colOff>9525</xdr:colOff>
      <xdr:row>4</xdr:row>
      <xdr:rowOff>95250</xdr:rowOff>
    </xdr:to>
    <xdr:sp macro="" textlink="">
      <xdr:nvSpPr>
        <xdr:cNvPr id="58375" name="cmdSpecifyArg5" hidden="1">
          <a:extLst>
            <a:ext uri="{63B3BB69-23CF-44E3-9099-C40C66FF867C}">
              <a14:compatExt xmlns:a14="http://schemas.microsoft.com/office/drawing/2010/main" spid="_x0000_s58375"/>
            </a:ext>
            <a:ext uri="{FF2B5EF4-FFF2-40B4-BE49-F238E27FC236}">
              <a16:creationId xmlns:a16="http://schemas.microsoft.com/office/drawing/2014/main" id="{00000000-0008-0000-1100-000007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</xdr:row>
      <xdr:rowOff>9525</xdr:rowOff>
    </xdr:from>
    <xdr:to>
      <xdr:col>8</xdr:col>
      <xdr:colOff>9525</xdr:colOff>
      <xdr:row>4</xdr:row>
      <xdr:rowOff>95250</xdr:rowOff>
    </xdr:to>
    <xdr:sp macro="" textlink="">
      <xdr:nvSpPr>
        <xdr:cNvPr id="58376" name="cmdSpecifyArg6" hidden="1">
          <a:extLst>
            <a:ext uri="{63B3BB69-23CF-44E3-9099-C40C66FF867C}">
              <a14:compatExt xmlns:a14="http://schemas.microsoft.com/office/drawing/2010/main" spid="_x0000_s58376"/>
            </a:ext>
            <a:ext uri="{FF2B5EF4-FFF2-40B4-BE49-F238E27FC236}">
              <a16:creationId xmlns:a16="http://schemas.microsoft.com/office/drawing/2014/main" id="{00000000-0008-0000-1100-000008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819150</xdr:colOff>
      <xdr:row>3</xdr:row>
      <xdr:rowOff>38100</xdr:rowOff>
    </xdr:to>
    <xdr:pic>
      <xdr:nvPicPr>
        <xdr:cNvPr id="2" name="cmdCheckTIDDataSheet">
          <a:extLst>
            <a:ext uri="{FF2B5EF4-FFF2-40B4-BE49-F238E27FC236}">
              <a16:creationId xmlns:a16="http://schemas.microsoft.com/office/drawing/2014/main" id="{14886234-BF56-4A56-8CD2-CF7B45F62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9525</xdr:rowOff>
    </xdr:from>
    <xdr:to>
      <xdr:col>2</xdr:col>
      <xdr:colOff>19050</xdr:colOff>
      <xdr:row>4</xdr:row>
      <xdr:rowOff>95250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26ECF110-A8BA-4527-A36C-716D8449C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49530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9525</xdr:colOff>
      <xdr:row>4</xdr:row>
      <xdr:rowOff>95250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E219BE62-3395-479E-915E-4B42BED2D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9525</xdr:rowOff>
    </xdr:from>
    <xdr:to>
      <xdr:col>4</xdr:col>
      <xdr:colOff>9525</xdr:colOff>
      <xdr:row>4</xdr:row>
      <xdr:rowOff>95250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F5A8E5F6-DE01-43D5-B4A4-F2FE3C1E1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9525</xdr:rowOff>
    </xdr:from>
    <xdr:to>
      <xdr:col>5</xdr:col>
      <xdr:colOff>9525</xdr:colOff>
      <xdr:row>4</xdr:row>
      <xdr:rowOff>95250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B89A8873-7C0D-4022-A30C-0C7E8E9C3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9525</xdr:rowOff>
    </xdr:from>
    <xdr:to>
      <xdr:col>6</xdr:col>
      <xdr:colOff>9525</xdr:colOff>
      <xdr:row>4</xdr:row>
      <xdr:rowOff>95250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F0DB0B44-3C11-4FDA-9A5E-15E982F0A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9525</xdr:rowOff>
    </xdr:from>
    <xdr:to>
      <xdr:col>7</xdr:col>
      <xdr:colOff>9525</xdr:colOff>
      <xdr:row>4</xdr:row>
      <xdr:rowOff>95250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DE3F5667-0868-452F-A107-C565FAB28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9525</xdr:rowOff>
    </xdr:from>
    <xdr:to>
      <xdr:col>8</xdr:col>
      <xdr:colOff>9525</xdr:colOff>
      <xdr:row>4</xdr:row>
      <xdr:rowOff>95250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37B223C4-E97B-4FF8-9669-B45AA275D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9525</xdr:rowOff>
    </xdr:from>
    <xdr:to>
      <xdr:col>0</xdr:col>
      <xdr:colOff>857250</xdr:colOff>
      <xdr:row>3</xdr:row>
      <xdr:rowOff>57150</xdr:rowOff>
    </xdr:to>
    <xdr:sp macro="" textlink="">
      <xdr:nvSpPr>
        <xdr:cNvPr id="59393" name="cmdCheckTSandTIDDataSheet" hidden="1">
          <a:extLst>
            <a:ext uri="{63B3BB69-23CF-44E3-9099-C40C66FF867C}">
              <a14:compatExt xmlns:a14="http://schemas.microsoft.com/office/drawing/2010/main" spid="_x0000_s59393"/>
            </a:ext>
            <a:ext uri="{FF2B5EF4-FFF2-40B4-BE49-F238E27FC236}">
              <a16:creationId xmlns:a16="http://schemas.microsoft.com/office/drawing/2014/main" id="{00000000-0008-0000-1200-000001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19050</xdr:colOff>
      <xdr:row>4</xdr:row>
      <xdr:rowOff>104775</xdr:rowOff>
    </xdr:to>
    <xdr:sp macro="" textlink="">
      <xdr:nvSpPr>
        <xdr:cNvPr id="59394" name="cmdSpecifyParameter" hidden="1">
          <a:extLst>
            <a:ext uri="{63B3BB69-23CF-44E3-9099-C40C66FF867C}">
              <a14:compatExt xmlns:a14="http://schemas.microsoft.com/office/drawing/2010/main" spid="_x0000_s59394"/>
            </a:ext>
            <a:ext uri="{FF2B5EF4-FFF2-40B4-BE49-F238E27FC236}">
              <a16:creationId xmlns:a16="http://schemas.microsoft.com/office/drawing/2014/main" id="{00000000-0008-0000-1200-000002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9525</xdr:colOff>
      <xdr:row>4</xdr:row>
      <xdr:rowOff>104775</xdr:rowOff>
    </xdr:to>
    <xdr:sp macro="" textlink="">
      <xdr:nvSpPr>
        <xdr:cNvPr id="59395" name="cmdSpecifyArg1" hidden="1">
          <a:extLst>
            <a:ext uri="{63B3BB69-23CF-44E3-9099-C40C66FF867C}">
              <a14:compatExt xmlns:a14="http://schemas.microsoft.com/office/drawing/2010/main" spid="_x0000_s59395"/>
            </a:ext>
            <a:ext uri="{FF2B5EF4-FFF2-40B4-BE49-F238E27FC236}">
              <a16:creationId xmlns:a16="http://schemas.microsoft.com/office/drawing/2014/main" id="{00000000-0008-0000-1200-000003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104775</xdr:rowOff>
    </xdr:to>
    <xdr:sp macro="" textlink="">
      <xdr:nvSpPr>
        <xdr:cNvPr id="59396" name="cmdSpecifyArg2" hidden="1">
          <a:extLst>
            <a:ext uri="{63B3BB69-23CF-44E3-9099-C40C66FF867C}">
              <a14:compatExt xmlns:a14="http://schemas.microsoft.com/office/drawing/2010/main" spid="_x0000_s59396"/>
            </a:ext>
            <a:ext uri="{FF2B5EF4-FFF2-40B4-BE49-F238E27FC236}">
              <a16:creationId xmlns:a16="http://schemas.microsoft.com/office/drawing/2014/main" id="{00000000-0008-0000-1200-000004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9525</xdr:colOff>
      <xdr:row>4</xdr:row>
      <xdr:rowOff>104775</xdr:rowOff>
    </xdr:to>
    <xdr:sp macro="" textlink="">
      <xdr:nvSpPr>
        <xdr:cNvPr id="59397" name="cmdSpecifyArg3" hidden="1">
          <a:extLst>
            <a:ext uri="{63B3BB69-23CF-44E3-9099-C40C66FF867C}">
              <a14:compatExt xmlns:a14="http://schemas.microsoft.com/office/drawing/2010/main" spid="_x0000_s59397"/>
            </a:ext>
            <a:ext uri="{FF2B5EF4-FFF2-40B4-BE49-F238E27FC236}">
              <a16:creationId xmlns:a16="http://schemas.microsoft.com/office/drawing/2014/main" id="{00000000-0008-0000-1200-000005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9525</xdr:colOff>
      <xdr:row>4</xdr:row>
      <xdr:rowOff>104775</xdr:rowOff>
    </xdr:to>
    <xdr:sp macro="" textlink="">
      <xdr:nvSpPr>
        <xdr:cNvPr id="59398" name="cmdSpecifyArg4" hidden="1">
          <a:extLst>
            <a:ext uri="{63B3BB69-23CF-44E3-9099-C40C66FF867C}">
              <a14:compatExt xmlns:a14="http://schemas.microsoft.com/office/drawing/2010/main" spid="_x0000_s59398"/>
            </a:ext>
            <a:ext uri="{FF2B5EF4-FFF2-40B4-BE49-F238E27FC236}">
              <a16:creationId xmlns:a16="http://schemas.microsoft.com/office/drawing/2014/main" id="{00000000-0008-0000-1200-000006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9525</xdr:colOff>
      <xdr:row>4</xdr:row>
      <xdr:rowOff>104775</xdr:rowOff>
    </xdr:to>
    <xdr:sp macro="" textlink="">
      <xdr:nvSpPr>
        <xdr:cNvPr id="59399" name="cmdSpecifyArg5" hidden="1">
          <a:extLst>
            <a:ext uri="{63B3BB69-23CF-44E3-9099-C40C66FF867C}">
              <a14:compatExt xmlns:a14="http://schemas.microsoft.com/office/drawing/2010/main" spid="_x0000_s59399"/>
            </a:ext>
            <a:ext uri="{FF2B5EF4-FFF2-40B4-BE49-F238E27FC236}">
              <a16:creationId xmlns:a16="http://schemas.microsoft.com/office/drawing/2014/main" id="{00000000-0008-0000-1200-000007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9525</xdr:colOff>
      <xdr:row>4</xdr:row>
      <xdr:rowOff>104775</xdr:rowOff>
    </xdr:to>
    <xdr:sp macro="" textlink="">
      <xdr:nvSpPr>
        <xdr:cNvPr id="59400" name="cmdSpecifyArg6" hidden="1">
          <a:extLst>
            <a:ext uri="{63B3BB69-23CF-44E3-9099-C40C66FF867C}">
              <a14:compatExt xmlns:a14="http://schemas.microsoft.com/office/drawing/2010/main" spid="_x0000_s59400"/>
            </a:ext>
            <a:ext uri="{FF2B5EF4-FFF2-40B4-BE49-F238E27FC236}">
              <a16:creationId xmlns:a16="http://schemas.microsoft.com/office/drawing/2014/main" id="{00000000-0008-0000-1200-000008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19050</xdr:colOff>
      <xdr:row>3</xdr:row>
      <xdr:rowOff>0</xdr:rowOff>
    </xdr:from>
    <xdr:to>
      <xdr:col>8</xdr:col>
      <xdr:colOff>476250</xdr:colOff>
      <xdr:row>4</xdr:row>
      <xdr:rowOff>104775</xdr:rowOff>
    </xdr:to>
    <xdr:sp macro="" textlink="">
      <xdr:nvSpPr>
        <xdr:cNvPr id="59401" name="cmdSpecifyIEOptcode" hidden="1">
          <a:extLst>
            <a:ext uri="{63B3BB69-23CF-44E3-9099-C40C66FF867C}">
              <a14:compatExt xmlns:a14="http://schemas.microsoft.com/office/drawing/2010/main" spid="_x0000_s59401"/>
            </a:ext>
            <a:ext uri="{FF2B5EF4-FFF2-40B4-BE49-F238E27FC236}">
              <a16:creationId xmlns:a16="http://schemas.microsoft.com/office/drawing/2014/main" id="{00000000-0008-0000-1200-000009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4</xdr:row>
      <xdr:rowOff>19050</xdr:rowOff>
    </xdr:from>
    <xdr:to>
      <xdr:col>0</xdr:col>
      <xdr:colOff>847725</xdr:colOff>
      <xdr:row>6</xdr:row>
      <xdr:rowOff>104775</xdr:rowOff>
    </xdr:to>
    <xdr:sp macro="" textlink="">
      <xdr:nvSpPr>
        <xdr:cNvPr id="59402" name="cmdPopulateDataYears" hidden="1">
          <a:extLst>
            <a:ext uri="{63B3BB69-23CF-44E3-9099-C40C66FF867C}">
              <a14:compatExt xmlns:a14="http://schemas.microsoft.com/office/drawing/2010/main" spid="_x0000_s59402"/>
            </a:ext>
            <a:ext uri="{FF2B5EF4-FFF2-40B4-BE49-F238E27FC236}">
              <a16:creationId xmlns:a16="http://schemas.microsoft.com/office/drawing/2014/main" id="{00000000-0008-0000-1200-00000A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2</xdr:row>
      <xdr:rowOff>9525</xdr:rowOff>
    </xdr:from>
    <xdr:to>
      <xdr:col>0</xdr:col>
      <xdr:colOff>857250</xdr:colOff>
      <xdr:row>3</xdr:row>
      <xdr:rowOff>57150</xdr:rowOff>
    </xdr:to>
    <xdr:pic>
      <xdr:nvPicPr>
        <xdr:cNvPr id="2" name="cmdCheckTSandTIDDataSheet">
          <a:extLst>
            <a:ext uri="{FF2B5EF4-FFF2-40B4-BE49-F238E27FC236}">
              <a16:creationId xmlns:a16="http://schemas.microsoft.com/office/drawing/2014/main" id="{4444E6B9-D0B7-4D64-82FA-8BFCE6F34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952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19050</xdr:colOff>
      <xdr:row>4</xdr:row>
      <xdr:rowOff>104775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C925A9CF-30B0-4E85-AEFC-E2ABBEDE5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625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9525</xdr:colOff>
      <xdr:row>4</xdr:row>
      <xdr:rowOff>104775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452711C9-22E8-4E41-8D20-99F6E40FB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104775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9C58161F-F32D-4867-B164-7991C8F19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9525</xdr:colOff>
      <xdr:row>4</xdr:row>
      <xdr:rowOff>104775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C8784FD4-D4B8-4B47-83E0-BDB7422BB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9525</xdr:colOff>
      <xdr:row>4</xdr:row>
      <xdr:rowOff>104775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361BE7D7-039E-40BC-B87B-54E03D045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9525</xdr:colOff>
      <xdr:row>4</xdr:row>
      <xdr:rowOff>104775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4C430FBA-FA8B-401E-A764-A3F68B3A7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9525</xdr:colOff>
      <xdr:row>4</xdr:row>
      <xdr:rowOff>104775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6C9F98FA-1412-4F91-ABC4-59CA2DF36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</xdr:colOff>
      <xdr:row>3</xdr:row>
      <xdr:rowOff>0</xdr:rowOff>
    </xdr:from>
    <xdr:to>
      <xdr:col>8</xdr:col>
      <xdr:colOff>476250</xdr:colOff>
      <xdr:row>4</xdr:row>
      <xdr:rowOff>104775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B6E9D678-663E-42E6-B75D-C2EFFCFA8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476250"/>
          <a:ext cx="457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19050</xdr:rowOff>
    </xdr:from>
    <xdr:to>
      <xdr:col>0</xdr:col>
      <xdr:colOff>847725</xdr:colOff>
      <xdr:row>6</xdr:row>
      <xdr:rowOff>104775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6C63B0C7-52CD-4984-B20C-9F0BE5A2E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38175"/>
          <a:ext cx="8191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</xdr:rowOff>
    </xdr:to>
    <xdr:sp macro="" textlink="">
      <xdr:nvSpPr>
        <xdr:cNvPr id="63489" name="cmdCheckRegionsSheet" hidden="1">
          <a:extLst>
            <a:ext uri="{63B3BB69-23CF-44E3-9099-C40C66FF867C}">
              <a14:compatExt xmlns:a14="http://schemas.microsoft.com/office/drawing/2010/main" spid="_x0000_s63489"/>
            </a:ext>
            <a:ext uri="{FF2B5EF4-FFF2-40B4-BE49-F238E27FC236}">
              <a16:creationId xmlns:a16="http://schemas.microsoft.com/office/drawing/2014/main" id="{00000000-0008-0000-0400-000001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</xdr:colOff>
      <xdr:row>3</xdr:row>
      <xdr:rowOff>19050</xdr:rowOff>
    </xdr:from>
    <xdr:to>
      <xdr:col>3</xdr:col>
      <xdr:colOff>9525</xdr:colOff>
      <xdr:row>4</xdr:row>
      <xdr:rowOff>114300</xdr:rowOff>
    </xdr:to>
    <xdr:sp macro="" textlink="">
      <xdr:nvSpPr>
        <xdr:cNvPr id="63490" name="cmdSpecifySets" hidden="1">
          <a:extLst>
            <a:ext uri="{63B3BB69-23CF-44E3-9099-C40C66FF867C}">
              <a14:compatExt xmlns:a14="http://schemas.microsoft.com/office/drawing/2010/main" spid="_x0000_s63490"/>
            </a:ext>
            <a:ext uri="{FF2B5EF4-FFF2-40B4-BE49-F238E27FC236}">
              <a16:creationId xmlns:a16="http://schemas.microsoft.com/office/drawing/2014/main" id="{00000000-0008-0000-0400-000002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</xdr:rowOff>
    </xdr:to>
    <xdr:pic>
      <xdr:nvPicPr>
        <xdr:cNvPr id="2" name="cmdCheckRegionsSheet">
          <a:extLst>
            <a:ext uri="{FF2B5EF4-FFF2-40B4-BE49-F238E27FC236}">
              <a16:creationId xmlns:a16="http://schemas.microsoft.com/office/drawing/2014/main" id="{12AAD983-3B58-40A0-BF2C-329075411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3</xdr:row>
      <xdr:rowOff>19050</xdr:rowOff>
    </xdr:from>
    <xdr:to>
      <xdr:col>3</xdr:col>
      <xdr:colOff>9525</xdr:colOff>
      <xdr:row>4</xdr:row>
      <xdr:rowOff>114300</xdr:rowOff>
    </xdr:to>
    <xdr:pic>
      <xdr:nvPicPr>
        <xdr:cNvPr id="3" name="cmdSpecifySets">
          <a:extLst>
            <a:ext uri="{FF2B5EF4-FFF2-40B4-BE49-F238E27FC236}">
              <a16:creationId xmlns:a16="http://schemas.microsoft.com/office/drawing/2014/main" id="{7715866C-22D3-45A9-9B3F-FA008CDFD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9525" y="533400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28575</xdr:colOff>
      <xdr:row>4</xdr:row>
      <xdr:rowOff>104775</xdr:rowOff>
    </xdr:to>
    <xdr:sp macro="" textlink="">
      <xdr:nvSpPr>
        <xdr:cNvPr id="60418" name="cmdSpecifyParameter" hidden="1">
          <a:extLst>
            <a:ext uri="{63B3BB69-23CF-44E3-9099-C40C66FF867C}">
              <a14:compatExt xmlns:a14="http://schemas.microsoft.com/office/drawing/2010/main" spid="_x0000_s60418"/>
            </a:ext>
            <a:ext uri="{FF2B5EF4-FFF2-40B4-BE49-F238E27FC236}">
              <a16:creationId xmlns:a16="http://schemas.microsoft.com/office/drawing/2014/main" id="{00000000-0008-0000-1300-000002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0</xdr:rowOff>
    </xdr:from>
    <xdr:to>
      <xdr:col>4</xdr:col>
      <xdr:colOff>9525</xdr:colOff>
      <xdr:row>4</xdr:row>
      <xdr:rowOff>104775</xdr:rowOff>
    </xdr:to>
    <xdr:sp macro="" textlink="">
      <xdr:nvSpPr>
        <xdr:cNvPr id="60419" name="cmdSpecifyArg1" hidden="1">
          <a:extLst>
            <a:ext uri="{63B3BB69-23CF-44E3-9099-C40C66FF867C}">
              <a14:compatExt xmlns:a14="http://schemas.microsoft.com/office/drawing/2010/main" spid="_x0000_s60419"/>
            </a:ext>
            <a:ext uri="{FF2B5EF4-FFF2-40B4-BE49-F238E27FC236}">
              <a16:creationId xmlns:a16="http://schemas.microsoft.com/office/drawing/2014/main" id="{00000000-0008-0000-1300-000003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9525</xdr:colOff>
      <xdr:row>4</xdr:row>
      <xdr:rowOff>104775</xdr:rowOff>
    </xdr:to>
    <xdr:sp macro="" textlink="">
      <xdr:nvSpPr>
        <xdr:cNvPr id="60420" name="cmdSpecifyArg2" hidden="1">
          <a:extLst>
            <a:ext uri="{63B3BB69-23CF-44E3-9099-C40C66FF867C}">
              <a14:compatExt xmlns:a14="http://schemas.microsoft.com/office/drawing/2010/main" spid="_x0000_s60420"/>
            </a:ext>
            <a:ext uri="{FF2B5EF4-FFF2-40B4-BE49-F238E27FC236}">
              <a16:creationId xmlns:a16="http://schemas.microsoft.com/office/drawing/2014/main" id="{00000000-0008-0000-1300-000004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sp macro="" textlink="">
      <xdr:nvSpPr>
        <xdr:cNvPr id="60421" name="cmdSpecifyArg3" hidden="1">
          <a:extLst>
            <a:ext uri="{63B3BB69-23CF-44E3-9099-C40C66FF867C}">
              <a14:compatExt xmlns:a14="http://schemas.microsoft.com/office/drawing/2010/main" spid="_x0000_s60421"/>
            </a:ext>
            <a:ext uri="{FF2B5EF4-FFF2-40B4-BE49-F238E27FC236}">
              <a16:creationId xmlns:a16="http://schemas.microsoft.com/office/drawing/2014/main" id="{00000000-0008-0000-1300-000005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sp macro="" textlink="">
      <xdr:nvSpPr>
        <xdr:cNvPr id="60422" name="cmdSpecifyArg4" hidden="1">
          <a:extLst>
            <a:ext uri="{63B3BB69-23CF-44E3-9099-C40C66FF867C}">
              <a14:compatExt xmlns:a14="http://schemas.microsoft.com/office/drawing/2010/main" spid="_x0000_s60422"/>
            </a:ext>
            <a:ext uri="{FF2B5EF4-FFF2-40B4-BE49-F238E27FC236}">
              <a16:creationId xmlns:a16="http://schemas.microsoft.com/office/drawing/2014/main" id="{00000000-0008-0000-1300-000006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sp macro="" textlink="">
      <xdr:nvSpPr>
        <xdr:cNvPr id="60423" name="cmdSpecifyArg5" hidden="1">
          <a:extLst>
            <a:ext uri="{63B3BB69-23CF-44E3-9099-C40C66FF867C}">
              <a14:compatExt xmlns:a14="http://schemas.microsoft.com/office/drawing/2010/main" spid="_x0000_s60423"/>
            </a:ext>
            <a:ext uri="{FF2B5EF4-FFF2-40B4-BE49-F238E27FC236}">
              <a16:creationId xmlns:a16="http://schemas.microsoft.com/office/drawing/2014/main" id="{00000000-0008-0000-1300-000007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19050</xdr:colOff>
      <xdr:row>3</xdr:row>
      <xdr:rowOff>0</xdr:rowOff>
    </xdr:from>
    <xdr:to>
      <xdr:col>9</xdr:col>
      <xdr:colOff>28575</xdr:colOff>
      <xdr:row>4</xdr:row>
      <xdr:rowOff>104775</xdr:rowOff>
    </xdr:to>
    <xdr:sp macro="" textlink="">
      <xdr:nvSpPr>
        <xdr:cNvPr id="60424" name="cmdSpecifyArg6" hidden="1">
          <a:extLst>
            <a:ext uri="{63B3BB69-23CF-44E3-9099-C40C66FF867C}">
              <a14:compatExt xmlns:a14="http://schemas.microsoft.com/office/drawing/2010/main" spid="_x0000_s60424"/>
            </a:ext>
            <a:ext uri="{FF2B5EF4-FFF2-40B4-BE49-F238E27FC236}">
              <a16:creationId xmlns:a16="http://schemas.microsoft.com/office/drawing/2014/main" id="{00000000-0008-0000-1300-000008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19050</xdr:colOff>
      <xdr:row>3</xdr:row>
      <xdr:rowOff>0</xdr:rowOff>
    </xdr:from>
    <xdr:to>
      <xdr:col>10</xdr:col>
      <xdr:colOff>0</xdr:colOff>
      <xdr:row>4</xdr:row>
      <xdr:rowOff>85725</xdr:rowOff>
    </xdr:to>
    <xdr:sp macro="" textlink="">
      <xdr:nvSpPr>
        <xdr:cNvPr id="60425" name="cmdSpecifyIEOptcode" hidden="1">
          <a:extLst>
            <a:ext uri="{63B3BB69-23CF-44E3-9099-C40C66FF867C}">
              <a14:compatExt xmlns:a14="http://schemas.microsoft.com/office/drawing/2010/main" spid="_x0000_s60425"/>
            </a:ext>
            <a:ext uri="{FF2B5EF4-FFF2-40B4-BE49-F238E27FC236}">
              <a16:creationId xmlns:a16="http://schemas.microsoft.com/office/drawing/2014/main" id="{00000000-0008-0000-1300-000009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2</xdr:row>
      <xdr:rowOff>0</xdr:rowOff>
    </xdr:from>
    <xdr:to>
      <xdr:col>0</xdr:col>
      <xdr:colOff>838200</xdr:colOff>
      <xdr:row>3</xdr:row>
      <xdr:rowOff>0</xdr:rowOff>
    </xdr:to>
    <xdr:sp macro="" textlink="">
      <xdr:nvSpPr>
        <xdr:cNvPr id="60426" name="cmdCheckTSTradeSheet" hidden="1">
          <a:extLst>
            <a:ext uri="{63B3BB69-23CF-44E3-9099-C40C66FF867C}">
              <a14:compatExt xmlns:a14="http://schemas.microsoft.com/office/drawing/2010/main" spid="_x0000_s60426"/>
            </a:ext>
            <a:ext uri="{FF2B5EF4-FFF2-40B4-BE49-F238E27FC236}">
              <a16:creationId xmlns:a16="http://schemas.microsoft.com/office/drawing/2014/main" id="{00000000-0008-0000-1300-00000A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3</xdr:row>
      <xdr:rowOff>19050</xdr:rowOff>
    </xdr:from>
    <xdr:to>
      <xdr:col>0</xdr:col>
      <xdr:colOff>838200</xdr:colOff>
      <xdr:row>5</xdr:row>
      <xdr:rowOff>104775</xdr:rowOff>
    </xdr:to>
    <xdr:sp macro="" textlink="">
      <xdr:nvSpPr>
        <xdr:cNvPr id="60427" name="cmdPopulateDataYears" hidden="1">
          <a:extLst>
            <a:ext uri="{63B3BB69-23CF-44E3-9099-C40C66FF867C}">
              <a14:compatExt xmlns:a14="http://schemas.microsoft.com/office/drawing/2010/main" spid="_x0000_s60427"/>
            </a:ext>
            <a:ext uri="{FF2B5EF4-FFF2-40B4-BE49-F238E27FC236}">
              <a16:creationId xmlns:a16="http://schemas.microsoft.com/office/drawing/2014/main" id="{00000000-0008-0000-1300-00000B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28575</xdr:colOff>
      <xdr:row>4</xdr:row>
      <xdr:rowOff>104775</xdr:rowOff>
    </xdr:to>
    <xdr:pic>
      <xdr:nvPicPr>
        <xdr:cNvPr id="2" name="cmdSpecifyParameter">
          <a:extLst>
            <a:ext uri="{FF2B5EF4-FFF2-40B4-BE49-F238E27FC236}">
              <a16:creationId xmlns:a16="http://schemas.microsoft.com/office/drawing/2014/main" id="{07F46A86-3CC6-4EF9-9EF6-8171A954C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523875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3</xdr:row>
      <xdr:rowOff>0</xdr:rowOff>
    </xdr:from>
    <xdr:to>
      <xdr:col>4</xdr:col>
      <xdr:colOff>9525</xdr:colOff>
      <xdr:row>4</xdr:row>
      <xdr:rowOff>104775</xdr:rowOff>
    </xdr:to>
    <xdr:pic>
      <xdr:nvPicPr>
        <xdr:cNvPr id="3" name="cmdSpecifyArg1">
          <a:extLst>
            <a:ext uri="{FF2B5EF4-FFF2-40B4-BE49-F238E27FC236}">
              <a16:creationId xmlns:a16="http://schemas.microsoft.com/office/drawing/2014/main" id="{24DF6F39-ED49-4630-A615-14BA3AFF7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9525</xdr:colOff>
      <xdr:row>4</xdr:row>
      <xdr:rowOff>104775</xdr:rowOff>
    </xdr:to>
    <xdr:pic>
      <xdr:nvPicPr>
        <xdr:cNvPr id="4" name="cmdSpecifyArg2">
          <a:extLst>
            <a:ext uri="{FF2B5EF4-FFF2-40B4-BE49-F238E27FC236}">
              <a16:creationId xmlns:a16="http://schemas.microsoft.com/office/drawing/2014/main" id="{CBD003E3-5E0B-4FB2-A111-51468915F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pic>
      <xdr:nvPicPr>
        <xdr:cNvPr id="5" name="cmdSpecifyArg3">
          <a:extLst>
            <a:ext uri="{FF2B5EF4-FFF2-40B4-BE49-F238E27FC236}">
              <a16:creationId xmlns:a16="http://schemas.microsoft.com/office/drawing/2014/main" id="{A5471F94-693E-4A91-BC30-8F4D2849B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pic>
      <xdr:nvPicPr>
        <xdr:cNvPr id="6" name="cmdSpecifyArg4">
          <a:extLst>
            <a:ext uri="{FF2B5EF4-FFF2-40B4-BE49-F238E27FC236}">
              <a16:creationId xmlns:a16="http://schemas.microsoft.com/office/drawing/2014/main" id="{2620FEEA-3F45-448D-B87C-F6ECA9EF3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pic>
      <xdr:nvPicPr>
        <xdr:cNvPr id="7" name="cmdSpecifyArg5">
          <a:extLst>
            <a:ext uri="{FF2B5EF4-FFF2-40B4-BE49-F238E27FC236}">
              <a16:creationId xmlns:a16="http://schemas.microsoft.com/office/drawing/2014/main" id="{E1A1E748-87F1-4B00-90D9-125898F42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</xdr:colOff>
      <xdr:row>3</xdr:row>
      <xdr:rowOff>0</xdr:rowOff>
    </xdr:from>
    <xdr:to>
      <xdr:col>9</xdr:col>
      <xdr:colOff>28575</xdr:colOff>
      <xdr:row>4</xdr:row>
      <xdr:rowOff>104775</xdr:rowOff>
    </xdr:to>
    <xdr:pic>
      <xdr:nvPicPr>
        <xdr:cNvPr id="8" name="cmdSpecifyArg6">
          <a:extLst>
            <a:ext uri="{FF2B5EF4-FFF2-40B4-BE49-F238E27FC236}">
              <a16:creationId xmlns:a16="http://schemas.microsoft.com/office/drawing/2014/main" id="{5E6B5440-75A4-4B09-9F87-51E1E2B64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</xdr:colOff>
      <xdr:row>3</xdr:row>
      <xdr:rowOff>0</xdr:rowOff>
    </xdr:from>
    <xdr:to>
      <xdr:col>10</xdr:col>
      <xdr:colOff>0</xdr:colOff>
      <xdr:row>4</xdr:row>
      <xdr:rowOff>85725</xdr:rowOff>
    </xdr:to>
    <xdr:pic>
      <xdr:nvPicPr>
        <xdr:cNvPr id="9" name="cmdSpecifyIEOptcode">
          <a:extLst>
            <a:ext uri="{FF2B5EF4-FFF2-40B4-BE49-F238E27FC236}">
              <a16:creationId xmlns:a16="http://schemas.microsoft.com/office/drawing/2014/main" id="{7C6DB1FF-2747-4A3F-8638-1721EE403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523875"/>
          <a:ext cx="457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2</xdr:row>
      <xdr:rowOff>0</xdr:rowOff>
    </xdr:from>
    <xdr:to>
      <xdr:col>0</xdr:col>
      <xdr:colOff>838200</xdr:colOff>
      <xdr:row>3</xdr:row>
      <xdr:rowOff>0</xdr:rowOff>
    </xdr:to>
    <xdr:pic>
      <xdr:nvPicPr>
        <xdr:cNvPr id="10" name="cmdCheckTSTradeSheet">
          <a:extLst>
            <a:ext uri="{FF2B5EF4-FFF2-40B4-BE49-F238E27FC236}">
              <a16:creationId xmlns:a16="http://schemas.microsoft.com/office/drawing/2014/main" id="{29B1057A-07EC-4527-9002-14C3167FD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3</xdr:row>
      <xdr:rowOff>19050</xdr:rowOff>
    </xdr:from>
    <xdr:to>
      <xdr:col>0</xdr:col>
      <xdr:colOff>838200</xdr:colOff>
      <xdr:row>5</xdr:row>
      <xdr:rowOff>104775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D7F5FFFC-4FB0-4190-A956-DBD34D577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42925"/>
          <a:ext cx="8191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38100</xdr:rowOff>
    </xdr:to>
    <xdr:sp macro="" textlink="">
      <xdr:nvSpPr>
        <xdr:cNvPr id="61442" name="cmdCheckTIDTradeSheet" hidden="1">
          <a:extLst>
            <a:ext uri="{63B3BB69-23CF-44E3-9099-C40C66FF867C}">
              <a14:compatExt xmlns:a14="http://schemas.microsoft.com/office/drawing/2010/main" spid="_x0000_s61442"/>
            </a:ext>
            <a:ext uri="{FF2B5EF4-FFF2-40B4-BE49-F238E27FC236}">
              <a16:creationId xmlns:a16="http://schemas.microsoft.com/office/drawing/2014/main" id="{00000000-0008-0000-1400-000002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28575</xdr:colOff>
      <xdr:row>4</xdr:row>
      <xdr:rowOff>114300</xdr:rowOff>
    </xdr:to>
    <xdr:sp macro="" textlink="">
      <xdr:nvSpPr>
        <xdr:cNvPr id="61443" name="cmdSpecifyParameter" hidden="1">
          <a:extLst>
            <a:ext uri="{63B3BB69-23CF-44E3-9099-C40C66FF867C}">
              <a14:compatExt xmlns:a14="http://schemas.microsoft.com/office/drawing/2010/main" spid="_x0000_s61443"/>
            </a:ext>
            <a:ext uri="{FF2B5EF4-FFF2-40B4-BE49-F238E27FC236}">
              <a16:creationId xmlns:a16="http://schemas.microsoft.com/office/drawing/2014/main" id="{00000000-0008-0000-1400-000003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0</xdr:colOff>
      <xdr:row>4</xdr:row>
      <xdr:rowOff>114300</xdr:rowOff>
    </xdr:to>
    <xdr:sp macro="" textlink="">
      <xdr:nvSpPr>
        <xdr:cNvPr id="61444" name="cmdSpecifyArg1" hidden="1">
          <a:extLst>
            <a:ext uri="{63B3BB69-23CF-44E3-9099-C40C66FF867C}">
              <a14:compatExt xmlns:a14="http://schemas.microsoft.com/office/drawing/2010/main" spid="_x0000_s61444"/>
            </a:ext>
            <a:ext uri="{FF2B5EF4-FFF2-40B4-BE49-F238E27FC236}">
              <a16:creationId xmlns:a16="http://schemas.microsoft.com/office/drawing/2014/main" id="{00000000-0008-0000-1400-000004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9525</xdr:colOff>
      <xdr:row>4</xdr:row>
      <xdr:rowOff>114300</xdr:rowOff>
    </xdr:to>
    <xdr:sp macro="" textlink="">
      <xdr:nvSpPr>
        <xdr:cNvPr id="61445" name="cmdSpecifyArg2" hidden="1">
          <a:extLst>
            <a:ext uri="{63B3BB69-23CF-44E3-9099-C40C66FF867C}">
              <a14:compatExt xmlns:a14="http://schemas.microsoft.com/office/drawing/2010/main" spid="_x0000_s61445"/>
            </a:ext>
            <a:ext uri="{FF2B5EF4-FFF2-40B4-BE49-F238E27FC236}">
              <a16:creationId xmlns:a16="http://schemas.microsoft.com/office/drawing/2014/main" id="{00000000-0008-0000-1400-000005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114300</xdr:rowOff>
    </xdr:to>
    <xdr:sp macro="" textlink="">
      <xdr:nvSpPr>
        <xdr:cNvPr id="61446" name="cmdSpecifyArg3" hidden="1">
          <a:extLst>
            <a:ext uri="{63B3BB69-23CF-44E3-9099-C40C66FF867C}">
              <a14:compatExt xmlns:a14="http://schemas.microsoft.com/office/drawing/2010/main" spid="_x0000_s61446"/>
            </a:ext>
            <a:ext uri="{FF2B5EF4-FFF2-40B4-BE49-F238E27FC236}">
              <a16:creationId xmlns:a16="http://schemas.microsoft.com/office/drawing/2014/main" id="{00000000-0008-0000-1400-000006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114300</xdr:rowOff>
    </xdr:to>
    <xdr:sp macro="" textlink="">
      <xdr:nvSpPr>
        <xdr:cNvPr id="61447" name="cmdSpecifyArg4" hidden="1">
          <a:extLst>
            <a:ext uri="{63B3BB69-23CF-44E3-9099-C40C66FF867C}">
              <a14:compatExt xmlns:a14="http://schemas.microsoft.com/office/drawing/2010/main" spid="_x0000_s61447"/>
            </a:ext>
            <a:ext uri="{FF2B5EF4-FFF2-40B4-BE49-F238E27FC236}">
              <a16:creationId xmlns:a16="http://schemas.microsoft.com/office/drawing/2014/main" id="{00000000-0008-0000-1400-000007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114300</xdr:rowOff>
    </xdr:to>
    <xdr:sp macro="" textlink="">
      <xdr:nvSpPr>
        <xdr:cNvPr id="61448" name="cmdSpecifyArg5" hidden="1">
          <a:extLst>
            <a:ext uri="{63B3BB69-23CF-44E3-9099-C40C66FF867C}">
              <a14:compatExt xmlns:a14="http://schemas.microsoft.com/office/drawing/2010/main" spid="_x0000_s61448"/>
            </a:ext>
            <a:ext uri="{FF2B5EF4-FFF2-40B4-BE49-F238E27FC236}">
              <a16:creationId xmlns:a16="http://schemas.microsoft.com/office/drawing/2014/main" id="{00000000-0008-0000-1400-000008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114300</xdr:rowOff>
    </xdr:to>
    <xdr:sp macro="" textlink="">
      <xdr:nvSpPr>
        <xdr:cNvPr id="61449" name="cmdSpecifyArg6" hidden="1">
          <a:extLst>
            <a:ext uri="{63B3BB69-23CF-44E3-9099-C40C66FF867C}">
              <a14:compatExt xmlns:a14="http://schemas.microsoft.com/office/drawing/2010/main" spid="_x0000_s61449"/>
            </a:ext>
            <a:ext uri="{FF2B5EF4-FFF2-40B4-BE49-F238E27FC236}">
              <a16:creationId xmlns:a16="http://schemas.microsoft.com/office/drawing/2014/main" id="{00000000-0008-0000-1400-000009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38100</xdr:rowOff>
    </xdr:to>
    <xdr:pic>
      <xdr:nvPicPr>
        <xdr:cNvPr id="2" name="cmdCheckTIDTradeSheet">
          <a:extLst>
            <a:ext uri="{FF2B5EF4-FFF2-40B4-BE49-F238E27FC236}">
              <a16:creationId xmlns:a16="http://schemas.microsoft.com/office/drawing/2014/main" id="{BE67A060-C88F-4951-BD9F-BF8486653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28575</xdr:colOff>
      <xdr:row>4</xdr:row>
      <xdr:rowOff>114300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3E85F9BC-6A63-4102-922B-5F718AB72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" y="49530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0</xdr:colOff>
      <xdr:row>4</xdr:row>
      <xdr:rowOff>114300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4BAF8459-9485-4533-AC41-674A41E17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9525</xdr:colOff>
      <xdr:row>4</xdr:row>
      <xdr:rowOff>114300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70078D9D-8226-47C9-A210-B2107EF22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114300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F0AEA346-E5D7-4CED-A527-CDF07EE38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114300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3216FB0F-236E-4EC7-8C81-2430BF522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81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114300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820EFD9B-E365-4EF1-A5FC-29BA8B477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114300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ACAC6C77-992F-42FD-A0C5-587D0DF77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19050</xdr:rowOff>
    </xdr:from>
    <xdr:to>
      <xdr:col>0</xdr:col>
      <xdr:colOff>828675</xdr:colOff>
      <xdr:row>3</xdr:row>
      <xdr:rowOff>0</xdr:rowOff>
    </xdr:to>
    <xdr:sp macro="" textlink="">
      <xdr:nvSpPr>
        <xdr:cNvPr id="62466" name="cmdCheckTSandTIDTradeSheet" hidden="1">
          <a:extLst>
            <a:ext uri="{63B3BB69-23CF-44E3-9099-C40C66FF867C}">
              <a14:compatExt xmlns:a14="http://schemas.microsoft.com/office/drawing/2010/main" spid="_x0000_s62466"/>
            </a:ext>
            <a:ext uri="{FF2B5EF4-FFF2-40B4-BE49-F238E27FC236}">
              <a16:creationId xmlns:a16="http://schemas.microsoft.com/office/drawing/2014/main" id="{00000000-0008-0000-1500-000002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</xdr:colOff>
      <xdr:row>3</xdr:row>
      <xdr:rowOff>9525</xdr:rowOff>
    </xdr:from>
    <xdr:to>
      <xdr:col>3</xdr:col>
      <xdr:colOff>9525</xdr:colOff>
      <xdr:row>4</xdr:row>
      <xdr:rowOff>85725</xdr:rowOff>
    </xdr:to>
    <xdr:sp macro="" textlink="">
      <xdr:nvSpPr>
        <xdr:cNvPr id="62467" name="cmdSpecifyParameter" hidden="1">
          <a:extLst>
            <a:ext uri="{63B3BB69-23CF-44E3-9099-C40C66FF867C}">
              <a14:compatExt xmlns:a14="http://schemas.microsoft.com/office/drawing/2010/main" spid="_x0000_s62467"/>
            </a:ext>
            <a:ext uri="{FF2B5EF4-FFF2-40B4-BE49-F238E27FC236}">
              <a16:creationId xmlns:a16="http://schemas.microsoft.com/office/drawing/2014/main" id="{00000000-0008-0000-1500-000003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19050</xdr:colOff>
      <xdr:row>4</xdr:row>
      <xdr:rowOff>85725</xdr:rowOff>
    </xdr:to>
    <xdr:sp macro="" textlink="">
      <xdr:nvSpPr>
        <xdr:cNvPr id="62468" name="cmdSpecifyArg1" hidden="1">
          <a:extLst>
            <a:ext uri="{63B3BB69-23CF-44E3-9099-C40C66FF867C}">
              <a14:compatExt xmlns:a14="http://schemas.microsoft.com/office/drawing/2010/main" spid="_x0000_s62468"/>
            </a:ext>
            <a:ext uri="{FF2B5EF4-FFF2-40B4-BE49-F238E27FC236}">
              <a16:creationId xmlns:a16="http://schemas.microsoft.com/office/drawing/2014/main" id="{00000000-0008-0000-1500-000004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19050</xdr:colOff>
      <xdr:row>4</xdr:row>
      <xdr:rowOff>85725</xdr:rowOff>
    </xdr:to>
    <xdr:sp macro="" textlink="">
      <xdr:nvSpPr>
        <xdr:cNvPr id="62469" name="cmdSpecifyArg2" hidden="1">
          <a:extLst>
            <a:ext uri="{63B3BB69-23CF-44E3-9099-C40C66FF867C}">
              <a14:compatExt xmlns:a14="http://schemas.microsoft.com/office/drawing/2010/main" spid="_x0000_s62469"/>
            </a:ext>
            <a:ext uri="{FF2B5EF4-FFF2-40B4-BE49-F238E27FC236}">
              <a16:creationId xmlns:a16="http://schemas.microsoft.com/office/drawing/2014/main" id="{00000000-0008-0000-1500-000005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85725</xdr:rowOff>
    </xdr:to>
    <xdr:sp macro="" textlink="">
      <xdr:nvSpPr>
        <xdr:cNvPr id="62470" name="cmdSpecifyArg3" hidden="1">
          <a:extLst>
            <a:ext uri="{63B3BB69-23CF-44E3-9099-C40C66FF867C}">
              <a14:compatExt xmlns:a14="http://schemas.microsoft.com/office/drawing/2010/main" spid="_x0000_s62470"/>
            </a:ext>
            <a:ext uri="{FF2B5EF4-FFF2-40B4-BE49-F238E27FC236}">
              <a16:creationId xmlns:a16="http://schemas.microsoft.com/office/drawing/2014/main" id="{00000000-0008-0000-1500-000006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85725</xdr:rowOff>
    </xdr:to>
    <xdr:sp macro="" textlink="">
      <xdr:nvSpPr>
        <xdr:cNvPr id="62471" name="cmdSpecifyArg4" hidden="1">
          <a:extLst>
            <a:ext uri="{63B3BB69-23CF-44E3-9099-C40C66FF867C}">
              <a14:compatExt xmlns:a14="http://schemas.microsoft.com/office/drawing/2010/main" spid="_x0000_s62471"/>
            </a:ext>
            <a:ext uri="{FF2B5EF4-FFF2-40B4-BE49-F238E27FC236}">
              <a16:creationId xmlns:a16="http://schemas.microsoft.com/office/drawing/2014/main" id="{00000000-0008-0000-1500-000007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85725</xdr:rowOff>
    </xdr:to>
    <xdr:sp macro="" textlink="">
      <xdr:nvSpPr>
        <xdr:cNvPr id="62472" name="cmdSpecifyArg5" hidden="1">
          <a:extLst>
            <a:ext uri="{63B3BB69-23CF-44E3-9099-C40C66FF867C}">
              <a14:compatExt xmlns:a14="http://schemas.microsoft.com/office/drawing/2010/main" spid="_x0000_s62472"/>
            </a:ext>
            <a:ext uri="{FF2B5EF4-FFF2-40B4-BE49-F238E27FC236}">
              <a16:creationId xmlns:a16="http://schemas.microsoft.com/office/drawing/2014/main" id="{00000000-0008-0000-1500-000008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85725</xdr:rowOff>
    </xdr:to>
    <xdr:sp macro="" textlink="">
      <xdr:nvSpPr>
        <xdr:cNvPr id="62473" name="cmdSpecifyArg6" hidden="1">
          <a:extLst>
            <a:ext uri="{63B3BB69-23CF-44E3-9099-C40C66FF867C}">
              <a14:compatExt xmlns:a14="http://schemas.microsoft.com/office/drawing/2010/main" spid="_x0000_s62473"/>
            </a:ext>
            <a:ext uri="{FF2B5EF4-FFF2-40B4-BE49-F238E27FC236}">
              <a16:creationId xmlns:a16="http://schemas.microsoft.com/office/drawing/2014/main" id="{00000000-0008-0000-1500-000009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28575</xdr:colOff>
      <xdr:row>3</xdr:row>
      <xdr:rowOff>9525</xdr:rowOff>
    </xdr:from>
    <xdr:to>
      <xdr:col>10</xdr:col>
      <xdr:colOff>9525</xdr:colOff>
      <xdr:row>4</xdr:row>
      <xdr:rowOff>85725</xdr:rowOff>
    </xdr:to>
    <xdr:sp macro="" textlink="">
      <xdr:nvSpPr>
        <xdr:cNvPr id="62474" name="cmdSpecifyIEOptcode" hidden="1">
          <a:extLst>
            <a:ext uri="{63B3BB69-23CF-44E3-9099-C40C66FF867C}">
              <a14:compatExt xmlns:a14="http://schemas.microsoft.com/office/drawing/2010/main" spid="_x0000_s62474"/>
            </a:ext>
            <a:ext uri="{FF2B5EF4-FFF2-40B4-BE49-F238E27FC236}">
              <a16:creationId xmlns:a16="http://schemas.microsoft.com/office/drawing/2014/main" id="{00000000-0008-0000-1500-00000A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666750</xdr:colOff>
      <xdr:row>6</xdr:row>
      <xdr:rowOff>38100</xdr:rowOff>
    </xdr:to>
    <xdr:sp macro="" textlink="">
      <xdr:nvSpPr>
        <xdr:cNvPr id="62475" name="cmdPopulateDataYears" hidden="1">
          <a:extLst>
            <a:ext uri="{63B3BB69-23CF-44E3-9099-C40C66FF867C}">
              <a14:compatExt xmlns:a14="http://schemas.microsoft.com/office/drawing/2010/main" spid="_x0000_s62475"/>
            </a:ext>
            <a:ext uri="{FF2B5EF4-FFF2-40B4-BE49-F238E27FC236}">
              <a16:creationId xmlns:a16="http://schemas.microsoft.com/office/drawing/2014/main" id="{00000000-0008-0000-1500-00000B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</xdr:rowOff>
    </xdr:from>
    <xdr:to>
      <xdr:col>0</xdr:col>
      <xdr:colOff>828675</xdr:colOff>
      <xdr:row>3</xdr:row>
      <xdr:rowOff>0</xdr:rowOff>
    </xdr:to>
    <xdr:pic>
      <xdr:nvPicPr>
        <xdr:cNvPr id="2" name="cmdCheckTSandTIDTradeSheet">
          <a:extLst>
            <a:ext uri="{FF2B5EF4-FFF2-40B4-BE49-F238E27FC236}">
              <a16:creationId xmlns:a16="http://schemas.microsoft.com/office/drawing/2014/main" id="{6A7EF5CA-871B-4297-A7B8-1EDD2DE0C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619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3</xdr:row>
      <xdr:rowOff>9525</xdr:rowOff>
    </xdr:from>
    <xdr:to>
      <xdr:col>3</xdr:col>
      <xdr:colOff>9525</xdr:colOff>
      <xdr:row>4</xdr:row>
      <xdr:rowOff>85725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1494FA95-1F87-44A8-BBAE-2FF1AA9F6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0960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19050</xdr:colOff>
      <xdr:row>4</xdr:row>
      <xdr:rowOff>85725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2CD48D58-6E8F-40FF-9BA2-8E83138C9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19050</xdr:colOff>
      <xdr:row>4</xdr:row>
      <xdr:rowOff>85725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10248C8A-8E83-4FDF-B675-5D5F290A2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85725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CF841022-C575-4BC5-81F8-6402F91E9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85725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B3D35A47-AAB3-4CC4-8D27-F7BF394C4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85725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F6E7FBF3-CCB8-4F1F-84E0-2B632238B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85725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04714141-59DE-4128-93A4-C79BF6C8C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</xdr:colOff>
      <xdr:row>3</xdr:row>
      <xdr:rowOff>9525</xdr:rowOff>
    </xdr:from>
    <xdr:to>
      <xdr:col>10</xdr:col>
      <xdr:colOff>9525</xdr:colOff>
      <xdr:row>4</xdr:row>
      <xdr:rowOff>85725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41BCA9DB-282E-4001-9BA9-E3CD25517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609600"/>
          <a:ext cx="4762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666750</xdr:colOff>
      <xdr:row>6</xdr:row>
      <xdr:rowOff>38100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CE7177FB-89AC-4A50-829A-56DFA70DD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90575"/>
          <a:ext cx="6572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4</xdr:row>
      <xdr:rowOff>152400</xdr:rowOff>
    </xdr:to>
    <xdr:sp macro="" textlink="">
      <xdr:nvSpPr>
        <xdr:cNvPr id="71681" name="cmdSpecifySets" hidden="1">
          <a:extLst>
            <a:ext uri="{63B3BB69-23CF-44E3-9099-C40C66FF867C}">
              <a14:compatExt xmlns:a14="http://schemas.microsoft.com/office/drawing/2010/main" spid="_x0000_s71681"/>
            </a:ext>
            <a:ext uri="{FF2B5EF4-FFF2-40B4-BE49-F238E27FC236}">
              <a16:creationId xmlns:a16="http://schemas.microsoft.com/office/drawing/2014/main" id="{00000000-0008-0000-0500-000001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sp macro="" textlink="">
      <xdr:nvSpPr>
        <xdr:cNvPr id="71682" name="cmdCheckCommoditiesSheet" hidden="1">
          <a:extLst>
            <a:ext uri="{63B3BB69-23CF-44E3-9099-C40C66FF867C}">
              <a14:compatExt xmlns:a14="http://schemas.microsoft.com/office/drawing/2010/main" spid="_x0000_s71682"/>
            </a:ext>
            <a:ext uri="{FF2B5EF4-FFF2-40B4-BE49-F238E27FC236}">
              <a16:creationId xmlns:a16="http://schemas.microsoft.com/office/drawing/2014/main" id="{00000000-0008-0000-0500-000002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676275</xdr:colOff>
      <xdr:row>4</xdr:row>
      <xdr:rowOff>152400</xdr:rowOff>
    </xdr:to>
    <xdr:sp macro="" textlink="">
      <xdr:nvSpPr>
        <xdr:cNvPr id="71683" name="cmdCommUnit" hidden="1">
          <a:extLst>
            <a:ext uri="{63B3BB69-23CF-44E3-9099-C40C66FF867C}">
              <a14:compatExt xmlns:a14="http://schemas.microsoft.com/office/drawing/2010/main" spid="_x0000_s71683"/>
            </a:ext>
            <a:ext uri="{FF2B5EF4-FFF2-40B4-BE49-F238E27FC236}">
              <a16:creationId xmlns:a16="http://schemas.microsoft.com/office/drawing/2014/main" id="{00000000-0008-0000-0500-000003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4</xdr:row>
      <xdr:rowOff>152400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269AC9FC-B4BF-45FC-BD27-C0C2DB96E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56197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pic>
      <xdr:nvPicPr>
        <xdr:cNvPr id="3" name="cmdCheckCommoditiesSheet">
          <a:extLst>
            <a:ext uri="{FF2B5EF4-FFF2-40B4-BE49-F238E27FC236}">
              <a16:creationId xmlns:a16="http://schemas.microsoft.com/office/drawing/2014/main" id="{CB4CE7D5-3708-4A49-9DA2-F49EE6DBA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676275</xdr:colOff>
      <xdr:row>4</xdr:row>
      <xdr:rowOff>152400</xdr:rowOff>
    </xdr:to>
    <xdr:pic>
      <xdr:nvPicPr>
        <xdr:cNvPr id="4" name="cmdCommUnit">
          <a:extLst>
            <a:ext uri="{FF2B5EF4-FFF2-40B4-BE49-F238E27FC236}">
              <a16:creationId xmlns:a16="http://schemas.microsoft.com/office/drawing/2014/main" id="{5F24067E-28C9-46BB-B0F7-9BD1C2A4D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61975"/>
          <a:ext cx="6667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4</xdr:row>
      <xdr:rowOff>152400</xdr:rowOff>
    </xdr:to>
    <xdr:sp macro="" textlink="">
      <xdr:nvSpPr>
        <xdr:cNvPr id="125953" name="cmdSpecifySets" hidden="1">
          <a:extLst>
            <a:ext uri="{63B3BB69-23CF-44E3-9099-C40C66FF867C}">
              <a14:compatExt xmlns:a14="http://schemas.microsoft.com/office/drawing/2010/main" spid="_x0000_s125953"/>
            </a:ext>
            <a:ext uri="{FF2B5EF4-FFF2-40B4-BE49-F238E27FC236}">
              <a16:creationId xmlns:a16="http://schemas.microsoft.com/office/drawing/2014/main" id="{00000000-0008-0000-0600-000001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817245</xdr:colOff>
      <xdr:row>3</xdr:row>
      <xdr:rowOff>95250</xdr:rowOff>
    </xdr:to>
    <xdr:sp macro="" textlink="">
      <xdr:nvSpPr>
        <xdr:cNvPr id="125954" name="cmdCheckCommoditiesSheet" hidden="1">
          <a:extLst>
            <a:ext uri="{63B3BB69-23CF-44E3-9099-C40C66FF867C}">
              <a14:compatExt xmlns:a14="http://schemas.microsoft.com/office/drawing/2010/main" spid="_x0000_s125954"/>
            </a:ext>
            <a:ext uri="{FF2B5EF4-FFF2-40B4-BE49-F238E27FC236}">
              <a16:creationId xmlns:a16="http://schemas.microsoft.com/office/drawing/2014/main" id="{00000000-0008-0000-0600-000002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664845</xdr:colOff>
      <xdr:row>4</xdr:row>
      <xdr:rowOff>152400</xdr:rowOff>
    </xdr:to>
    <xdr:sp macro="" textlink="">
      <xdr:nvSpPr>
        <xdr:cNvPr id="125955" name="cmdCommUnit" hidden="1">
          <a:extLst>
            <a:ext uri="{63B3BB69-23CF-44E3-9099-C40C66FF867C}">
              <a14:compatExt xmlns:a14="http://schemas.microsoft.com/office/drawing/2010/main" spid="_x0000_s125955"/>
            </a:ext>
            <a:ext uri="{FF2B5EF4-FFF2-40B4-BE49-F238E27FC236}">
              <a16:creationId xmlns:a16="http://schemas.microsoft.com/office/drawing/2014/main" id="{00000000-0008-0000-0600-000003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5</xdr:row>
      <xdr:rowOff>0</xdr:rowOff>
    </xdr:to>
    <xdr:sp macro="" textlink="">
      <xdr:nvSpPr>
        <xdr:cNvPr id="80897" name="cmdSpecifySets" hidden="1">
          <a:extLst>
            <a:ext uri="{63B3BB69-23CF-44E3-9099-C40C66FF867C}">
              <a14:compatExt xmlns:a14="http://schemas.microsoft.com/office/drawing/2010/main" spid="_x0000_s80897"/>
            </a:ext>
            <a:ext uri="{FF2B5EF4-FFF2-40B4-BE49-F238E27FC236}">
              <a16:creationId xmlns:a16="http://schemas.microsoft.com/office/drawing/2014/main" id="{00000000-0008-0000-0700-000001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sp macro="" textlink="">
      <xdr:nvSpPr>
        <xdr:cNvPr id="80898" name="cmdCheckTechnologiesSheet" hidden="1">
          <a:extLst>
            <a:ext uri="{63B3BB69-23CF-44E3-9099-C40C66FF867C}">
              <a14:compatExt xmlns:a14="http://schemas.microsoft.com/office/drawing/2010/main" spid="_x0000_s80898"/>
            </a:ext>
            <a:ext uri="{FF2B5EF4-FFF2-40B4-BE49-F238E27FC236}">
              <a16:creationId xmlns:a16="http://schemas.microsoft.com/office/drawing/2014/main" id="{00000000-0008-0000-0700-000002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647700</xdr:colOff>
      <xdr:row>5</xdr:row>
      <xdr:rowOff>0</xdr:rowOff>
    </xdr:to>
    <xdr:sp macro="" textlink="">
      <xdr:nvSpPr>
        <xdr:cNvPr id="80899" name="cmdProcUnits" hidden="1">
          <a:extLst>
            <a:ext uri="{63B3BB69-23CF-44E3-9099-C40C66FF867C}">
              <a14:compatExt xmlns:a14="http://schemas.microsoft.com/office/drawing/2010/main" spid="_x0000_s80899"/>
            </a:ext>
            <a:ext uri="{FF2B5EF4-FFF2-40B4-BE49-F238E27FC236}">
              <a16:creationId xmlns:a16="http://schemas.microsoft.com/office/drawing/2014/main" id="{00000000-0008-0000-0700-000003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5</xdr:row>
      <xdr:rowOff>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AAD601F3-840B-49B2-BF97-6FC0314C7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56197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pic>
      <xdr:nvPicPr>
        <xdr:cNvPr id="3" name="cmdCheckTechnologiesSheet">
          <a:extLst>
            <a:ext uri="{FF2B5EF4-FFF2-40B4-BE49-F238E27FC236}">
              <a16:creationId xmlns:a16="http://schemas.microsoft.com/office/drawing/2014/main" id="{15E78133-16E3-4030-9A44-52FD65376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647700</xdr:colOff>
      <xdr:row>5</xdr:row>
      <xdr:rowOff>0</xdr:rowOff>
    </xdr:to>
    <xdr:pic>
      <xdr:nvPicPr>
        <xdr:cNvPr id="4" name="cmdProcUnits">
          <a:extLst>
            <a:ext uri="{FF2B5EF4-FFF2-40B4-BE49-F238E27FC236}">
              <a16:creationId xmlns:a16="http://schemas.microsoft.com/office/drawing/2014/main" id="{45DBD899-9CD5-4ECF-9D6F-0C37EA6A3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25" y="561975"/>
          <a:ext cx="6381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4</xdr:row>
      <xdr:rowOff>19050</xdr:rowOff>
    </xdr:from>
    <xdr:to>
      <xdr:col>5</xdr:col>
      <xdr:colOff>19050</xdr:colOff>
      <xdr:row>5</xdr:row>
      <xdr:rowOff>28575</xdr:rowOff>
    </xdr:to>
    <xdr:sp macro="" textlink="">
      <xdr:nvSpPr>
        <xdr:cNvPr id="101377" name="cmdConstraintSets" hidden="1">
          <a:extLst>
            <a:ext uri="{63B3BB69-23CF-44E3-9099-C40C66FF867C}">
              <a14:compatExt xmlns:a14="http://schemas.microsoft.com/office/drawing/2010/main" spid="_x0000_s101377"/>
            </a:ext>
            <a:ext uri="{FF2B5EF4-FFF2-40B4-BE49-F238E27FC236}">
              <a16:creationId xmlns:a16="http://schemas.microsoft.com/office/drawing/2014/main" id="{00000000-0008-0000-0800-000001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0</xdr:rowOff>
    </xdr:from>
    <xdr:to>
      <xdr:col>0</xdr:col>
      <xdr:colOff>790575</xdr:colOff>
      <xdr:row>4</xdr:row>
      <xdr:rowOff>0</xdr:rowOff>
    </xdr:to>
    <xdr:sp macro="" textlink="">
      <xdr:nvSpPr>
        <xdr:cNvPr id="101378" name="cmdCheckConstraintsSheet" hidden="1">
          <a:extLst>
            <a:ext uri="{63B3BB69-23CF-44E3-9099-C40C66FF867C}">
              <a14:compatExt xmlns:a14="http://schemas.microsoft.com/office/drawing/2010/main" spid="_x0000_s101378"/>
            </a:ext>
            <a:ext uri="{FF2B5EF4-FFF2-40B4-BE49-F238E27FC236}">
              <a16:creationId xmlns:a16="http://schemas.microsoft.com/office/drawing/2014/main" id="{00000000-0008-0000-0800-000002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9525</xdr:rowOff>
    </xdr:from>
    <xdr:to>
      <xdr:col>3</xdr:col>
      <xdr:colOff>571500</xdr:colOff>
      <xdr:row>5</xdr:row>
      <xdr:rowOff>28575</xdr:rowOff>
    </xdr:to>
    <xdr:sp macro="" textlink="">
      <xdr:nvSpPr>
        <xdr:cNvPr id="101379" name="cmdConstraintUnit" hidden="1">
          <a:extLst>
            <a:ext uri="{63B3BB69-23CF-44E3-9099-C40C66FF867C}">
              <a14:compatExt xmlns:a14="http://schemas.microsoft.com/office/drawing/2010/main" spid="_x0000_s101379"/>
            </a:ext>
            <a:ext uri="{FF2B5EF4-FFF2-40B4-BE49-F238E27FC236}">
              <a16:creationId xmlns:a16="http://schemas.microsoft.com/office/drawing/2014/main" id="{00000000-0008-0000-0800-000003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4</xdr:row>
      <xdr:rowOff>19050</xdr:rowOff>
    </xdr:from>
    <xdr:to>
      <xdr:col>5</xdr:col>
      <xdr:colOff>19050</xdr:colOff>
      <xdr:row>5</xdr:row>
      <xdr:rowOff>28575</xdr:rowOff>
    </xdr:to>
    <xdr:pic>
      <xdr:nvPicPr>
        <xdr:cNvPr id="2" name="cmdConstraintSets">
          <a:extLst>
            <a:ext uri="{FF2B5EF4-FFF2-40B4-BE49-F238E27FC236}">
              <a16:creationId xmlns:a16="http://schemas.microsoft.com/office/drawing/2014/main" id="{4E04CD31-2EE9-4700-8E2E-E3BEFE8B9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685800"/>
          <a:ext cx="18954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</xdr:row>
      <xdr:rowOff>0</xdr:rowOff>
    </xdr:from>
    <xdr:to>
      <xdr:col>0</xdr:col>
      <xdr:colOff>790575</xdr:colOff>
      <xdr:row>4</xdr:row>
      <xdr:rowOff>0</xdr:rowOff>
    </xdr:to>
    <xdr:pic>
      <xdr:nvPicPr>
        <xdr:cNvPr id="3" name="cmdCheckConstraintsSheet">
          <a:extLst>
            <a:ext uri="{FF2B5EF4-FFF2-40B4-BE49-F238E27FC236}">
              <a16:creationId xmlns:a16="http://schemas.microsoft.com/office/drawing/2014/main" id="{630A31D3-2473-4510-955E-CC46B69D9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28625"/>
          <a:ext cx="7810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4</xdr:row>
      <xdr:rowOff>9525</xdr:rowOff>
    </xdr:from>
    <xdr:to>
      <xdr:col>3</xdr:col>
      <xdr:colOff>571500</xdr:colOff>
      <xdr:row>5</xdr:row>
      <xdr:rowOff>28575</xdr:rowOff>
    </xdr:to>
    <xdr:pic>
      <xdr:nvPicPr>
        <xdr:cNvPr id="4" name="cmdConstraintUnit">
          <a:extLst>
            <a:ext uri="{FF2B5EF4-FFF2-40B4-BE49-F238E27FC236}">
              <a16:creationId xmlns:a16="http://schemas.microsoft.com/office/drawing/2014/main" id="{A2D01CC5-B632-413B-A3F4-9D1C7E0BA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676275"/>
          <a:ext cx="552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</xdr:row>
      <xdr:rowOff>38100</xdr:rowOff>
    </xdr:from>
    <xdr:to>
      <xdr:col>0</xdr:col>
      <xdr:colOff>828675</xdr:colOff>
      <xdr:row>4</xdr:row>
      <xdr:rowOff>19050</xdr:rowOff>
    </xdr:to>
    <xdr:sp macro="" textlink="">
      <xdr:nvSpPr>
        <xdr:cNvPr id="90113" name="cmdAddParameter" hidden="1">
          <a:extLst>
            <a:ext uri="{63B3BB69-23CF-44E3-9099-C40C66FF867C}">
              <a14:compatExt xmlns:a14="http://schemas.microsoft.com/office/drawing/2010/main" spid="_x0000_s90113"/>
            </a:ext>
            <a:ext uri="{FF2B5EF4-FFF2-40B4-BE49-F238E27FC236}">
              <a16:creationId xmlns:a16="http://schemas.microsoft.com/office/drawing/2014/main" id="{00000000-0008-0000-0900-000001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</xdr:colOff>
      <xdr:row>2</xdr:row>
      <xdr:rowOff>0</xdr:rowOff>
    </xdr:from>
    <xdr:to>
      <xdr:col>3</xdr:col>
      <xdr:colOff>0</xdr:colOff>
      <xdr:row>3</xdr:row>
      <xdr:rowOff>47625</xdr:rowOff>
    </xdr:to>
    <xdr:sp macro="" textlink="">
      <xdr:nvSpPr>
        <xdr:cNvPr id="90114" name="cmdCommNameAndDesc" hidden="1">
          <a:extLst>
            <a:ext uri="{63B3BB69-23CF-44E3-9099-C40C66FF867C}">
              <a14:compatExt xmlns:a14="http://schemas.microsoft.com/office/drawing/2010/main" spid="_x0000_s90114"/>
            </a:ext>
            <a:ext uri="{FF2B5EF4-FFF2-40B4-BE49-F238E27FC236}">
              <a16:creationId xmlns:a16="http://schemas.microsoft.com/office/drawing/2014/main" id="{00000000-0008-0000-0900-000002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828675</xdr:colOff>
      <xdr:row>5</xdr:row>
      <xdr:rowOff>9525</xdr:rowOff>
    </xdr:to>
    <xdr:sp macro="" textlink="">
      <xdr:nvSpPr>
        <xdr:cNvPr id="90115" name="cmdAddParamQualifier1" hidden="1">
          <a:extLst>
            <a:ext uri="{63B3BB69-23CF-44E3-9099-C40C66FF867C}">
              <a14:compatExt xmlns:a14="http://schemas.microsoft.com/office/drawing/2010/main" spid="_x0000_s90115"/>
            </a:ext>
            <a:ext uri="{FF2B5EF4-FFF2-40B4-BE49-F238E27FC236}">
              <a16:creationId xmlns:a16="http://schemas.microsoft.com/office/drawing/2014/main" id="{00000000-0008-0000-0900-000003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123825</xdr:rowOff>
    </xdr:from>
    <xdr:to>
      <xdr:col>0</xdr:col>
      <xdr:colOff>828675</xdr:colOff>
      <xdr:row>3</xdr:row>
      <xdr:rowOff>28575</xdr:rowOff>
    </xdr:to>
    <xdr:sp macro="" textlink="">
      <xdr:nvSpPr>
        <xdr:cNvPr id="90116" name="cmdCheckCommDataSheet" hidden="1">
          <a:extLst>
            <a:ext uri="{63B3BB69-23CF-44E3-9099-C40C66FF867C}">
              <a14:compatExt xmlns:a14="http://schemas.microsoft.com/office/drawing/2010/main" spid="_x0000_s90116"/>
            </a:ext>
            <a:ext uri="{FF2B5EF4-FFF2-40B4-BE49-F238E27FC236}">
              <a16:creationId xmlns:a16="http://schemas.microsoft.com/office/drawing/2014/main" id="{00000000-0008-0000-0900-000004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0</xdr:col>
      <xdr:colOff>828675</xdr:colOff>
      <xdr:row>6</xdr:row>
      <xdr:rowOff>9525</xdr:rowOff>
    </xdr:to>
    <xdr:sp macro="" textlink="">
      <xdr:nvSpPr>
        <xdr:cNvPr id="90118" name="cmdAddParamQualifier2" hidden="1">
          <a:extLst>
            <a:ext uri="{63B3BB69-23CF-44E3-9099-C40C66FF867C}">
              <a14:compatExt xmlns:a14="http://schemas.microsoft.com/office/drawing/2010/main" spid="_x0000_s90118"/>
            </a:ext>
            <a:ext uri="{FF2B5EF4-FFF2-40B4-BE49-F238E27FC236}">
              <a16:creationId xmlns:a16="http://schemas.microsoft.com/office/drawing/2014/main" id="{00000000-0008-0000-0900-000006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38100</xdr:rowOff>
    </xdr:from>
    <xdr:to>
      <xdr:col>0</xdr:col>
      <xdr:colOff>828675</xdr:colOff>
      <xdr:row>4</xdr:row>
      <xdr:rowOff>19050</xdr:rowOff>
    </xdr:to>
    <xdr:pic>
      <xdr:nvPicPr>
        <xdr:cNvPr id="2" name="cmdAddParameter">
          <a:extLst>
            <a:ext uri="{FF2B5EF4-FFF2-40B4-BE49-F238E27FC236}">
              <a16:creationId xmlns:a16="http://schemas.microsoft.com/office/drawing/2014/main" id="{8A1A3672-CBB1-4A43-BE76-CEA656C44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143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2</xdr:row>
      <xdr:rowOff>0</xdr:rowOff>
    </xdr:from>
    <xdr:to>
      <xdr:col>3</xdr:col>
      <xdr:colOff>0</xdr:colOff>
      <xdr:row>3</xdr:row>
      <xdr:rowOff>47625</xdr:rowOff>
    </xdr:to>
    <xdr:pic>
      <xdr:nvPicPr>
        <xdr:cNvPr id="3" name="cmdCommNameAndDesc">
          <a:extLst>
            <a:ext uri="{FF2B5EF4-FFF2-40B4-BE49-F238E27FC236}">
              <a16:creationId xmlns:a16="http://schemas.microsoft.com/office/drawing/2014/main" id="{4E4ADA93-C22C-4D2F-B6FA-5D3BADBF0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285750"/>
          <a:ext cx="2171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828675</xdr:colOff>
      <xdr:row>5</xdr:row>
      <xdr:rowOff>9525</xdr:rowOff>
    </xdr:to>
    <xdr:pic>
      <xdr:nvPicPr>
        <xdr:cNvPr id="4" name="cmdAddParamQualifier1">
          <a:extLst>
            <a:ext uri="{FF2B5EF4-FFF2-40B4-BE49-F238E27FC236}">
              <a16:creationId xmlns:a16="http://schemas.microsoft.com/office/drawing/2014/main" id="{C7C328C3-3E86-4794-B490-96A1BA86E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524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</xdr:row>
      <xdr:rowOff>123825</xdr:rowOff>
    </xdr:from>
    <xdr:to>
      <xdr:col>0</xdr:col>
      <xdr:colOff>828675</xdr:colOff>
      <xdr:row>3</xdr:row>
      <xdr:rowOff>28575</xdr:rowOff>
    </xdr:to>
    <xdr:pic>
      <xdr:nvPicPr>
        <xdr:cNvPr id="5" name="cmdCheckCommDataSheet">
          <a:extLst>
            <a:ext uri="{FF2B5EF4-FFF2-40B4-BE49-F238E27FC236}">
              <a16:creationId xmlns:a16="http://schemas.microsoft.com/office/drawing/2014/main" id="{3673D06D-095D-45D0-B6EB-49BB10784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6670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19050</xdr:rowOff>
    </xdr:from>
    <xdr:to>
      <xdr:col>0</xdr:col>
      <xdr:colOff>828675</xdr:colOff>
      <xdr:row>6</xdr:row>
      <xdr:rowOff>9525</xdr:rowOff>
    </xdr:to>
    <xdr:pic>
      <xdr:nvPicPr>
        <xdr:cNvPr id="6" name="cmdAddParamQualifier2">
          <a:extLst>
            <a:ext uri="{FF2B5EF4-FFF2-40B4-BE49-F238E27FC236}">
              <a16:creationId xmlns:a16="http://schemas.microsoft.com/office/drawing/2014/main" id="{DA36BAF4-9404-43B3-AC30-868DAEA6E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00012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</xdr:row>
      <xdr:rowOff>38100</xdr:rowOff>
    </xdr:from>
    <xdr:to>
      <xdr:col>0</xdr:col>
      <xdr:colOff>817245</xdr:colOff>
      <xdr:row>4</xdr:row>
      <xdr:rowOff>19050</xdr:rowOff>
    </xdr:to>
    <xdr:sp macro="" textlink="">
      <xdr:nvSpPr>
        <xdr:cNvPr id="126977" name="cmdAddParameter" hidden="1">
          <a:extLst>
            <a:ext uri="{63B3BB69-23CF-44E3-9099-C40C66FF867C}">
              <a14:compatExt xmlns:a14="http://schemas.microsoft.com/office/drawing/2010/main" spid="_x0000_s126977"/>
            </a:ext>
            <a:ext uri="{FF2B5EF4-FFF2-40B4-BE49-F238E27FC236}">
              <a16:creationId xmlns:a16="http://schemas.microsoft.com/office/drawing/2014/main" id="{00000000-0008-0000-0A00-000001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</xdr:colOff>
      <xdr:row>2</xdr:row>
      <xdr:rowOff>0</xdr:rowOff>
    </xdr:from>
    <xdr:to>
      <xdr:col>3</xdr:col>
      <xdr:colOff>0</xdr:colOff>
      <xdr:row>3</xdr:row>
      <xdr:rowOff>53340</xdr:rowOff>
    </xdr:to>
    <xdr:sp macro="" textlink="">
      <xdr:nvSpPr>
        <xdr:cNvPr id="126978" name="cmdCommNameAndDesc" hidden="1">
          <a:extLst>
            <a:ext uri="{63B3BB69-23CF-44E3-9099-C40C66FF867C}">
              <a14:compatExt xmlns:a14="http://schemas.microsoft.com/office/drawing/2010/main" spid="_x0000_s126978"/>
            </a:ext>
            <a:ext uri="{FF2B5EF4-FFF2-40B4-BE49-F238E27FC236}">
              <a16:creationId xmlns:a16="http://schemas.microsoft.com/office/drawing/2014/main" id="{00000000-0008-0000-0A00-000002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817245</xdr:colOff>
      <xdr:row>5</xdr:row>
      <xdr:rowOff>15240</xdr:rowOff>
    </xdr:to>
    <xdr:sp macro="" textlink="">
      <xdr:nvSpPr>
        <xdr:cNvPr id="126979" name="cmdAddParamQualifier1" hidden="1">
          <a:extLst>
            <a:ext uri="{63B3BB69-23CF-44E3-9099-C40C66FF867C}">
              <a14:compatExt xmlns:a14="http://schemas.microsoft.com/office/drawing/2010/main" spid="_x0000_s126979"/>
            </a:ext>
            <a:ext uri="{FF2B5EF4-FFF2-40B4-BE49-F238E27FC236}">
              <a16:creationId xmlns:a16="http://schemas.microsoft.com/office/drawing/2014/main" id="{00000000-0008-0000-0A00-000003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123825</xdr:rowOff>
    </xdr:from>
    <xdr:to>
      <xdr:col>0</xdr:col>
      <xdr:colOff>817245</xdr:colOff>
      <xdr:row>3</xdr:row>
      <xdr:rowOff>15240</xdr:rowOff>
    </xdr:to>
    <xdr:sp macro="" textlink="">
      <xdr:nvSpPr>
        <xdr:cNvPr id="126980" name="cmdCheckCommDataSheet" hidden="1">
          <a:extLst>
            <a:ext uri="{63B3BB69-23CF-44E3-9099-C40C66FF867C}">
              <a14:compatExt xmlns:a14="http://schemas.microsoft.com/office/drawing/2010/main" spid="_x0000_s126980"/>
            </a:ext>
            <a:ext uri="{FF2B5EF4-FFF2-40B4-BE49-F238E27FC236}">
              <a16:creationId xmlns:a16="http://schemas.microsoft.com/office/drawing/2014/main" id="{00000000-0008-0000-0A00-000004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0</xdr:col>
      <xdr:colOff>817245</xdr:colOff>
      <xdr:row>6</xdr:row>
      <xdr:rowOff>15240</xdr:rowOff>
    </xdr:to>
    <xdr:sp macro="" textlink="">
      <xdr:nvSpPr>
        <xdr:cNvPr id="126981" name="cmdAddParamQualifier2" hidden="1">
          <a:extLst>
            <a:ext uri="{63B3BB69-23CF-44E3-9099-C40C66FF867C}">
              <a14:compatExt xmlns:a14="http://schemas.microsoft.com/office/drawing/2010/main" spid="_x0000_s126981"/>
            </a:ext>
            <a:ext uri="{FF2B5EF4-FFF2-40B4-BE49-F238E27FC236}">
              <a16:creationId xmlns:a16="http://schemas.microsoft.com/office/drawing/2014/main" id="{00000000-0008-0000-0A00-000005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5</xdr:row>
      <xdr:rowOff>0</xdr:rowOff>
    </xdr:to>
    <xdr:sp macro="" textlink="">
      <xdr:nvSpPr>
        <xdr:cNvPr id="128001" name="cmdSpecifySets" hidden="1">
          <a:extLst>
            <a:ext uri="{63B3BB69-23CF-44E3-9099-C40C66FF867C}">
              <a14:compatExt xmlns:a14="http://schemas.microsoft.com/office/drawing/2010/main" spid="_x0000_s128001"/>
            </a:ext>
            <a:ext uri="{FF2B5EF4-FFF2-40B4-BE49-F238E27FC236}">
              <a16:creationId xmlns:a16="http://schemas.microsoft.com/office/drawing/2014/main" id="{00000000-0008-0000-0B00-000001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817245</xdr:colOff>
      <xdr:row>3</xdr:row>
      <xdr:rowOff>95250</xdr:rowOff>
    </xdr:to>
    <xdr:sp macro="" textlink="">
      <xdr:nvSpPr>
        <xdr:cNvPr id="128002" name="cmdCheckTechnologiesSheet" hidden="1">
          <a:extLst>
            <a:ext uri="{63B3BB69-23CF-44E3-9099-C40C66FF867C}">
              <a14:compatExt xmlns:a14="http://schemas.microsoft.com/office/drawing/2010/main" spid="_x0000_s128002"/>
            </a:ext>
            <a:ext uri="{FF2B5EF4-FFF2-40B4-BE49-F238E27FC236}">
              <a16:creationId xmlns:a16="http://schemas.microsoft.com/office/drawing/2014/main" id="{00000000-0008-0000-0B00-000002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647700</xdr:colOff>
      <xdr:row>5</xdr:row>
      <xdr:rowOff>0</xdr:rowOff>
    </xdr:to>
    <xdr:sp macro="" textlink="">
      <xdr:nvSpPr>
        <xdr:cNvPr id="128003" name="cmdProcUnits" hidden="1">
          <a:extLst>
            <a:ext uri="{63B3BB69-23CF-44E3-9099-C40C66FF867C}">
              <a14:compatExt xmlns:a14="http://schemas.microsoft.com/office/drawing/2010/main" spid="_x0000_s128003"/>
            </a:ext>
            <a:ext uri="{FF2B5EF4-FFF2-40B4-BE49-F238E27FC236}">
              <a16:creationId xmlns:a16="http://schemas.microsoft.com/office/drawing/2014/main" id="{00000000-0008-0000-0B00-000003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fml.com/operations/project-development.html" TargetMode="External"/><Relationship Id="rId7" Type="http://schemas.openxmlformats.org/officeDocument/2006/relationships/drawing" Target="../drawings/drawing12.xml"/><Relationship Id="rId2" Type="http://schemas.openxmlformats.org/officeDocument/2006/relationships/hyperlink" Target="https://www.miningweekly.com/article/technology-slashes-power-use-at-glencores-huge-s-african-chrome-smelter-2014-11-05/rep_id:3650" TargetMode="External"/><Relationship Id="rId1" Type="http://schemas.openxmlformats.org/officeDocument/2006/relationships/hyperlink" Target="https://www.engineeringnews.co.za/print-version/lion-ferrochrome-smelter-eastern-chrome-mines-restart-merafe-2020-05-08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https://docplayer.net/86507326-Production-technologies-of-crm-from-primary.html" TargetMode="External"/><Relationship Id="rId4" Type="http://schemas.openxmlformats.org/officeDocument/2006/relationships/hyperlink" Target="https://www.miningweekly.com/print-version/asa-metals-builds-on-quality-2005-03-2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5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BC0F2-E1BE-4A66-A740-966C97E2DF5D}">
  <dimension ref="A1:D11"/>
  <sheetViews>
    <sheetView workbookViewId="0">
      <selection activeCell="G60" sqref="G60"/>
    </sheetView>
  </sheetViews>
  <sheetFormatPr defaultRowHeight="12.75" x14ac:dyDescent="0.2"/>
  <sheetData>
    <row r="1" spans="1:4" x14ac:dyDescent="0.2">
      <c r="A1" s="1" t="s">
        <v>522</v>
      </c>
    </row>
    <row r="2" spans="1:4" x14ac:dyDescent="0.2">
      <c r="A2" s="67" t="s">
        <v>521</v>
      </c>
    </row>
    <row r="3" spans="1:4" x14ac:dyDescent="0.2">
      <c r="A3" t="s">
        <v>530</v>
      </c>
    </row>
    <row r="7" spans="1:4" x14ac:dyDescent="0.2">
      <c r="A7" s="1" t="s">
        <v>523</v>
      </c>
    </row>
    <row r="9" spans="1:4" x14ac:dyDescent="0.2">
      <c r="A9" s="266">
        <v>45132</v>
      </c>
      <c r="B9" s="67" t="s">
        <v>524</v>
      </c>
      <c r="D9" s="67" t="s">
        <v>525</v>
      </c>
    </row>
    <row r="10" spans="1:4" x14ac:dyDescent="0.2">
      <c r="D10" s="67" t="s">
        <v>528</v>
      </c>
    </row>
    <row r="11" spans="1:4" x14ac:dyDescent="0.2">
      <c r="D11" t="s">
        <v>529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85546875" style="9" customWidth="1"/>
    <col min="2" max="2" width="12.28515625" style="9" customWidth="1"/>
    <col min="3" max="3" width="21" style="9" customWidth="1"/>
    <col min="4" max="4" width="10.28515625" style="9" customWidth="1"/>
    <col min="5" max="5" width="29.7109375" style="9" customWidth="1"/>
    <col min="6" max="6" width="10.28515625" style="9" customWidth="1"/>
    <col min="7" max="16384" width="9.140625" style="9"/>
  </cols>
  <sheetData>
    <row r="1" spans="1:6" x14ac:dyDescent="0.2">
      <c r="A1" s="11" t="s">
        <v>99</v>
      </c>
    </row>
    <row r="4" spans="1:6" ht="17.25" customHeight="1" x14ac:dyDescent="0.2"/>
    <row r="5" spans="1:6" ht="17.25" customHeight="1" x14ac:dyDescent="0.2">
      <c r="C5" s="10"/>
    </row>
    <row r="6" spans="1:6" ht="15.75" customHeight="1" x14ac:dyDescent="0.2"/>
    <row r="7" spans="1:6" x14ac:dyDescent="0.2">
      <c r="B7" s="15" t="s">
        <v>40</v>
      </c>
      <c r="C7" s="11" t="s">
        <v>41</v>
      </c>
      <c r="D7" s="11" t="s">
        <v>42</v>
      </c>
      <c r="E7" s="11" t="s">
        <v>1</v>
      </c>
      <c r="F7" s="1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21"/>
  <sheetViews>
    <sheetView zoomScaleNormal="100" workbookViewId="0">
      <pane ySplit="7" topLeftCell="A8" activePane="bottomLeft" state="frozen"/>
      <selection pane="bottomLeft" activeCell="B11" sqref="B11"/>
    </sheetView>
  </sheetViews>
  <sheetFormatPr defaultColWidth="9.140625" defaultRowHeight="11.25" x14ac:dyDescent="0.2"/>
  <cols>
    <col min="1" max="1" width="12.85546875" style="9" customWidth="1"/>
    <col min="2" max="2" width="18.7109375" style="9" customWidth="1"/>
    <col min="3" max="3" width="39.42578125" style="9" customWidth="1"/>
    <col min="4" max="4" width="10.28515625" style="9" customWidth="1"/>
    <col min="5" max="5" width="29.7109375" style="9" customWidth="1"/>
    <col min="6" max="6" width="10.28515625" style="9" customWidth="1"/>
    <col min="7" max="16384" width="9.140625" style="9"/>
  </cols>
  <sheetData>
    <row r="1" spans="1:6" x14ac:dyDescent="0.2">
      <c r="A1" s="2" t="str">
        <f ca="1">IF(INDEX(Index!$E$6:$E$37,MATCH(A2,Index!$D$6:$D$37,0))=1,LEFT(A2,SEARCH("_",A2)-1),"")</f>
        <v>Commodities</v>
      </c>
      <c r="B1" s="9" t="s">
        <v>128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10"/>
    </row>
    <row r="6" spans="1:6" ht="15.75" customHeight="1" x14ac:dyDescent="0.2"/>
    <row r="7" spans="1:6" x14ac:dyDescent="0.2">
      <c r="B7" s="15" t="s">
        <v>40</v>
      </c>
      <c r="C7" s="11" t="s">
        <v>41</v>
      </c>
      <c r="D7" s="11" t="s">
        <v>42</v>
      </c>
      <c r="E7" s="11" t="s">
        <v>1</v>
      </c>
      <c r="F7" s="11" t="s">
        <v>0</v>
      </c>
    </row>
    <row r="8" spans="1:6" s="8" customFormat="1" ht="12.75" x14ac:dyDescent="0.2">
      <c r="A8" s="28" t="s">
        <v>114</v>
      </c>
      <c r="B8" s="31"/>
      <c r="C8" s="31"/>
      <c r="D8" s="31"/>
    </row>
    <row r="9" spans="1:6" s="8" customFormat="1" ht="12.75" x14ac:dyDescent="0.2">
      <c r="A9" s="28"/>
      <c r="B9" s="31" t="s">
        <v>212</v>
      </c>
      <c r="C9" s="31" t="s">
        <v>520</v>
      </c>
      <c r="D9" s="33" t="s">
        <v>116</v>
      </c>
      <c r="E9" s="17" t="s">
        <v>119</v>
      </c>
    </row>
    <row r="10" spans="1:6" s="8" customFormat="1" ht="12.75" x14ac:dyDescent="0.2">
      <c r="A10" s="28"/>
      <c r="B10" s="31" t="str">
        <f>RES_Cr!L2</f>
        <v>IFACHA</v>
      </c>
      <c r="C10" s="31" t="str">
        <f>RES_Cr!L3</f>
        <v>Industry Biochar</v>
      </c>
      <c r="D10" s="33" t="s">
        <v>116</v>
      </c>
      <c r="E10" s="17" t="s">
        <v>119</v>
      </c>
    </row>
    <row r="11" spans="1:6" s="8" customFormat="1" ht="12.75" x14ac:dyDescent="0.2">
      <c r="A11" s="29"/>
      <c r="B11" s="29" t="str">
        <f>RES_Cr!D2</f>
        <v>IISCKE</v>
      </c>
      <c r="C11" s="29" t="str">
        <f>RES_Cr!D3</f>
        <v>Industry - Iron and Steel - Coke</v>
      </c>
      <c r="D11" s="33" t="s">
        <v>116</v>
      </c>
      <c r="E11" s="17" t="s">
        <v>119</v>
      </c>
    </row>
    <row r="12" spans="1:6" s="8" customFormat="1" ht="12.75" x14ac:dyDescent="0.2">
      <c r="A12" s="29"/>
      <c r="B12" s="29" t="s">
        <v>601</v>
      </c>
      <c r="C12" s="29" t="str">
        <f>RES_Cr!E3</f>
        <v>Industry - Iron and Steel - Coal</v>
      </c>
      <c r="D12" s="33" t="s">
        <v>116</v>
      </c>
      <c r="E12" s="17" t="s">
        <v>119</v>
      </c>
    </row>
    <row r="13" spans="1:6" s="8" customFormat="1" ht="12.75" x14ac:dyDescent="0.2">
      <c r="A13" s="29"/>
      <c r="B13" s="29" t="str">
        <f>RES_Cr!F2</f>
        <v>IFAELC</v>
      </c>
      <c r="C13" s="29" t="str">
        <f>RES_Cr!F3</f>
        <v>Industry-FA-Electricity</v>
      </c>
      <c r="D13" s="33" t="s">
        <v>116</v>
      </c>
      <c r="E13" s="17" t="s">
        <v>118</v>
      </c>
    </row>
    <row r="14" spans="1:6" s="8" customFormat="1" ht="12.75" x14ac:dyDescent="0.2">
      <c r="A14" s="29"/>
      <c r="B14" s="29" t="str">
        <f>RES_Cr!G2</f>
        <v>IFACHA</v>
      </c>
      <c r="C14" s="29" t="str">
        <f>RES_Cr!G3</f>
        <v>Industry Biochar</v>
      </c>
      <c r="D14" s="33" t="s">
        <v>116</v>
      </c>
      <c r="E14" s="17" t="s">
        <v>119</v>
      </c>
    </row>
    <row r="15" spans="1:6" s="8" customFormat="1" ht="12.75" x14ac:dyDescent="0.2">
      <c r="A15" s="29"/>
      <c r="B15" s="29" t="str">
        <f>RES_Cr!T2</f>
        <v>IFACR</v>
      </c>
      <c r="C15" s="29" t="str">
        <f>RES_Cr!T3</f>
        <v>Industry - Ferro Alloy Metals production</v>
      </c>
      <c r="D15" s="33" t="s">
        <v>116</v>
      </c>
      <c r="E15" s="17" t="s">
        <v>196</v>
      </c>
    </row>
    <row r="16" spans="1:6" s="8" customFormat="1" ht="12.75" x14ac:dyDescent="0.2">
      <c r="A16" s="29"/>
      <c r="B16" s="29" t="str">
        <f>RES_Cr!V2</f>
        <v>IFAMN</v>
      </c>
      <c r="C16" s="29" t="str">
        <f>RES_Cr!V3</f>
        <v>Industry - Ferro Alloy Metals production</v>
      </c>
      <c r="D16" s="33" t="s">
        <v>116</v>
      </c>
      <c r="E16" s="17" t="s">
        <v>196</v>
      </c>
    </row>
    <row r="17" spans="1:5" ht="12.75" x14ac:dyDescent="0.2">
      <c r="A17" s="34" t="s">
        <v>115</v>
      </c>
      <c r="B17" s="29"/>
      <c r="C17" s="29"/>
      <c r="D17" s="33"/>
    </row>
    <row r="18" spans="1:5" ht="12.75" x14ac:dyDescent="0.2">
      <c r="A18" s="29"/>
      <c r="B18" s="29" t="s">
        <v>228</v>
      </c>
      <c r="C18" s="29" t="s">
        <v>229</v>
      </c>
      <c r="D18" s="33" t="s">
        <v>120</v>
      </c>
      <c r="E18" s="17" t="s">
        <v>121</v>
      </c>
    </row>
    <row r="19" spans="1:5" ht="12.75" x14ac:dyDescent="0.2">
      <c r="A19" s="29"/>
      <c r="B19" s="29" t="s">
        <v>515</v>
      </c>
      <c r="C19" s="29" t="s">
        <v>514</v>
      </c>
      <c r="D19" s="33" t="s">
        <v>120</v>
      </c>
      <c r="E19" s="17" t="s">
        <v>121</v>
      </c>
    </row>
    <row r="20" spans="1:5" ht="12.75" x14ac:dyDescent="0.2">
      <c r="A20" s="29"/>
      <c r="B20" s="29" t="s">
        <v>186</v>
      </c>
      <c r="C20" s="29" t="s">
        <v>187</v>
      </c>
      <c r="D20" s="33" t="s">
        <v>120</v>
      </c>
      <c r="E20" s="17" t="s">
        <v>121</v>
      </c>
    </row>
    <row r="21" spans="1:5" ht="12.75" x14ac:dyDescent="0.2">
      <c r="A21" s="29"/>
      <c r="B21" s="29"/>
      <c r="C21" s="29"/>
      <c r="D21" s="33"/>
      <c r="E21" s="17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3.5703125" style="3" customWidth="1"/>
    <col min="2" max="2" width="11.140625" style="3" customWidth="1"/>
    <col min="3" max="3" width="27.28515625" style="3" customWidth="1"/>
    <col min="4" max="4" width="11.140625" style="3" customWidth="1"/>
    <col min="5" max="5" width="29.28515625" style="3" customWidth="1"/>
    <col min="6" max="6" width="10.42578125" style="3" customWidth="1"/>
    <col min="7" max="16384" width="9.140625" style="3"/>
  </cols>
  <sheetData>
    <row r="1" spans="1:6" x14ac:dyDescent="0.2">
      <c r="A1" s="2" t="s">
        <v>105</v>
      </c>
    </row>
    <row r="4" spans="1:6" ht="18" customHeight="1" x14ac:dyDescent="0.2"/>
    <row r="7" spans="1:6" x14ac:dyDescent="0.2">
      <c r="B7" s="2" t="s">
        <v>56</v>
      </c>
      <c r="C7" s="2" t="s">
        <v>57</v>
      </c>
      <c r="D7" s="2" t="s">
        <v>93</v>
      </c>
      <c r="E7" s="2" t="s">
        <v>1</v>
      </c>
      <c r="F7" s="2" t="s">
        <v>0</v>
      </c>
    </row>
    <row r="8" spans="1:6" x14ac:dyDescent="0.2">
      <c r="B8" s="2"/>
      <c r="C8" s="2"/>
      <c r="D8" s="2"/>
      <c r="E8" s="2"/>
      <c r="F8" s="2"/>
    </row>
    <row r="9" spans="1:6" x14ac:dyDescent="0.2">
      <c r="B9" s="23"/>
      <c r="C9" s="23"/>
      <c r="E9" s="23"/>
    </row>
    <row r="10" spans="1:6" x14ac:dyDescent="0.2">
      <c r="B10" s="4"/>
      <c r="C10" s="23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2.75" x14ac:dyDescent="0.2"/>
  <cols>
    <col min="1" max="1" width="12.28515625" style="8" customWidth="1"/>
    <col min="2" max="2" width="12.140625" style="8" customWidth="1"/>
    <col min="3" max="3" width="28.42578125" style="8" customWidth="1"/>
    <col min="4" max="4" width="10" style="8" customWidth="1"/>
    <col min="5" max="5" width="28.42578125" style="8" customWidth="1"/>
    <col min="6" max="6" width="10.28515625" style="8" customWidth="1"/>
    <col min="7" max="16384" width="9.140625" style="8"/>
  </cols>
  <sheetData>
    <row r="1" spans="1:6" s="9" customFormat="1" ht="11.25" x14ac:dyDescent="0.2">
      <c r="A1" s="11" t="s">
        <v>103</v>
      </c>
    </row>
    <row r="2" spans="1:6" s="9" customFormat="1" ht="11.25" x14ac:dyDescent="0.2"/>
    <row r="3" spans="1:6" s="9" customFormat="1" ht="11.25" x14ac:dyDescent="0.2"/>
    <row r="4" spans="1:6" s="9" customFormat="1" ht="18.75" customHeight="1" x14ac:dyDescent="0.2"/>
    <row r="5" spans="1:6" s="9" customFormat="1" ht="17.25" customHeight="1" x14ac:dyDescent="0.2">
      <c r="C5" s="10"/>
    </row>
    <row r="6" spans="1:6" s="9" customFormat="1" ht="15.75" customHeight="1" x14ac:dyDescent="0.2"/>
    <row r="7" spans="1:6" s="9" customFormat="1" ht="11.25" x14ac:dyDescent="0.2">
      <c r="B7" s="15" t="s">
        <v>46</v>
      </c>
      <c r="C7" s="11" t="s">
        <v>47</v>
      </c>
      <c r="D7" s="11" t="s">
        <v>43</v>
      </c>
      <c r="E7" s="11" t="s">
        <v>1</v>
      </c>
      <c r="F7" s="11" t="s">
        <v>0</v>
      </c>
    </row>
    <row r="8" spans="1:6" s="9" customFormat="1" ht="11.25" x14ac:dyDescent="0.2">
      <c r="B8" s="10"/>
      <c r="C8" s="10"/>
    </row>
    <row r="9" spans="1:6" s="9" customFormat="1" ht="11.25" x14ac:dyDescent="0.2">
      <c r="B9" s="10"/>
      <c r="C9" s="10"/>
      <c r="E9" s="10"/>
    </row>
    <row r="10" spans="1:6" s="9" customFormat="1" ht="11.25" x14ac:dyDescent="0.2">
      <c r="D10" s="10"/>
      <c r="E10" s="1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.85546875" defaultRowHeight="11.25" x14ac:dyDescent="0.2"/>
  <cols>
    <col min="1" max="1" width="14.85546875" style="3" customWidth="1"/>
    <col min="2" max="2" width="11.7109375" style="3" customWidth="1"/>
    <col min="3" max="3" width="21.140625" style="3" customWidth="1"/>
    <col min="4" max="4" width="8.7109375" style="3" customWidth="1"/>
    <col min="5" max="16384" width="8.85546875" style="3"/>
  </cols>
  <sheetData>
    <row r="1" spans="1:4" x14ac:dyDescent="0.2">
      <c r="A1" s="2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2" t="s">
        <v>40</v>
      </c>
      <c r="C7" s="2" t="s">
        <v>41</v>
      </c>
      <c r="D7" s="2" t="s">
        <v>43</v>
      </c>
    </row>
    <row r="9" spans="1:4" x14ac:dyDescent="0.2">
      <c r="B9" s="12"/>
      <c r="C9" s="12"/>
      <c r="D9" s="12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F20"/>
  <sheetViews>
    <sheetView zoomScaleNormal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O36" sqref="O36"/>
    </sheetView>
  </sheetViews>
  <sheetFormatPr defaultColWidth="8.85546875" defaultRowHeight="11.25" x14ac:dyDescent="0.2"/>
  <cols>
    <col min="1" max="1" width="14.85546875" style="3" customWidth="1"/>
    <col min="2" max="2" width="11.7109375" style="3" customWidth="1"/>
    <col min="3" max="3" width="21.140625" style="3" customWidth="1"/>
    <col min="4" max="4" width="8.7109375" style="3" customWidth="1"/>
    <col min="5" max="16384" width="8.85546875" style="3"/>
  </cols>
  <sheetData>
    <row r="1" spans="1:6" x14ac:dyDescent="0.2">
      <c r="A1" s="2" t="str">
        <f ca="1">IF(INDEX(Index!$E$6:$E$37,MATCH(A2,Index!$D$6:$D$37,0))=1,LEFT(A2,SEARCH("_",A2)-1),"")</f>
        <v>CommData</v>
      </c>
      <c r="B1" s="9" t="str">
        <f>Commodities_BASE!B1</f>
        <v>REGION1</v>
      </c>
    </row>
    <row r="2" spans="1:6" ht="12.75" x14ac:dyDescent="0.2">
      <c r="A2" t="str">
        <f ca="1">MID(CELL("filename",A2),FIND("]",CELL("filename",A2))+1,255)</f>
        <v>CommData_BASE</v>
      </c>
    </row>
    <row r="3" spans="1:6" ht="15" customHeight="1" x14ac:dyDescent="0.2"/>
    <row r="4" spans="1:6" ht="20.25" customHeight="1" x14ac:dyDescent="0.2">
      <c r="E4" s="14" t="s">
        <v>132</v>
      </c>
      <c r="F4" s="14"/>
    </row>
    <row r="5" spans="1:6" ht="19.5" customHeight="1" x14ac:dyDescent="0.2"/>
    <row r="6" spans="1:6" ht="19.5" customHeight="1" x14ac:dyDescent="0.2"/>
    <row r="7" spans="1:6" x14ac:dyDescent="0.2">
      <c r="B7" s="2" t="s">
        <v>40</v>
      </c>
      <c r="C7" s="2" t="s">
        <v>41</v>
      </c>
      <c r="D7" s="2" t="s">
        <v>43</v>
      </c>
      <c r="E7" s="3">
        <v>2017</v>
      </c>
    </row>
    <row r="8" spans="1:6" x14ac:dyDescent="0.2">
      <c r="B8" s="31" t="str">
        <f>RES_Mn!O2</f>
        <v>IFAMN</v>
      </c>
      <c r="C8" s="31" t="str">
        <f>RES_Mn!O3</f>
        <v>Industry - Ferro Alloy Metals production</v>
      </c>
      <c r="D8" s="31" t="s">
        <v>116</v>
      </c>
      <c r="E8" s="69">
        <f>EB_Exist!O34</f>
        <v>0.4587</v>
      </c>
    </row>
    <row r="9" spans="1:6" s="31" customFormat="1" x14ac:dyDescent="0.2">
      <c r="B9" s="31" t="str">
        <f>RES_Cr!T2</f>
        <v>IFACR</v>
      </c>
      <c r="C9" s="31" t="str">
        <f>RES_Cr!T3</f>
        <v>Industry - Ferro Alloy Metals production</v>
      </c>
      <c r="D9" s="31" t="s">
        <v>116</v>
      </c>
      <c r="E9" s="69">
        <f>EB_Exist!F5</f>
        <v>3.484</v>
      </c>
    </row>
    <row r="10" spans="1:6" s="31" customFormat="1" x14ac:dyDescent="0.2"/>
    <row r="11" spans="1:6" s="31" customFormat="1" x14ac:dyDescent="0.2"/>
    <row r="12" spans="1:6" s="31" customFormat="1" x14ac:dyDescent="0.2"/>
    <row r="16" spans="1:6" x14ac:dyDescent="0.2">
      <c r="B16" s="3" t="s">
        <v>591</v>
      </c>
    </row>
    <row r="17" spans="2:5" x14ac:dyDescent="0.2">
      <c r="B17" s="3" t="s">
        <v>593</v>
      </c>
      <c r="C17" s="3" t="s">
        <v>40</v>
      </c>
      <c r="D17" s="3" t="s">
        <v>594</v>
      </c>
      <c r="E17" s="3">
        <v>2017</v>
      </c>
    </row>
    <row r="18" spans="2:5" x14ac:dyDescent="0.2">
      <c r="B18" s="3" t="s">
        <v>92</v>
      </c>
      <c r="C18" s="3" t="s">
        <v>595</v>
      </c>
      <c r="D18" s="3" t="s">
        <v>596</v>
      </c>
      <c r="E18" s="3" t="s">
        <v>597</v>
      </c>
    </row>
    <row r="19" spans="2:5" x14ac:dyDescent="0.2">
      <c r="B19" s="3" t="s">
        <v>598</v>
      </c>
      <c r="C19" s="3" t="str">
        <f>B8</f>
        <v>IFAMN</v>
      </c>
      <c r="D19" s="3" t="s">
        <v>116</v>
      </c>
      <c r="E19" s="317">
        <f>E8</f>
        <v>0.4587</v>
      </c>
    </row>
    <row r="20" spans="2:5" x14ac:dyDescent="0.2">
      <c r="B20" s="3" t="s">
        <v>598</v>
      </c>
      <c r="C20" s="3" t="str">
        <f>B9</f>
        <v>IFACR</v>
      </c>
      <c r="D20" s="3" t="s">
        <v>116</v>
      </c>
      <c r="E20" s="317">
        <f>E9</f>
        <v>3.484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40"/>
  <sheetViews>
    <sheetView zoomScaleNormal="100" workbookViewId="0">
      <pane ySplit="7" topLeftCell="A8" activePane="bottomLeft" state="frozen"/>
      <selection pane="bottomLeft" activeCell="H16" sqref="H16"/>
    </sheetView>
  </sheetViews>
  <sheetFormatPr defaultColWidth="9.140625" defaultRowHeight="11.25" x14ac:dyDescent="0.2"/>
  <cols>
    <col min="1" max="1" width="13.5703125" style="3" customWidth="1"/>
    <col min="2" max="2" width="16.140625" style="3" customWidth="1"/>
    <col min="3" max="3" width="45.42578125" style="3" customWidth="1"/>
    <col min="4" max="4" width="11.140625" style="3" customWidth="1"/>
    <col min="5" max="5" width="29.28515625" style="3" customWidth="1"/>
    <col min="6" max="6" width="10.42578125" style="3" customWidth="1"/>
    <col min="7" max="16384" width="9.140625" style="3"/>
  </cols>
  <sheetData>
    <row r="1" spans="1:6" x14ac:dyDescent="0.2">
      <c r="A1" s="2" t="str">
        <f ca="1">IF(INDEX(Index!$E$6:$E$37,MATCH(A2,Index!$D$6:$D$37,0))=1,LEFT(A2,SEARCH("_",A2)-1),"")</f>
        <v>Processes</v>
      </c>
      <c r="B1" s="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2" t="s">
        <v>56</v>
      </c>
      <c r="C7" s="2" t="s">
        <v>57</v>
      </c>
      <c r="D7" s="2" t="s">
        <v>93</v>
      </c>
      <c r="E7" s="2" t="s">
        <v>1</v>
      </c>
      <c r="F7" s="2"/>
    </row>
    <row r="8" spans="1:6" s="31" customFormat="1" ht="12" x14ac:dyDescent="0.2">
      <c r="A8" s="35" t="s">
        <v>144</v>
      </c>
      <c r="D8" s="16"/>
      <c r="E8" s="16"/>
    </row>
    <row r="9" spans="1:6" s="31" customFormat="1" x14ac:dyDescent="0.2">
      <c r="B9" s="31" t="s">
        <v>211</v>
      </c>
      <c r="C9" s="31" t="s">
        <v>208</v>
      </c>
      <c r="D9" s="16" t="s">
        <v>122</v>
      </c>
      <c r="E9" s="17" t="s">
        <v>130</v>
      </c>
    </row>
    <row r="10" spans="1:6" s="31" customFormat="1" x14ac:dyDescent="0.2">
      <c r="B10" s="31" t="str">
        <f>EB_Exist!C4</f>
        <v>IFCEAF-E</v>
      </c>
      <c r="C10" s="31" t="str">
        <f>EB_Exist!D4</f>
        <v>FerroChrome existing</v>
      </c>
      <c r="D10" s="16" t="s">
        <v>122</v>
      </c>
      <c r="E10" s="17" t="s">
        <v>133</v>
      </c>
    </row>
    <row r="11" spans="1:6" s="31" customFormat="1" x14ac:dyDescent="0.2">
      <c r="B11" s="31" t="str">
        <f>RES_Cr!R15</f>
        <v>IFCEAF-N</v>
      </c>
      <c r="C11" s="31" t="str">
        <f>RES_Cr!R12</f>
        <v>FerrChrome New</v>
      </c>
      <c r="D11" s="16" t="s">
        <v>122</v>
      </c>
      <c r="E11" s="17" t="s">
        <v>133</v>
      </c>
    </row>
    <row r="12" spans="1:6" s="31" customFormat="1" ht="12" x14ac:dyDescent="0.2">
      <c r="A12" s="36"/>
      <c r="B12" s="31" t="str">
        <f>RES_Cr!R22</f>
        <v>IFCEAFB-N</v>
      </c>
      <c r="C12" s="31" t="str">
        <f>RES_Cr!R18</f>
        <v>FerroChrome with biomass</v>
      </c>
      <c r="D12" s="16" t="s">
        <v>122</v>
      </c>
      <c r="E12" s="17" t="s">
        <v>133</v>
      </c>
    </row>
    <row r="13" spans="1:6" s="31" customFormat="1" ht="12" x14ac:dyDescent="0.2">
      <c r="A13" s="36"/>
      <c r="B13" s="31" t="str">
        <f>RES_Mn!M9</f>
        <v>IFMEAF-E</v>
      </c>
      <c r="C13" s="31" t="str">
        <f>RES_Mn!M5</f>
        <v>FerroMn existing</v>
      </c>
      <c r="D13" s="16" t="s">
        <v>122</v>
      </c>
      <c r="E13" s="17" t="s">
        <v>133</v>
      </c>
    </row>
    <row r="14" spans="1:6" s="31" customFormat="1" ht="12" x14ac:dyDescent="0.2">
      <c r="A14" s="36"/>
      <c r="B14" s="31" t="str">
        <f>RES_Mn!M15</f>
        <v>IFMEAF-N</v>
      </c>
      <c r="C14" s="31" t="str">
        <f>RES_Mn!M12</f>
        <v>FerroMn New</v>
      </c>
      <c r="D14" s="16" t="s">
        <v>122</v>
      </c>
      <c r="E14" s="17" t="s">
        <v>133</v>
      </c>
    </row>
    <row r="15" spans="1:6" s="31" customFormat="1" ht="12" x14ac:dyDescent="0.2">
      <c r="A15" s="36"/>
      <c r="B15" s="31" t="str">
        <f>RES_Mn!M22</f>
        <v>IFMEAFB-N</v>
      </c>
      <c r="C15" s="31" t="str">
        <f>RES_Mn!M18</f>
        <v>FerroMn with biomass</v>
      </c>
      <c r="D15" s="16" t="s">
        <v>122</v>
      </c>
      <c r="E15" s="17" t="s">
        <v>133</v>
      </c>
    </row>
    <row r="16" spans="1:6" s="31" customFormat="1" ht="12" x14ac:dyDescent="0.2">
      <c r="A16" s="36"/>
      <c r="D16" s="16"/>
      <c r="E16" s="16"/>
    </row>
    <row r="17" spans="1:10" s="31" customFormat="1" ht="12" x14ac:dyDescent="0.2">
      <c r="A17" s="36"/>
      <c r="D17" s="16"/>
      <c r="E17" s="16"/>
    </row>
    <row r="18" spans="1:10" s="31" customFormat="1" ht="12" x14ac:dyDescent="0.2">
      <c r="A18" s="36"/>
      <c r="D18" s="16"/>
      <c r="E18" s="16"/>
    </row>
    <row r="19" spans="1:10" s="31" customFormat="1" ht="12" x14ac:dyDescent="0.2">
      <c r="A19" s="36"/>
      <c r="B19" s="36"/>
      <c r="C19" s="36"/>
      <c r="D19" s="3"/>
      <c r="E19" s="3"/>
    </row>
    <row r="20" spans="1:10" s="31" customFormat="1" ht="12" x14ac:dyDescent="0.2">
      <c r="A20" s="36"/>
      <c r="D20" s="16"/>
      <c r="E20" s="16"/>
    </row>
    <row r="21" spans="1:10" s="31" customFormat="1" ht="12" x14ac:dyDescent="0.2">
      <c r="A21" s="36"/>
      <c r="D21" s="16"/>
      <c r="E21" s="16"/>
    </row>
    <row r="22" spans="1:10" s="31" customFormat="1" ht="12" x14ac:dyDescent="0.2">
      <c r="A22" s="36"/>
      <c r="D22" s="16"/>
      <c r="E22" s="16"/>
    </row>
    <row r="23" spans="1:10" s="31" customFormat="1" ht="12" x14ac:dyDescent="0.2">
      <c r="A23" s="36"/>
      <c r="D23" s="16"/>
      <c r="E23" s="16"/>
    </row>
    <row r="24" spans="1:10" s="31" customFormat="1" ht="12.75" x14ac:dyDescent="0.2">
      <c r="A24" s="36"/>
      <c r="B24" s="8"/>
      <c r="C24" s="8"/>
      <c r="D24" s="8"/>
      <c r="E24" s="8"/>
      <c r="G24" s="32"/>
      <c r="H24" s="32"/>
      <c r="I24" s="9"/>
      <c r="J24" s="9"/>
    </row>
    <row r="25" spans="1:10" s="31" customFormat="1" x14ac:dyDescent="0.2">
      <c r="A25" s="37"/>
      <c r="B25" s="3"/>
      <c r="C25" s="3"/>
      <c r="D25" s="16"/>
      <c r="E25" s="16"/>
      <c r="F25" s="9"/>
      <c r="G25" s="29"/>
      <c r="H25" s="29"/>
      <c r="I25" s="16"/>
      <c r="J25" s="16"/>
    </row>
    <row r="26" spans="1:10" s="31" customFormat="1" x14ac:dyDescent="0.2">
      <c r="A26" s="37"/>
      <c r="B26" s="3"/>
      <c r="C26" s="3"/>
      <c r="D26" s="16"/>
      <c r="E26" s="16"/>
      <c r="F26" s="9"/>
      <c r="G26" s="29"/>
      <c r="H26" s="29"/>
      <c r="I26" s="16"/>
      <c r="J26" s="16"/>
    </row>
    <row r="27" spans="1:10" s="31" customFormat="1" x14ac:dyDescent="0.2">
      <c r="A27" s="37"/>
      <c r="B27" s="3"/>
      <c r="C27" s="3"/>
      <c r="D27" s="16"/>
      <c r="E27" s="16"/>
      <c r="F27" s="9"/>
      <c r="G27" s="29"/>
      <c r="H27" s="29"/>
      <c r="I27" s="16"/>
      <c r="J27" s="16"/>
    </row>
    <row r="28" spans="1:10" s="31" customFormat="1" x14ac:dyDescent="0.2">
      <c r="A28" s="37"/>
      <c r="B28" s="3"/>
      <c r="C28" s="3"/>
      <c r="D28" s="16"/>
      <c r="E28" s="16"/>
      <c r="F28" s="9"/>
      <c r="G28" s="29"/>
      <c r="H28" s="29"/>
      <c r="I28" s="16"/>
      <c r="J28" s="16"/>
    </row>
    <row r="29" spans="1:10" s="31" customFormat="1" x14ac:dyDescent="0.2">
      <c r="A29" s="9"/>
      <c r="B29" s="3"/>
      <c r="C29" s="3"/>
      <c r="D29" s="16"/>
      <c r="E29" s="16"/>
      <c r="F29" s="9"/>
      <c r="G29" s="29"/>
      <c r="H29" s="29"/>
      <c r="I29" s="16"/>
      <c r="J29" s="16"/>
    </row>
    <row r="30" spans="1:10" s="31" customFormat="1" ht="12" customHeight="1" x14ac:dyDescent="0.2">
      <c r="A30" s="37"/>
      <c r="B30" s="3"/>
      <c r="C30" s="3"/>
      <c r="D30" s="16"/>
      <c r="E30" s="16"/>
      <c r="G30" s="32"/>
      <c r="H30" s="32"/>
      <c r="I30" s="9"/>
      <c r="J30" s="9"/>
    </row>
    <row r="31" spans="1:10" s="31" customFormat="1" x14ac:dyDescent="0.2">
      <c r="A31" s="37"/>
      <c r="B31" s="3"/>
      <c r="C31" s="3"/>
      <c r="D31" s="16"/>
      <c r="E31" s="16"/>
    </row>
    <row r="32" spans="1:10" s="31" customFormat="1" x14ac:dyDescent="0.2">
      <c r="A32" s="37"/>
      <c r="B32" s="3"/>
      <c r="C32" s="3"/>
      <c r="D32" s="16"/>
      <c r="E32" s="16"/>
      <c r="F32" s="29"/>
      <c r="G32" s="29"/>
      <c r="H32" s="29"/>
      <c r="I32" s="16"/>
      <c r="J32" s="16"/>
    </row>
    <row r="33" spans="1:10" s="31" customFormat="1" x14ac:dyDescent="0.2">
      <c r="A33" s="37"/>
      <c r="B33" s="3"/>
      <c r="C33" s="3"/>
      <c r="D33" s="16"/>
      <c r="E33" s="16"/>
      <c r="F33" s="29"/>
      <c r="G33" s="29"/>
      <c r="H33" s="29"/>
      <c r="I33" s="16"/>
      <c r="J33" s="16"/>
    </row>
    <row r="34" spans="1:10" s="31" customFormat="1" x14ac:dyDescent="0.2">
      <c r="A34" s="37"/>
      <c r="B34" s="3"/>
      <c r="C34" s="3"/>
      <c r="D34" s="16"/>
      <c r="E34" s="16"/>
      <c r="F34" s="29"/>
      <c r="G34" s="29"/>
      <c r="H34" s="29"/>
      <c r="I34" s="16"/>
      <c r="J34" s="16"/>
    </row>
    <row r="35" spans="1:10" s="31" customFormat="1" ht="11.45" customHeight="1" x14ac:dyDescent="0.2">
      <c r="A35" s="37"/>
      <c r="B35" s="3"/>
      <c r="C35" s="3"/>
      <c r="D35" s="16"/>
      <c r="E35" s="16"/>
      <c r="F35" s="9"/>
      <c r="G35" s="8"/>
      <c r="H35" s="8"/>
      <c r="I35" s="8"/>
      <c r="J35" s="8"/>
    </row>
    <row r="36" spans="1:10" s="31" customFormat="1" x14ac:dyDescent="0.2">
      <c r="A36" s="37"/>
      <c r="B36" s="3"/>
      <c r="C36" s="3"/>
      <c r="D36" s="16"/>
      <c r="E36" s="16"/>
    </row>
    <row r="37" spans="1:10" s="31" customFormat="1" x14ac:dyDescent="0.2">
      <c r="A37" s="37"/>
      <c r="B37" s="3"/>
      <c r="C37" s="3"/>
      <c r="D37" s="16"/>
      <c r="E37" s="16"/>
      <c r="F37" s="9"/>
      <c r="G37" s="29"/>
      <c r="H37" s="29"/>
      <c r="I37" s="16"/>
      <c r="J37" s="16"/>
    </row>
    <row r="38" spans="1:10" s="31" customFormat="1" x14ac:dyDescent="0.2">
      <c r="A38" s="37"/>
      <c r="B38" s="3"/>
      <c r="C38" s="3"/>
      <c r="D38" s="16"/>
      <c r="E38" s="16"/>
      <c r="F38" s="29"/>
      <c r="G38" s="29"/>
      <c r="H38" s="29"/>
      <c r="I38" s="16"/>
      <c r="J38" s="16"/>
    </row>
    <row r="39" spans="1:10" x14ac:dyDescent="0.2">
      <c r="A39" s="37"/>
      <c r="D39" s="16"/>
      <c r="E39" s="16"/>
    </row>
    <row r="40" spans="1:10" x14ac:dyDescent="0.2">
      <c r="A40" s="37"/>
      <c r="D40" s="16"/>
      <c r="E40" s="16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>
      <pane xSplit="7" ySplit="7" topLeftCell="H8" activePane="bottomRight" state="frozen"/>
      <selection pane="topRight" activeCell="J1" sqref="J1"/>
      <selection pane="bottomLeft" activeCell="A8" sqref="A8"/>
      <selection pane="bottomRight"/>
    </sheetView>
  </sheetViews>
  <sheetFormatPr defaultColWidth="9.140625" defaultRowHeight="11.25" customHeight="1" x14ac:dyDescent="0.2"/>
  <cols>
    <col min="1" max="1" width="12.28515625" style="3" customWidth="1"/>
    <col min="2" max="2" width="8.42578125" style="3" customWidth="1"/>
    <col min="3" max="3" width="24.28515625" style="3" customWidth="1"/>
    <col min="4" max="4" width="8.5703125" style="3" customWidth="1"/>
    <col min="5" max="5" width="8.85546875" style="3" customWidth="1"/>
    <col min="6" max="6" width="10.140625" style="3" customWidth="1"/>
    <col min="7" max="7" width="6.85546875" style="26" customWidth="1"/>
    <col min="8" max="16384" width="9.140625" style="3"/>
  </cols>
  <sheetData>
    <row r="1" spans="1:7" ht="11.25" customHeight="1" x14ac:dyDescent="0.2">
      <c r="A1" s="2" t="s">
        <v>110</v>
      </c>
    </row>
    <row r="3" spans="1:7" ht="21.75" customHeight="1" x14ac:dyDescent="0.2"/>
    <row r="4" spans="1:7" ht="17.25" customHeight="1" x14ac:dyDescent="0.2">
      <c r="E4" s="27" t="s">
        <v>92</v>
      </c>
      <c r="F4" s="27"/>
      <c r="G4" s="27"/>
    </row>
    <row r="5" spans="1:7" ht="16.5" customHeight="1" x14ac:dyDescent="0.2"/>
    <row r="6" spans="1:7" ht="17.25" customHeight="1" x14ac:dyDescent="0.2"/>
    <row r="7" spans="1:7" ht="21.75" customHeight="1" x14ac:dyDescent="0.2">
      <c r="B7" s="2" t="s">
        <v>56</v>
      </c>
      <c r="C7" s="2" t="s">
        <v>57</v>
      </c>
      <c r="D7" s="6" t="s">
        <v>93</v>
      </c>
      <c r="E7" s="2" t="s">
        <v>80</v>
      </c>
      <c r="F7" s="2" t="s">
        <v>81</v>
      </c>
      <c r="G7" s="6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8003F-712D-4095-8A34-A0EDC8E94F8B}">
  <sheetPr>
    <tabColor theme="4"/>
  </sheetPr>
  <dimension ref="A1:J11"/>
  <sheetViews>
    <sheetView zoomScale="115" zoomScaleNormal="115" workbookViewId="0">
      <pane xSplit="7" ySplit="7" topLeftCell="H8" activePane="bottomRight" state="frozen"/>
      <selection pane="topRight" activeCell="J1" sqref="J1"/>
      <selection pane="bottomLeft" activeCell="A8" sqref="A8"/>
      <selection pane="bottomRight" activeCell="C30" sqref="C30"/>
    </sheetView>
  </sheetViews>
  <sheetFormatPr defaultColWidth="9.140625" defaultRowHeight="11.25" customHeight="1" x14ac:dyDescent="0.2"/>
  <cols>
    <col min="1" max="1" width="12.28515625" style="3" customWidth="1"/>
    <col min="2" max="2" width="15.28515625" style="3" customWidth="1"/>
    <col min="3" max="3" width="36.140625" style="3" customWidth="1"/>
    <col min="4" max="4" width="8.5703125" style="3" customWidth="1"/>
    <col min="5" max="5" width="12.28515625" style="3" customWidth="1"/>
    <col min="6" max="6" width="10.140625" style="3" customWidth="1"/>
    <col min="7" max="7" width="6.85546875" style="26" customWidth="1"/>
    <col min="8" max="9" width="7.85546875" style="3" customWidth="1"/>
    <col min="10" max="10" width="10.42578125" style="3" bestFit="1" customWidth="1"/>
    <col min="11" max="16384" width="9.140625" style="3"/>
  </cols>
  <sheetData>
    <row r="1" spans="1:10" ht="11.25" customHeight="1" x14ac:dyDescent="0.2">
      <c r="A1" s="2" t="str">
        <f ca="1">IF(INDEX(Index!$E$6:$E$37,MATCH(A2,Index!$D$6:$D$37,0))=1,LEFT(A2,SEARCH("_",A2)-1),"")</f>
        <v/>
      </c>
      <c r="B1" s="9" t="str">
        <f>Commodities_BASE!B1</f>
        <v>REGION1</v>
      </c>
    </row>
    <row r="2" spans="1:10" ht="11.25" customHeight="1" x14ac:dyDescent="0.2">
      <c r="A2" t="str">
        <f ca="1">MID(CELL("filename",A2),FIND("]",CELL("filename",A2))+1,255)</f>
        <v>ProcData_F_Mn_Cr - PAMS</v>
      </c>
    </row>
    <row r="3" spans="1:10" ht="34.5" customHeight="1" x14ac:dyDescent="0.2"/>
    <row r="4" spans="1:10" ht="21.75" customHeight="1" x14ac:dyDescent="0.2">
      <c r="E4" s="27"/>
      <c r="F4" s="27"/>
      <c r="G4" s="27"/>
      <c r="H4" s="90" t="s">
        <v>145</v>
      </c>
      <c r="I4" s="90" t="str">
        <f>H4</f>
        <v>PRC_ACTFLO</v>
      </c>
      <c r="J4" s="90" t="str">
        <f>I4</f>
        <v>PRC_ACTFLO</v>
      </c>
    </row>
    <row r="5" spans="1:10" ht="16.5" customHeight="1" x14ac:dyDescent="0.2">
      <c r="H5" s="3" t="str">
        <f>E9</f>
        <v>IFAELC</v>
      </c>
      <c r="I5" s="90" t="str">
        <f>H5</f>
        <v>IFAELC</v>
      </c>
      <c r="J5" s="90" t="str">
        <f>I5</f>
        <v>IFAELC</v>
      </c>
    </row>
    <row r="6" spans="1:10" ht="17.25" customHeight="1" x14ac:dyDescent="0.2"/>
    <row r="7" spans="1:10" ht="21.75" customHeight="1" x14ac:dyDescent="0.2">
      <c r="B7" s="2" t="s">
        <v>56</v>
      </c>
      <c r="C7" s="2" t="s">
        <v>57</v>
      </c>
      <c r="D7" s="6" t="s">
        <v>93</v>
      </c>
      <c r="E7" s="97" t="s">
        <v>80</v>
      </c>
      <c r="F7" s="97" t="s">
        <v>81</v>
      </c>
      <c r="G7" s="6" t="s">
        <v>94</v>
      </c>
      <c r="H7" s="3">
        <v>2012</v>
      </c>
      <c r="I7" s="3">
        <v>2020</v>
      </c>
      <c r="J7" s="3">
        <v>2030</v>
      </c>
    </row>
    <row r="8" spans="1:10" ht="11.25" customHeight="1" x14ac:dyDescent="0.2">
      <c r="A8" s="35" t="str">
        <f>Processes_BASE!A8</f>
        <v>* Conversion technologies</v>
      </c>
      <c r="B8" s="31"/>
      <c r="E8" s="99"/>
      <c r="F8" s="98"/>
    </row>
    <row r="9" spans="1:10" s="26" customFormat="1" ht="11.25" customHeight="1" x14ac:dyDescent="0.2">
      <c r="A9" s="3"/>
      <c r="B9" s="31" t="str">
        <f>Processes_BASE!B10</f>
        <v>IFCEAF-E</v>
      </c>
      <c r="C9" s="31" t="str">
        <f>Processes_BASE!C10</f>
        <v>FerroChrome existing</v>
      </c>
      <c r="D9" s="31" t="str">
        <f>Processes_BASE!D10</f>
        <v>PJ,PJa</v>
      </c>
      <c r="E9" s="98" t="str">
        <f>RES_Cr!F2</f>
        <v>IFAELC</v>
      </c>
      <c r="F9" s="99" t="str">
        <f>'Process Input'!F12</f>
        <v>IFACR</v>
      </c>
      <c r="H9" s="131">
        <f>'Process Input'!R11</f>
        <v>12.360988518943744</v>
      </c>
      <c r="I9" s="94">
        <f>H9</f>
        <v>12.360988518943744</v>
      </c>
      <c r="J9" s="100">
        <f>I9*(1-Index!$M$11)</f>
        <v>11.742939092996556</v>
      </c>
    </row>
    <row r="10" spans="1:10" s="26" customFormat="1" ht="11.25" customHeight="1" x14ac:dyDescent="0.2">
      <c r="A10" s="3"/>
      <c r="B10" s="31" t="str">
        <f>'Process Input'!B23</f>
        <v>IFMEAF-E</v>
      </c>
      <c r="C10" s="31" t="str">
        <f>'Process Input'!C23</f>
        <v>FerroMn existing</v>
      </c>
      <c r="D10" s="31" t="str">
        <f>Processes_BASE!D11</f>
        <v>PJ,PJa</v>
      </c>
      <c r="E10" s="98" t="str">
        <f>RES_Cr!F2</f>
        <v>IFAELC</v>
      </c>
      <c r="F10" s="98" t="str">
        <f>CommData_BASE!B8</f>
        <v>IFAMN</v>
      </c>
      <c r="H10" s="131">
        <f>EB_Exist!K25/EB_Exist!F22</f>
        <v>12.96</v>
      </c>
      <c r="I10" s="131">
        <f>H10</f>
        <v>12.96</v>
      </c>
      <c r="J10" s="26">
        <f>H10*(1-Index!M$11)</f>
        <v>12.311999999999999</v>
      </c>
    </row>
    <row r="11" spans="1:10" ht="11.25" customHeight="1" x14ac:dyDescent="0.2">
      <c r="B11" s="26"/>
      <c r="C11" s="26"/>
      <c r="D11" s="26"/>
      <c r="E11" s="99"/>
      <c r="F11" s="99"/>
      <c r="H11" s="26"/>
      <c r="I11" s="26"/>
      <c r="J11" s="26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D633B-AA2F-435C-A09F-9DBC97D79718}">
  <sheetPr>
    <tabColor rgb="FF00B050"/>
  </sheetPr>
  <dimension ref="A1:AB174"/>
  <sheetViews>
    <sheetView zoomScale="110" zoomScaleNormal="110" workbookViewId="0">
      <selection activeCell="L29" sqref="L29"/>
    </sheetView>
  </sheetViews>
  <sheetFormatPr defaultColWidth="9.140625" defaultRowHeight="15.75" x14ac:dyDescent="0.25"/>
  <cols>
    <col min="1" max="1" width="9.140625" style="136"/>
    <col min="2" max="3" width="30.42578125" style="136" customWidth="1"/>
    <col min="4" max="4" width="13.5703125" style="136" bestFit="1" customWidth="1"/>
    <col min="5" max="5" width="13.5703125" style="136" customWidth="1"/>
    <col min="6" max="6" width="12.140625" style="136" bestFit="1" customWidth="1"/>
    <col min="7" max="7" width="9.140625" style="136"/>
    <col min="8" max="8" width="12.42578125" style="136" bestFit="1" customWidth="1"/>
    <col min="9" max="9" width="13.5703125" style="136" bestFit="1" customWidth="1"/>
    <col min="10" max="10" width="11.28515625" style="136" bestFit="1" customWidth="1"/>
    <col min="11" max="11" width="11.5703125" style="136" bestFit="1" customWidth="1"/>
    <col min="12" max="16384" width="9.140625" style="136"/>
  </cols>
  <sheetData>
    <row r="1" spans="2:6" x14ac:dyDescent="0.25">
      <c r="B1" s="135" t="s">
        <v>238</v>
      </c>
    </row>
    <row r="2" spans="2:6" x14ac:dyDescent="0.25">
      <c r="B2" s="260" t="s">
        <v>239</v>
      </c>
      <c r="C2" s="261" t="s">
        <v>240</v>
      </c>
    </row>
    <row r="3" spans="2:6" x14ac:dyDescent="0.25">
      <c r="B3" s="322" t="s">
        <v>241</v>
      </c>
      <c r="C3" s="140" t="s">
        <v>242</v>
      </c>
      <c r="E3" s="141"/>
    </row>
    <row r="4" spans="2:6" x14ac:dyDescent="0.25">
      <c r="B4" s="322"/>
      <c r="C4" s="140" t="s">
        <v>243</v>
      </c>
      <c r="E4" s="141"/>
    </row>
    <row r="5" spans="2:6" ht="16.5" thickBot="1" x14ac:dyDescent="0.3">
      <c r="B5" s="323"/>
      <c r="C5" s="142" t="s">
        <v>244</v>
      </c>
      <c r="E5" s="141"/>
      <c r="F5" s="136" t="s">
        <v>245</v>
      </c>
    </row>
    <row r="6" spans="2:6" x14ac:dyDescent="0.25">
      <c r="B6" s="324" t="s">
        <v>246</v>
      </c>
      <c r="C6" s="143" t="s">
        <v>247</v>
      </c>
      <c r="E6" s="141"/>
      <c r="F6" s="136" t="s">
        <v>248</v>
      </c>
    </row>
    <row r="7" spans="2:6" x14ac:dyDescent="0.25">
      <c r="B7" s="325"/>
      <c r="C7" s="143" t="s">
        <v>249</v>
      </c>
      <c r="E7" s="141"/>
      <c r="F7" s="136" t="s">
        <v>245</v>
      </c>
    </row>
    <row r="8" spans="2:6" ht="16.5" thickBot="1" x14ac:dyDescent="0.3">
      <c r="B8" s="326"/>
      <c r="C8" s="144" t="s">
        <v>250</v>
      </c>
      <c r="E8" s="141"/>
    </row>
    <row r="9" spans="2:6" x14ac:dyDescent="0.25">
      <c r="B9" s="324" t="s">
        <v>251</v>
      </c>
      <c r="C9" s="143" t="s">
        <v>252</v>
      </c>
      <c r="E9" s="141"/>
      <c r="F9" s="136" t="s">
        <v>248</v>
      </c>
    </row>
    <row r="10" spans="2:6" x14ac:dyDescent="0.25">
      <c r="B10" s="325"/>
      <c r="C10" s="143" t="s">
        <v>253</v>
      </c>
      <c r="E10" s="141"/>
      <c r="F10" s="136" t="s">
        <v>254</v>
      </c>
    </row>
    <row r="11" spans="2:6" ht="30.75" thickBot="1" x14ac:dyDescent="0.3">
      <c r="B11" s="326"/>
      <c r="C11" s="144" t="s">
        <v>255</v>
      </c>
      <c r="E11" s="141"/>
      <c r="F11" s="136" t="s">
        <v>256</v>
      </c>
    </row>
    <row r="12" spans="2:6" x14ac:dyDescent="0.25">
      <c r="B12" s="324" t="s">
        <v>257</v>
      </c>
      <c r="C12" s="143" t="s">
        <v>252</v>
      </c>
      <c r="E12" s="141"/>
    </row>
    <row r="13" spans="2:6" x14ac:dyDescent="0.25">
      <c r="B13" s="325"/>
      <c r="C13" s="143" t="s">
        <v>253</v>
      </c>
      <c r="E13" s="141"/>
    </row>
    <row r="14" spans="2:6" ht="16.5" thickBot="1" x14ac:dyDescent="0.3">
      <c r="B14" s="326"/>
      <c r="C14" s="144" t="s">
        <v>258</v>
      </c>
      <c r="E14" s="141"/>
    </row>
    <row r="15" spans="2:6" x14ac:dyDescent="0.25">
      <c r="B15" s="145"/>
      <c r="E15" s="141"/>
    </row>
    <row r="16" spans="2:6" x14ac:dyDescent="0.25">
      <c r="B16" s="145"/>
      <c r="E16" s="141"/>
    </row>
    <row r="17" spans="2:28" x14ac:dyDescent="0.25">
      <c r="B17" s="145"/>
      <c r="E17" s="141"/>
    </row>
    <row r="18" spans="2:28" x14ac:dyDescent="0.25">
      <c r="B18" s="145"/>
      <c r="E18" s="141"/>
      <c r="F18" s="136" t="s">
        <v>259</v>
      </c>
      <c r="P18" s="136" t="s">
        <v>260</v>
      </c>
    </row>
    <row r="19" spans="2:28" ht="31.5" x14ac:dyDescent="0.25">
      <c r="B19" s="146" t="s">
        <v>261</v>
      </c>
      <c r="C19" s="259" t="s">
        <v>262</v>
      </c>
      <c r="D19" s="262" t="s">
        <v>516</v>
      </c>
      <c r="E19" s="262" t="s">
        <v>516</v>
      </c>
      <c r="F19" s="136" t="s">
        <v>263</v>
      </c>
      <c r="G19" s="136" t="s">
        <v>264</v>
      </c>
      <c r="H19" s="136" t="s">
        <v>265</v>
      </c>
      <c r="I19" s="136" t="s">
        <v>266</v>
      </c>
      <c r="K19" s="136" t="s">
        <v>267</v>
      </c>
      <c r="L19" s="136" t="s">
        <v>268</v>
      </c>
      <c r="M19" s="136" t="s">
        <v>0</v>
      </c>
      <c r="P19" s="147" t="s">
        <v>269</v>
      </c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9"/>
    </row>
    <row r="20" spans="2:28" ht="16.5" thickBot="1" x14ac:dyDescent="0.3">
      <c r="B20" s="148" t="s">
        <v>270</v>
      </c>
      <c r="C20" s="149">
        <v>2000</v>
      </c>
      <c r="D20" s="263">
        <v>-25.622157157247099</v>
      </c>
      <c r="E20" s="263">
        <v>27.2191479003376</v>
      </c>
      <c r="F20" s="136">
        <v>0.72</v>
      </c>
      <c r="G20" s="136">
        <f>C20*0.001-F20</f>
        <v>1.28</v>
      </c>
      <c r="J20" s="136" t="s">
        <v>271</v>
      </c>
      <c r="K20" s="136" t="s">
        <v>272</v>
      </c>
      <c r="P20" s="145"/>
      <c r="AA20" s="141"/>
    </row>
    <row r="21" spans="2:28" x14ac:dyDescent="0.25">
      <c r="B21" s="150" t="s">
        <v>273</v>
      </c>
      <c r="C21" s="320">
        <v>1200</v>
      </c>
      <c r="D21" s="327" t="s">
        <v>517</v>
      </c>
      <c r="E21" s="189" t="s">
        <v>517</v>
      </c>
      <c r="G21" s="136">
        <f>C21*0.001</f>
        <v>1.2</v>
      </c>
      <c r="H21" s="151">
        <f>C26*0.001</f>
        <v>0.42</v>
      </c>
      <c r="J21" s="136" t="s">
        <v>274</v>
      </c>
      <c r="L21" s="136" t="s">
        <v>272</v>
      </c>
      <c r="P21" s="145"/>
      <c r="AA21" s="141"/>
    </row>
    <row r="22" spans="2:28" ht="16.5" thickBot="1" x14ac:dyDescent="0.3">
      <c r="B22" s="152" t="s">
        <v>275</v>
      </c>
      <c r="C22" s="321"/>
      <c r="D22" s="328"/>
      <c r="E22" s="264"/>
      <c r="P22" s="145">
        <v>4.9000000000000004</v>
      </c>
      <c r="Q22" s="136" t="s">
        <v>276</v>
      </c>
      <c r="AA22" s="141"/>
    </row>
    <row r="23" spans="2:28" ht="16.5" thickBot="1" x14ac:dyDescent="0.3">
      <c r="B23" s="148" t="s">
        <v>277</v>
      </c>
      <c r="C23" s="149">
        <v>150</v>
      </c>
      <c r="D23" s="149">
        <v>-28.744199999999999</v>
      </c>
      <c r="E23" s="149">
        <v>32.0214</v>
      </c>
      <c r="H23" s="136">
        <f>C23*0.001</f>
        <v>0.15</v>
      </c>
      <c r="J23" s="136" t="s">
        <v>278</v>
      </c>
      <c r="M23" s="136" t="s">
        <v>279</v>
      </c>
      <c r="P23" s="145">
        <v>0.36</v>
      </c>
      <c r="Q23" s="136" t="s">
        <v>280</v>
      </c>
      <c r="AA23" s="141"/>
    </row>
    <row r="24" spans="2:28" ht="28.5" x14ac:dyDescent="0.25">
      <c r="B24" s="150" t="s">
        <v>518</v>
      </c>
      <c r="C24" s="320">
        <v>110</v>
      </c>
      <c r="D24" s="329">
        <v>-26.1357162831553</v>
      </c>
      <c r="E24" s="329">
        <v>28.047042804386201</v>
      </c>
      <c r="H24" s="136">
        <f>C24*0.001</f>
        <v>0.11</v>
      </c>
      <c r="J24" s="136" t="s">
        <v>278</v>
      </c>
      <c r="P24" s="145">
        <v>0.36</v>
      </c>
      <c r="Q24" s="136" t="s">
        <v>281</v>
      </c>
      <c r="AA24" s="141"/>
    </row>
    <row r="25" spans="2:28" ht="30.75" thickBot="1" x14ac:dyDescent="0.3">
      <c r="B25" s="152" t="s">
        <v>282</v>
      </c>
      <c r="C25" s="321"/>
      <c r="D25" s="330"/>
      <c r="E25" s="330"/>
      <c r="P25" s="145">
        <f>P22/P23</f>
        <v>13.611111111111112</v>
      </c>
      <c r="Q25" s="136" t="s">
        <v>283</v>
      </c>
      <c r="AA25" s="141"/>
    </row>
    <row r="26" spans="2:28" ht="16.5" thickBot="1" x14ac:dyDescent="0.3">
      <c r="B26" s="148" t="s">
        <v>284</v>
      </c>
      <c r="C26" s="149">
        <v>420</v>
      </c>
      <c r="D26" s="149">
        <v>-25.6587</v>
      </c>
      <c r="E26" s="149">
        <v>27.828499999999998</v>
      </c>
      <c r="H26" s="151"/>
      <c r="M26" s="136" t="s">
        <v>285</v>
      </c>
      <c r="P26" s="145"/>
      <c r="AA26" s="141"/>
    </row>
    <row r="27" spans="2:28" x14ac:dyDescent="0.25">
      <c r="B27" s="150" t="s">
        <v>286</v>
      </c>
      <c r="C27" s="320">
        <v>267</v>
      </c>
      <c r="D27" s="320">
        <v>-26.903199999999998</v>
      </c>
      <c r="E27" s="320">
        <v>26.809100000000001</v>
      </c>
      <c r="H27" s="136">
        <f>C27*0.001</f>
        <v>0.26700000000000002</v>
      </c>
      <c r="K27" s="136">
        <v>14</v>
      </c>
      <c r="M27" s="153">
        <v>0.6</v>
      </c>
      <c r="N27" s="136" t="s">
        <v>287</v>
      </c>
      <c r="O27" s="154" t="s">
        <v>288</v>
      </c>
      <c r="P27" s="155" t="s">
        <v>289</v>
      </c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7"/>
    </row>
    <row r="28" spans="2:28" ht="16.5" thickBot="1" x14ac:dyDescent="0.3">
      <c r="B28" s="152" t="s">
        <v>290</v>
      </c>
      <c r="C28" s="321"/>
      <c r="D28" s="321"/>
      <c r="E28" s="321"/>
    </row>
    <row r="29" spans="2:28" ht="16.5" thickBot="1" x14ac:dyDescent="0.3">
      <c r="B29" s="148" t="s">
        <v>291</v>
      </c>
      <c r="C29" s="149">
        <v>410</v>
      </c>
      <c r="D29" s="149">
        <v>-26.037600000000001</v>
      </c>
      <c r="E29" s="149">
        <v>28.0427</v>
      </c>
      <c r="I29" s="136">
        <f>C29*0.001</f>
        <v>0.41000000000000003</v>
      </c>
      <c r="J29" s="154" t="s">
        <v>292</v>
      </c>
      <c r="P29" s="137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</row>
    <row r="30" spans="2:28" ht="16.5" thickBot="1" x14ac:dyDescent="0.3">
      <c r="B30" s="158" t="s">
        <v>293</v>
      </c>
      <c r="C30" s="159">
        <v>300</v>
      </c>
      <c r="D30" s="159">
        <v>-25.715499999999999</v>
      </c>
      <c r="E30" s="159">
        <v>30.231300000000001</v>
      </c>
      <c r="H30" s="136">
        <f>C30*0.001</f>
        <v>0.3</v>
      </c>
      <c r="P30" s="160" t="s">
        <v>294</v>
      </c>
      <c r="AB30" s="141"/>
    </row>
    <row r="31" spans="2:28" x14ac:dyDescent="0.25">
      <c r="B31" s="161" t="s">
        <v>295</v>
      </c>
      <c r="C31" s="162">
        <v>4707</v>
      </c>
      <c r="D31" s="162"/>
      <c r="E31" s="162"/>
      <c r="P31" s="145"/>
      <c r="AB31" s="141"/>
    </row>
    <row r="32" spans="2:28" x14ac:dyDescent="0.25">
      <c r="C32" s="136" t="s">
        <v>296</v>
      </c>
      <c r="D32" s="163">
        <f>SUM(F32:I32)</f>
        <v>4.8570000000000002</v>
      </c>
      <c r="E32" s="163"/>
      <c r="F32" s="136">
        <f>SUM(F20:F30)</f>
        <v>0.72</v>
      </c>
      <c r="G32" s="136">
        <f>SUM(G20:G30)</f>
        <v>2.48</v>
      </c>
      <c r="H32" s="136">
        <f>SUM(H20:H30)</f>
        <v>1.2469999999999999</v>
      </c>
      <c r="I32" s="136">
        <f>SUM(I20:I30)</f>
        <v>0.41000000000000003</v>
      </c>
      <c r="J32" s="136" t="s">
        <v>297</v>
      </c>
      <c r="P32" s="145" t="s">
        <v>298</v>
      </c>
      <c r="AB32" s="141"/>
    </row>
    <row r="33" spans="3:28" x14ac:dyDescent="0.25">
      <c r="C33" s="136" t="s">
        <v>299</v>
      </c>
      <c r="F33" s="136">
        <f>G54</f>
        <v>2400</v>
      </c>
      <c r="G33" s="136">
        <f>G52</f>
        <v>3500</v>
      </c>
      <c r="H33" s="136">
        <f>G50</f>
        <v>4100</v>
      </c>
      <c r="I33" s="136">
        <f>H33</f>
        <v>4100</v>
      </c>
      <c r="J33" s="136" t="s">
        <v>185</v>
      </c>
      <c r="P33" s="145">
        <v>3000</v>
      </c>
      <c r="Q33" s="136" t="s">
        <v>300</v>
      </c>
      <c r="AB33" s="141"/>
    </row>
    <row r="34" spans="3:28" x14ac:dyDescent="0.25">
      <c r="C34" s="136" t="s">
        <v>301</v>
      </c>
      <c r="D34" s="164">
        <f>SUM(F34:I34)</f>
        <v>17201.7</v>
      </c>
      <c r="E34" s="164"/>
      <c r="F34" s="165">
        <f>F33*F32</f>
        <v>1728</v>
      </c>
      <c r="G34" s="165">
        <f>G33*G32</f>
        <v>8680</v>
      </c>
      <c r="H34" s="165">
        <f>H33*H32</f>
        <v>5112.7</v>
      </c>
      <c r="I34" s="165">
        <f>I33*I32</f>
        <v>1681.0000000000002</v>
      </c>
      <c r="J34" s="136" t="s">
        <v>222</v>
      </c>
      <c r="P34" s="145"/>
      <c r="AB34" s="141"/>
    </row>
    <row r="35" spans="3:28" x14ac:dyDescent="0.25">
      <c r="C35" s="136" t="s">
        <v>302</v>
      </c>
      <c r="D35" s="164">
        <f>SUM(F35:I35)</f>
        <v>73.584000000000003</v>
      </c>
      <c r="E35" s="164"/>
      <c r="H35" s="136">
        <f>K27*M27*8.76</f>
        <v>73.584000000000003</v>
      </c>
      <c r="P35" s="145">
        <v>22</v>
      </c>
      <c r="Q35" s="136" t="s">
        <v>303</v>
      </c>
      <c r="AB35" s="141"/>
    </row>
    <row r="36" spans="3:28" x14ac:dyDescent="0.25">
      <c r="C36" s="136" t="s">
        <v>304</v>
      </c>
      <c r="D36" s="166">
        <f>D34-D35</f>
        <v>17128.116000000002</v>
      </c>
      <c r="E36" s="166"/>
      <c r="P36" s="145">
        <v>13</v>
      </c>
      <c r="Q36" s="136" t="s">
        <v>305</v>
      </c>
      <c r="AB36" s="141"/>
    </row>
    <row r="37" spans="3:28" x14ac:dyDescent="0.25">
      <c r="D37" s="167"/>
      <c r="E37" s="167"/>
      <c r="P37" s="145"/>
      <c r="AB37" s="141"/>
    </row>
    <row r="38" spans="3:28" x14ac:dyDescent="0.25">
      <c r="D38" s="168">
        <f>D34/D32</f>
        <v>3541.6306361951824</v>
      </c>
      <c r="E38" s="168"/>
      <c r="F38" s="136" t="s">
        <v>306</v>
      </c>
      <c r="P38" s="145">
        <v>2</v>
      </c>
      <c r="Q38" s="136" t="s">
        <v>307</v>
      </c>
      <c r="AB38" s="141"/>
    </row>
    <row r="39" spans="3:28" x14ac:dyDescent="0.25">
      <c r="D39" s="136">
        <f>(F34+(G20/G32)*G34)/(F20+G20)</f>
        <v>3104</v>
      </c>
      <c r="F39" s="136" t="s">
        <v>308</v>
      </c>
      <c r="P39" s="145">
        <v>4</v>
      </c>
      <c r="Q39" s="136" t="s">
        <v>309</v>
      </c>
      <c r="AB39" s="141"/>
    </row>
    <row r="40" spans="3:28" x14ac:dyDescent="0.25">
      <c r="P40" s="155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7"/>
    </row>
    <row r="42" spans="3:28" x14ac:dyDescent="0.25">
      <c r="P42" s="154" t="s">
        <v>310</v>
      </c>
    </row>
    <row r="43" spans="3:28" x14ac:dyDescent="0.25">
      <c r="P43" s="137" t="s">
        <v>311</v>
      </c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9"/>
    </row>
    <row r="44" spans="3:28" x14ac:dyDescent="0.25">
      <c r="P44" s="145"/>
      <c r="AB44" s="141"/>
    </row>
    <row r="45" spans="3:28" x14ac:dyDescent="0.25">
      <c r="P45" s="169" t="s">
        <v>312</v>
      </c>
      <c r="AB45" s="141"/>
    </row>
    <row r="46" spans="3:28" x14ac:dyDescent="0.25">
      <c r="P46" s="145">
        <v>4100</v>
      </c>
      <c r="Q46" s="136" t="s">
        <v>185</v>
      </c>
      <c r="AB46" s="141"/>
    </row>
    <row r="47" spans="3:28" x14ac:dyDescent="0.25">
      <c r="D47" s="165" t="s">
        <v>313</v>
      </c>
      <c r="E47" s="165"/>
      <c r="P47" s="145"/>
      <c r="AB47" s="141"/>
    </row>
    <row r="48" spans="3:28" x14ac:dyDescent="0.25">
      <c r="D48" s="137"/>
      <c r="E48" s="138"/>
      <c r="F48" s="138"/>
      <c r="G48" s="138"/>
      <c r="H48" s="138" t="s">
        <v>314</v>
      </c>
      <c r="I48" s="138"/>
      <c r="J48" s="138"/>
      <c r="K48" s="138"/>
      <c r="L48" s="138"/>
      <c r="M48" s="139"/>
      <c r="P48" s="169" t="s">
        <v>315</v>
      </c>
      <c r="AB48" s="141"/>
    </row>
    <row r="49" spans="1:28" x14ac:dyDescent="0.25">
      <c r="D49" s="145"/>
      <c r="G49" s="136" t="s">
        <v>221</v>
      </c>
      <c r="H49" s="136" t="s">
        <v>316</v>
      </c>
      <c r="I49" s="136" t="s">
        <v>143</v>
      </c>
      <c r="J49" s="136" t="s">
        <v>317</v>
      </c>
      <c r="K49" s="136" t="s">
        <v>318</v>
      </c>
      <c r="L49" s="136" t="s">
        <v>319</v>
      </c>
      <c r="M49" s="141"/>
      <c r="P49" s="145" t="s">
        <v>320</v>
      </c>
      <c r="AB49" s="141"/>
    </row>
    <row r="50" spans="1:28" x14ac:dyDescent="0.25">
      <c r="D50" s="145" t="s">
        <v>321</v>
      </c>
      <c r="G50" s="136">
        <f>P46</f>
        <v>4100</v>
      </c>
      <c r="H50" s="136">
        <f>'NetZero work'!Q71</f>
        <v>0.69</v>
      </c>
      <c r="I50" s="136">
        <f>'NetZero work'!Q73</f>
        <v>0.2</v>
      </c>
      <c r="J50" s="136">
        <f>'NetZero work'!Q74</f>
        <v>0.27</v>
      </c>
      <c r="K50" s="136">
        <f>'NetZero work'!Q75</f>
        <v>0.123</v>
      </c>
      <c r="L50" s="136">
        <f>H50-SUM(I50:K50)</f>
        <v>9.6999999999999975E-2</v>
      </c>
      <c r="M50" s="141"/>
      <c r="P50" s="145">
        <v>4800</v>
      </c>
      <c r="Q50" s="136" t="s">
        <v>185</v>
      </c>
      <c r="AB50" s="141"/>
    </row>
    <row r="51" spans="1:28" x14ac:dyDescent="0.25">
      <c r="D51" s="145"/>
      <c r="M51" s="141"/>
      <c r="P51" s="145"/>
      <c r="AB51" s="141"/>
    </row>
    <row r="52" spans="1:28" x14ac:dyDescent="0.25">
      <c r="D52" s="145" t="s">
        <v>264</v>
      </c>
      <c r="G52" s="136">
        <f>P55</f>
        <v>3500</v>
      </c>
      <c r="H52" s="136">
        <f>'NetZero work'!Q93</f>
        <v>0.61</v>
      </c>
      <c r="I52" s="136">
        <f>'NetZero work'!Q95</f>
        <v>2.5999999999999999E-2</v>
      </c>
      <c r="J52" s="136">
        <f>'NetZero work'!Q96</f>
        <v>0.29899999999999999</v>
      </c>
      <c r="K52" s="136">
        <f>'NetZero work'!Q97</f>
        <v>0.245</v>
      </c>
      <c r="L52" s="136">
        <f>'NetZero work'!Q98</f>
        <v>4.1000000000000002E-2</v>
      </c>
      <c r="M52" s="141"/>
      <c r="P52" s="169" t="s">
        <v>264</v>
      </c>
      <c r="AB52" s="141"/>
    </row>
    <row r="53" spans="1:28" x14ac:dyDescent="0.25">
      <c r="D53" s="145"/>
      <c r="M53" s="141"/>
      <c r="P53" s="145" t="s">
        <v>322</v>
      </c>
      <c r="AB53" s="141"/>
    </row>
    <row r="54" spans="1:28" x14ac:dyDescent="0.25">
      <c r="D54" s="145" t="s">
        <v>323</v>
      </c>
      <c r="G54" s="136">
        <f>P60</f>
        <v>2400</v>
      </c>
      <c r="M54" s="141"/>
      <c r="P54" s="145" t="s">
        <v>324</v>
      </c>
      <c r="AB54" s="141"/>
    </row>
    <row r="55" spans="1:28" x14ac:dyDescent="0.25">
      <c r="D55" s="145"/>
      <c r="M55" s="141"/>
      <c r="P55" s="145">
        <v>3500</v>
      </c>
      <c r="Q55" s="136" t="s">
        <v>185</v>
      </c>
      <c r="AB55" s="141"/>
    </row>
    <row r="56" spans="1:28" x14ac:dyDescent="0.25">
      <c r="D56" s="145" t="s">
        <v>325</v>
      </c>
      <c r="M56" s="141"/>
      <c r="P56" s="145"/>
      <c r="AB56" s="141"/>
    </row>
    <row r="57" spans="1:28" x14ac:dyDescent="0.25">
      <c r="D57" s="145" t="s">
        <v>326</v>
      </c>
      <c r="M57" s="141"/>
      <c r="P57" s="169" t="s">
        <v>323</v>
      </c>
      <c r="AB57" s="141"/>
    </row>
    <row r="58" spans="1:28" x14ac:dyDescent="0.25">
      <c r="D58" s="145"/>
      <c r="M58" s="141"/>
      <c r="P58" s="145" t="s">
        <v>327</v>
      </c>
      <c r="AB58" s="141"/>
    </row>
    <row r="59" spans="1:28" x14ac:dyDescent="0.25">
      <c r="D59" s="155"/>
      <c r="E59" s="156"/>
      <c r="F59" s="156"/>
      <c r="G59" s="156"/>
      <c r="H59" s="156"/>
      <c r="I59" s="156"/>
      <c r="J59" s="156"/>
      <c r="K59" s="156"/>
      <c r="L59" s="156"/>
      <c r="M59" s="157"/>
      <c r="P59" s="145" t="s">
        <v>328</v>
      </c>
      <c r="AB59" s="141"/>
    </row>
    <row r="60" spans="1:28" x14ac:dyDescent="0.25">
      <c r="P60" s="145">
        <v>2400</v>
      </c>
      <c r="Q60" s="136" t="s">
        <v>185</v>
      </c>
      <c r="AB60" s="141"/>
    </row>
    <row r="61" spans="1:28" x14ac:dyDescent="0.25">
      <c r="P61" s="145"/>
      <c r="AB61" s="141"/>
    </row>
    <row r="62" spans="1:28" x14ac:dyDescent="0.25">
      <c r="P62" s="145"/>
      <c r="AB62" s="141"/>
    </row>
    <row r="63" spans="1:28" x14ac:dyDescent="0.25">
      <c r="A63" s="170" t="s">
        <v>329</v>
      </c>
      <c r="C63" s="171"/>
      <c r="D63" s="171"/>
      <c r="E63" s="171"/>
      <c r="F63" s="172" t="s">
        <v>330</v>
      </c>
      <c r="G63" s="172" t="s">
        <v>264</v>
      </c>
      <c r="H63" s="172" t="s">
        <v>323</v>
      </c>
      <c r="I63" s="172" t="s">
        <v>331</v>
      </c>
      <c r="J63" s="172" t="s">
        <v>332</v>
      </c>
      <c r="P63" s="145"/>
      <c r="AB63" s="141"/>
    </row>
    <row r="64" spans="1:28" x14ac:dyDescent="0.25">
      <c r="A64" s="170"/>
      <c r="C64" s="172" t="s">
        <v>333</v>
      </c>
      <c r="D64" s="171" t="s">
        <v>334</v>
      </c>
      <c r="E64" s="171"/>
      <c r="F64" s="171">
        <f>G50</f>
        <v>4100</v>
      </c>
      <c r="G64" s="171">
        <f>G52</f>
        <v>3500</v>
      </c>
      <c r="H64" s="171">
        <f>G54</f>
        <v>2400</v>
      </c>
      <c r="I64" s="171"/>
      <c r="J64" s="171"/>
      <c r="L64" s="136" t="s">
        <v>335</v>
      </c>
      <c r="M64" s="136" t="s">
        <v>336</v>
      </c>
      <c r="P64" s="145"/>
      <c r="AB64" s="141"/>
    </row>
    <row r="65" spans="1:28" x14ac:dyDescent="0.25">
      <c r="A65" s="170"/>
      <c r="C65" s="172"/>
      <c r="D65" s="171" t="s">
        <v>337</v>
      </c>
      <c r="E65" s="171"/>
      <c r="F65" s="171"/>
      <c r="G65" s="171"/>
      <c r="H65" s="171"/>
      <c r="I65" s="171"/>
      <c r="J65" s="171"/>
      <c r="L65" s="136" t="s">
        <v>259</v>
      </c>
      <c r="P65" s="155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7"/>
    </row>
    <row r="66" spans="1:28" x14ac:dyDescent="0.25">
      <c r="A66" s="170"/>
      <c r="C66" s="172" t="s">
        <v>338</v>
      </c>
      <c r="D66" s="171" t="s">
        <v>143</v>
      </c>
      <c r="E66" s="171"/>
      <c r="F66" s="171">
        <f>I50</f>
        <v>0.2</v>
      </c>
      <c r="G66" s="171">
        <f>I52</f>
        <v>2.5999999999999999E-2</v>
      </c>
      <c r="H66" s="171">
        <f>G66</f>
        <v>2.5999999999999999E-2</v>
      </c>
      <c r="I66" s="171"/>
      <c r="J66" s="171" t="s">
        <v>339</v>
      </c>
    </row>
    <row r="67" spans="1:28" x14ac:dyDescent="0.25">
      <c r="A67" s="170"/>
      <c r="C67" s="172"/>
      <c r="D67" s="171" t="s">
        <v>340</v>
      </c>
      <c r="E67" s="171"/>
      <c r="F67" s="171">
        <f>J50</f>
        <v>0.27</v>
      </c>
      <c r="G67" s="171">
        <f>J52</f>
        <v>0.29899999999999999</v>
      </c>
      <c r="H67" s="171">
        <f>G67*0.5</f>
        <v>0.14949999999999999</v>
      </c>
      <c r="I67" s="171"/>
      <c r="J67" s="171"/>
      <c r="L67" s="136" t="s">
        <v>341</v>
      </c>
      <c r="P67" s="136" t="s">
        <v>342</v>
      </c>
    </row>
    <row r="68" spans="1:28" x14ac:dyDescent="0.25">
      <c r="A68" s="170"/>
      <c r="C68" s="172"/>
      <c r="D68" s="171" t="s">
        <v>343</v>
      </c>
      <c r="E68" s="171"/>
      <c r="F68" s="171">
        <f>K50</f>
        <v>0.123</v>
      </c>
      <c r="G68" s="171">
        <f>K52</f>
        <v>0.245</v>
      </c>
      <c r="H68" s="171">
        <f t="shared" ref="H68" si="0">G68</f>
        <v>0.245</v>
      </c>
      <c r="I68" s="171"/>
      <c r="J68" s="171"/>
      <c r="P68" s="137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9"/>
    </row>
    <row r="69" spans="1:28" x14ac:dyDescent="0.25">
      <c r="A69" s="170"/>
      <c r="C69" s="172"/>
      <c r="D69" s="171" t="s">
        <v>344</v>
      </c>
      <c r="E69" s="171"/>
      <c r="F69" s="171">
        <f>L50</f>
        <v>9.6999999999999975E-2</v>
      </c>
      <c r="G69" s="171">
        <f>L52</f>
        <v>4.1000000000000002E-2</v>
      </c>
      <c r="H69" s="171">
        <f>G67-H67+G69</f>
        <v>0.1905</v>
      </c>
      <c r="I69" s="171"/>
      <c r="J69" s="171"/>
      <c r="P69" s="145"/>
      <c r="Q69" s="165" t="s">
        <v>345</v>
      </c>
      <c r="AB69" s="141"/>
    </row>
    <row r="70" spans="1:28" x14ac:dyDescent="0.25">
      <c r="A70" s="170"/>
      <c r="C70" s="172"/>
      <c r="D70" s="173" t="s">
        <v>346</v>
      </c>
      <c r="E70" s="173"/>
      <c r="F70" s="173">
        <f>SUM(F66:F69)</f>
        <v>0.69</v>
      </c>
      <c r="G70" s="173">
        <f>SUM(G66:G69)</f>
        <v>0.6110000000000001</v>
      </c>
      <c r="H70" s="173">
        <f>SUM(H66:H69)</f>
        <v>0.61099999999999999</v>
      </c>
      <c r="I70" s="171"/>
      <c r="J70" s="171"/>
      <c r="P70" s="145"/>
      <c r="Q70" s="136">
        <v>4.2699999999999996</v>
      </c>
      <c r="R70" s="136" t="s">
        <v>347</v>
      </c>
      <c r="AB70" s="141"/>
    </row>
    <row r="71" spans="1:28" x14ac:dyDescent="0.25">
      <c r="A71" s="170"/>
      <c r="C71" s="172" t="s">
        <v>348</v>
      </c>
      <c r="D71" s="171" t="str">
        <f>B20</f>
        <v>Glencore Merafe (Xstrata)</v>
      </c>
      <c r="E71" s="171"/>
      <c r="F71" s="171"/>
      <c r="G71" s="171">
        <f>G20</f>
        <v>1.28</v>
      </c>
      <c r="H71" s="171">
        <f>F20</f>
        <v>0.72</v>
      </c>
      <c r="I71" s="171"/>
      <c r="J71" s="171"/>
      <c r="P71" s="145"/>
      <c r="Q71" s="136">
        <v>0.69</v>
      </c>
      <c r="R71" s="136" t="s">
        <v>349</v>
      </c>
      <c r="AB71" s="141"/>
    </row>
    <row r="72" spans="1:28" x14ac:dyDescent="0.25">
      <c r="A72" s="170"/>
      <c r="C72" s="172"/>
      <c r="D72" s="171" t="str">
        <f>B21</f>
        <v>Samancor Chrome Limited</v>
      </c>
      <c r="E72" s="171"/>
      <c r="F72" s="171">
        <f>H21</f>
        <v>0.42</v>
      </c>
      <c r="G72" s="171">
        <f>G21</f>
        <v>1.2</v>
      </c>
      <c r="H72" s="171"/>
      <c r="I72" s="171"/>
      <c r="J72" s="171" t="s">
        <v>350</v>
      </c>
      <c r="P72" s="145"/>
      <c r="R72" s="136" t="s">
        <v>351</v>
      </c>
      <c r="AB72" s="141"/>
    </row>
    <row r="73" spans="1:28" x14ac:dyDescent="0.25">
      <c r="A73" s="170"/>
      <c r="C73" s="172"/>
      <c r="D73" s="171" t="str">
        <f>B23</f>
        <v>Tata KZN</v>
      </c>
      <c r="E73" s="171"/>
      <c r="F73" s="171">
        <f>H23</f>
        <v>0.15</v>
      </c>
      <c r="G73" s="171"/>
      <c r="H73" s="171"/>
      <c r="I73" s="171"/>
      <c r="J73" s="171"/>
      <c r="P73" s="145"/>
      <c r="Q73" s="136">
        <v>0.2</v>
      </c>
      <c r="R73" s="136" t="s">
        <v>352</v>
      </c>
      <c r="AB73" s="141"/>
    </row>
    <row r="74" spans="1:28" x14ac:dyDescent="0.25">
      <c r="A74" s="170"/>
      <c r="C74" s="172"/>
      <c r="D74" s="171" t="str">
        <f>B24</f>
        <v>Afarak (Probably now Zeetrust)</v>
      </c>
      <c r="E74" s="171"/>
      <c r="F74" s="171">
        <f>H24</f>
        <v>0.11</v>
      </c>
      <c r="G74" s="171"/>
      <c r="H74" s="171"/>
      <c r="I74" s="171"/>
      <c r="J74" s="171"/>
      <c r="P74" s="145"/>
      <c r="Q74" s="136">
        <v>0.27</v>
      </c>
      <c r="R74" s="136" t="s">
        <v>340</v>
      </c>
      <c r="AB74" s="141"/>
    </row>
    <row r="75" spans="1:28" x14ac:dyDescent="0.25">
      <c r="A75" s="170"/>
      <c r="C75" s="172"/>
      <c r="D75" s="171" t="str">
        <f>B27</f>
        <v>International Ferro Metals</v>
      </c>
      <c r="E75" s="171"/>
      <c r="F75" s="171">
        <f>H27</f>
        <v>0.26700000000000002</v>
      </c>
      <c r="G75" s="171"/>
      <c r="H75" s="171"/>
      <c r="I75" s="171">
        <f>K27</f>
        <v>14</v>
      </c>
      <c r="J75" s="171"/>
      <c r="P75" s="145"/>
      <c r="Q75" s="136">
        <v>0.123</v>
      </c>
      <c r="R75" s="136" t="s">
        <v>343</v>
      </c>
      <c r="AB75" s="141"/>
    </row>
    <row r="76" spans="1:28" x14ac:dyDescent="0.25">
      <c r="A76" s="170"/>
      <c r="C76" s="172"/>
      <c r="D76" s="171" t="str">
        <f>B29</f>
        <v>ASA Metals (Newco)</v>
      </c>
      <c r="E76" s="171"/>
      <c r="F76" s="171">
        <f>I29</f>
        <v>0.41000000000000003</v>
      </c>
      <c r="G76" s="171"/>
      <c r="H76" s="171"/>
      <c r="I76" s="171"/>
      <c r="J76" s="171" t="s">
        <v>353</v>
      </c>
      <c r="P76" s="145"/>
      <c r="AB76" s="141"/>
    </row>
    <row r="77" spans="1:28" x14ac:dyDescent="0.25">
      <c r="A77" s="170"/>
      <c r="C77" s="172"/>
      <c r="D77" s="171" t="str">
        <f>B30</f>
        <v>Assmang Chrome</v>
      </c>
      <c r="E77" s="171"/>
      <c r="F77" s="171">
        <f>H30</f>
        <v>0.3</v>
      </c>
      <c r="G77" s="171"/>
      <c r="H77" s="171"/>
      <c r="I77" s="171"/>
      <c r="J77" s="171"/>
      <c r="P77" s="145"/>
      <c r="AB77" s="141"/>
    </row>
    <row r="78" spans="1:28" x14ac:dyDescent="0.25">
      <c r="A78" s="170"/>
      <c r="C78" s="172"/>
      <c r="D78" s="173" t="s">
        <v>346</v>
      </c>
      <c r="E78" s="173"/>
      <c r="F78" s="174">
        <f>SUM(F71:F77)</f>
        <v>1.657</v>
      </c>
      <c r="G78" s="174">
        <f t="shared" ref="G78:H78" si="1">SUM(G71:G77)</f>
        <v>2.48</v>
      </c>
      <c r="H78" s="174">
        <f t="shared" si="1"/>
        <v>0.72</v>
      </c>
      <c r="I78" s="171"/>
      <c r="J78" s="171"/>
      <c r="P78" s="145"/>
      <c r="AB78" s="141"/>
    </row>
    <row r="79" spans="1:28" x14ac:dyDescent="0.25">
      <c r="A79" s="170"/>
      <c r="C79" s="172" t="s">
        <v>354</v>
      </c>
      <c r="D79" s="171"/>
      <c r="E79" s="171"/>
      <c r="F79" s="175">
        <f>SUM(F78:H78)</f>
        <v>4.8570000000000002</v>
      </c>
      <c r="G79" s="176"/>
      <c r="H79" s="176"/>
      <c r="I79" s="171"/>
      <c r="J79" s="171"/>
      <c r="P79" s="145"/>
      <c r="AB79" s="141"/>
    </row>
    <row r="80" spans="1:28" x14ac:dyDescent="0.25">
      <c r="A80" s="170"/>
      <c r="P80" s="145"/>
      <c r="AB80" s="141"/>
    </row>
    <row r="81" spans="1:28" x14ac:dyDescent="0.25">
      <c r="A81" s="170"/>
      <c r="C81" s="136" t="s">
        <v>355</v>
      </c>
      <c r="P81" s="145"/>
      <c r="AB81" s="141"/>
    </row>
    <row r="82" spans="1:28" x14ac:dyDescent="0.25">
      <c r="D82" s="171" t="str">
        <f t="shared" ref="D82:D88" si="2">D71</f>
        <v>Glencore Merafe (Xstrata)</v>
      </c>
      <c r="E82" s="171"/>
      <c r="F82" s="171"/>
      <c r="G82" s="177">
        <v>0.8</v>
      </c>
      <c r="H82" s="177">
        <v>0.8</v>
      </c>
      <c r="P82" s="145"/>
      <c r="AB82" s="141"/>
    </row>
    <row r="83" spans="1:28" x14ac:dyDescent="0.25">
      <c r="D83" s="171" t="str">
        <f t="shared" si="2"/>
        <v>Samancor Chrome Limited</v>
      </c>
      <c r="E83" s="171"/>
      <c r="F83" s="177">
        <v>0.8</v>
      </c>
      <c r="G83" s="177">
        <v>0.8</v>
      </c>
      <c r="H83" s="171"/>
      <c r="P83" s="145"/>
      <c r="AB83" s="141"/>
    </row>
    <row r="84" spans="1:28" x14ac:dyDescent="0.25">
      <c r="D84" s="171" t="str">
        <f t="shared" si="2"/>
        <v>Tata KZN</v>
      </c>
      <c r="E84" s="171"/>
      <c r="F84" s="177">
        <v>0</v>
      </c>
      <c r="G84" s="171"/>
      <c r="H84" s="171"/>
      <c r="P84" s="145"/>
      <c r="AB84" s="141"/>
    </row>
    <row r="85" spans="1:28" x14ac:dyDescent="0.25">
      <c r="D85" s="171" t="str">
        <f t="shared" si="2"/>
        <v>Afarak (Probably now Zeetrust)</v>
      </c>
      <c r="E85" s="171"/>
      <c r="F85" s="178">
        <f>J85</f>
        <v>0.7</v>
      </c>
      <c r="G85" s="171"/>
      <c r="H85" s="171"/>
      <c r="J85" s="179">
        <v>0.7</v>
      </c>
      <c r="P85" s="145"/>
      <c r="AB85" s="141"/>
    </row>
    <row r="86" spans="1:28" x14ac:dyDescent="0.25">
      <c r="D86" s="171" t="str">
        <f t="shared" si="2"/>
        <v>International Ferro Metals</v>
      </c>
      <c r="E86" s="171"/>
      <c r="F86" s="177">
        <f>F85</f>
        <v>0.7</v>
      </c>
      <c r="G86" s="171"/>
      <c r="H86" s="171"/>
      <c r="P86" s="145"/>
      <c r="AB86" s="141"/>
    </row>
    <row r="87" spans="1:28" x14ac:dyDescent="0.25">
      <c r="D87" s="171" t="str">
        <f t="shared" si="2"/>
        <v>ASA Metals (Newco)</v>
      </c>
      <c r="E87" s="171"/>
      <c r="F87" s="177">
        <f>F85</f>
        <v>0.7</v>
      </c>
      <c r="G87" s="171"/>
      <c r="H87" s="171"/>
      <c r="P87" s="145"/>
      <c r="AB87" s="141"/>
    </row>
    <row r="88" spans="1:28" x14ac:dyDescent="0.25">
      <c r="D88" s="171" t="str">
        <f t="shared" si="2"/>
        <v>Assmang Chrome</v>
      </c>
      <c r="E88" s="171"/>
      <c r="F88" s="177">
        <v>0</v>
      </c>
      <c r="G88" s="171"/>
      <c r="H88" s="171"/>
      <c r="J88" s="136" t="s">
        <v>356</v>
      </c>
      <c r="P88" s="145"/>
      <c r="AB88" s="141"/>
    </row>
    <row r="89" spans="1:28" x14ac:dyDescent="0.25">
      <c r="J89" s="137" t="s">
        <v>357</v>
      </c>
      <c r="K89" s="138" t="s">
        <v>438</v>
      </c>
      <c r="L89" s="138"/>
      <c r="M89" s="138"/>
      <c r="N89" s="139"/>
      <c r="P89" s="145"/>
      <c r="AB89" s="141"/>
    </row>
    <row r="90" spans="1:28" x14ac:dyDescent="0.25">
      <c r="C90" s="165" t="s">
        <v>358</v>
      </c>
      <c r="F90" s="136">
        <f>SUMPRODUCT(F82:F88,F71:F77)</f>
        <v>0.88690000000000002</v>
      </c>
      <c r="G90" s="136">
        <f>SUMPRODUCT(G82:G88,G71:G77)</f>
        <v>1.984</v>
      </c>
      <c r="H90" s="136">
        <f>SUMPRODUCT(H82:H88,H71:H77)</f>
        <v>0.57599999999999996</v>
      </c>
      <c r="I90" s="136" t="s">
        <v>297</v>
      </c>
      <c r="J90" s="145">
        <f>SUM(F90:H90)</f>
        <v>3.4468999999999999</v>
      </c>
      <c r="K90" s="136">
        <v>3.484</v>
      </c>
      <c r="L90" s="136">
        <f>K90-J90</f>
        <v>3.7100000000000133E-2</v>
      </c>
      <c r="M90" s="136" t="s">
        <v>359</v>
      </c>
      <c r="N90" s="141"/>
      <c r="P90" s="145"/>
      <c r="AB90" s="141"/>
    </row>
    <row r="91" spans="1:28" x14ac:dyDescent="0.25">
      <c r="C91" s="165" t="s">
        <v>360</v>
      </c>
      <c r="J91" s="145"/>
      <c r="K91" s="136" t="s">
        <v>363</v>
      </c>
      <c r="N91" s="141"/>
      <c r="P91" s="145"/>
      <c r="Q91" s="165" t="s">
        <v>361</v>
      </c>
      <c r="AB91" s="141"/>
    </row>
    <row r="92" spans="1:28" x14ac:dyDescent="0.25">
      <c r="B92" s="180" t="s">
        <v>362</v>
      </c>
      <c r="C92" s="181" t="s">
        <v>221</v>
      </c>
      <c r="F92" s="136">
        <f>F90*F64</f>
        <v>3636.29</v>
      </c>
      <c r="G92" s="136">
        <f>G90*G64</f>
        <v>6944</v>
      </c>
      <c r="H92" s="136">
        <f>H90*H64</f>
        <v>1382.3999999999999</v>
      </c>
      <c r="I92" s="136" t="s">
        <v>222</v>
      </c>
      <c r="J92" s="182">
        <f>SUM(F92:H92)</f>
        <v>11962.69</v>
      </c>
      <c r="K92" s="167">
        <v>14413.888888888889</v>
      </c>
      <c r="N92" s="141"/>
      <c r="P92" s="145"/>
      <c r="Q92" s="136">
        <v>3.38</v>
      </c>
      <c r="R92" s="136" t="s">
        <v>364</v>
      </c>
      <c r="AB92" s="141"/>
    </row>
    <row r="93" spans="1:28" x14ac:dyDescent="0.25">
      <c r="B93" s="165">
        <v>27</v>
      </c>
      <c r="C93" s="181" t="s">
        <v>143</v>
      </c>
      <c r="F93" s="183">
        <f>F$90*F66</f>
        <v>0.17738000000000001</v>
      </c>
      <c r="G93" s="183">
        <f t="shared" ref="G93:H96" si="3">G$90*G66</f>
        <v>5.1583999999999998E-2</v>
      </c>
      <c r="H93" s="183">
        <f t="shared" si="3"/>
        <v>1.4975999999999998E-2</v>
      </c>
      <c r="I93" s="136" t="s">
        <v>297</v>
      </c>
      <c r="J93" s="184">
        <f>SUM(F93:H93)</f>
        <v>0.24393999999999999</v>
      </c>
      <c r="N93" s="141"/>
      <c r="P93" s="145"/>
      <c r="Q93" s="136">
        <v>0.61</v>
      </c>
      <c r="R93" s="136" t="s">
        <v>365</v>
      </c>
      <c r="AB93" s="141"/>
    </row>
    <row r="94" spans="1:28" x14ac:dyDescent="0.25">
      <c r="B94" s="165">
        <v>28</v>
      </c>
      <c r="C94" s="181" t="s">
        <v>317</v>
      </c>
      <c r="F94" s="183">
        <f>F$90*F67</f>
        <v>0.23946300000000001</v>
      </c>
      <c r="G94" s="183">
        <f t="shared" si="3"/>
        <v>0.59321599999999997</v>
      </c>
      <c r="H94" s="183">
        <f t="shared" si="3"/>
        <v>8.6111999999999994E-2</v>
      </c>
      <c r="I94" s="136" t="s">
        <v>297</v>
      </c>
      <c r="J94" s="184">
        <f>SUM(F94:H94)</f>
        <v>0.91879099999999991</v>
      </c>
      <c r="N94" s="141"/>
      <c r="P94" s="145"/>
      <c r="R94" s="136" t="s">
        <v>366</v>
      </c>
      <c r="AB94" s="141"/>
    </row>
    <row r="95" spans="1:28" x14ac:dyDescent="0.25">
      <c r="B95" s="165">
        <v>28</v>
      </c>
      <c r="C95" s="181" t="s">
        <v>318</v>
      </c>
      <c r="F95" s="183">
        <f>F$90*F68</f>
        <v>0.1090887</v>
      </c>
      <c r="G95" s="183">
        <f t="shared" si="3"/>
        <v>0.48608000000000001</v>
      </c>
      <c r="H95" s="183">
        <f t="shared" si="3"/>
        <v>0.14112</v>
      </c>
      <c r="I95" s="136" t="s">
        <v>297</v>
      </c>
      <c r="J95" s="184">
        <f>SUM(F95:H95)</f>
        <v>0.73628870000000002</v>
      </c>
      <c r="N95" s="141"/>
      <c r="P95" s="145"/>
      <c r="Q95" s="136">
        <v>2.5999999999999999E-2</v>
      </c>
      <c r="R95" s="136" t="s">
        <v>352</v>
      </c>
      <c r="AB95" s="141"/>
    </row>
    <row r="96" spans="1:28" x14ac:dyDescent="0.25">
      <c r="B96" s="165">
        <v>27</v>
      </c>
      <c r="C96" s="181" t="s">
        <v>319</v>
      </c>
      <c r="F96" s="183">
        <f>F$90*F69</f>
        <v>8.6029299999999975E-2</v>
      </c>
      <c r="G96" s="183">
        <f t="shared" si="3"/>
        <v>8.1344E-2</v>
      </c>
      <c r="H96" s="183">
        <f t="shared" si="3"/>
        <v>0.10972799999999999</v>
      </c>
      <c r="I96" s="136" t="s">
        <v>297</v>
      </c>
      <c r="J96" s="185">
        <f>SUM(F96:H96)</f>
        <v>0.27710129999999999</v>
      </c>
      <c r="K96" s="156"/>
      <c r="L96" s="156"/>
      <c r="M96" s="156"/>
      <c r="N96" s="157"/>
      <c r="P96" s="145"/>
      <c r="Q96" s="136">
        <v>0.29899999999999999</v>
      </c>
      <c r="R96" s="136" t="s">
        <v>340</v>
      </c>
      <c r="AB96" s="141"/>
    </row>
    <row r="97" spans="1:28" x14ac:dyDescent="0.25">
      <c r="P97" s="145"/>
      <c r="Q97" s="136">
        <v>0.245</v>
      </c>
      <c r="R97" s="136" t="s">
        <v>343</v>
      </c>
      <c r="AB97" s="141"/>
    </row>
    <row r="98" spans="1:28" x14ac:dyDescent="0.25">
      <c r="C98" s="186" t="s">
        <v>367</v>
      </c>
      <c r="P98" s="145"/>
      <c r="Q98" s="136">
        <v>4.1000000000000002E-2</v>
      </c>
      <c r="R98" s="136" t="s">
        <v>344</v>
      </c>
      <c r="AB98" s="141"/>
    </row>
    <row r="99" spans="1:28" x14ac:dyDescent="0.25">
      <c r="C99" s="181" t="s">
        <v>221</v>
      </c>
      <c r="F99" s="187">
        <f>J92/$J$90</f>
        <v>3470.5648553772958</v>
      </c>
      <c r="G99" s="136" t="s">
        <v>368</v>
      </c>
      <c r="P99" s="145"/>
      <c r="AB99" s="141"/>
    </row>
    <row r="100" spans="1:28" x14ac:dyDescent="0.25">
      <c r="C100" s="181" t="s">
        <v>223</v>
      </c>
      <c r="F100" s="187">
        <f>(J93*B93+J96*B96)/$J$90</f>
        <v>4.0813818503582935</v>
      </c>
      <c r="G100" s="136" t="s">
        <v>369</v>
      </c>
      <c r="P100" s="145"/>
      <c r="AB100" s="141"/>
    </row>
    <row r="101" spans="1:28" x14ac:dyDescent="0.25">
      <c r="C101" s="181" t="s">
        <v>224</v>
      </c>
      <c r="F101" s="187">
        <f>(J94*B94+J95*B95+J101*B95)/$J$90</f>
        <v>20.627230264875688</v>
      </c>
      <c r="G101" s="136" t="s">
        <v>369</v>
      </c>
      <c r="J101" s="188">
        <f>J102-SUM(J94:J95)-J103</f>
        <v>0.88420601428571455</v>
      </c>
      <c r="K101" s="189" t="s">
        <v>370</v>
      </c>
      <c r="P101" s="145"/>
      <c r="AB101" s="141"/>
    </row>
    <row r="102" spans="1:28" x14ac:dyDescent="0.25">
      <c r="A102" s="190" t="s">
        <v>371</v>
      </c>
      <c r="C102" s="181"/>
      <c r="J102" s="189">
        <v>2.7</v>
      </c>
      <c r="K102" s="189" t="s">
        <v>372</v>
      </c>
      <c r="P102" s="145"/>
      <c r="AB102" s="141"/>
    </row>
    <row r="103" spans="1:28" x14ac:dyDescent="0.25">
      <c r="C103" s="181" t="s">
        <v>373</v>
      </c>
      <c r="J103" s="136">
        <f>J104/B94</f>
        <v>0.16071428571428573</v>
      </c>
      <c r="K103" s="136" t="s">
        <v>374</v>
      </c>
      <c r="P103" s="145"/>
      <c r="AB103" s="141"/>
    </row>
    <row r="104" spans="1:28" x14ac:dyDescent="0.25">
      <c r="C104" s="181" t="s">
        <v>221</v>
      </c>
      <c r="F104" s="187">
        <f>F99*$J$90</f>
        <v>11962.69</v>
      </c>
      <c r="G104" s="136" t="s">
        <v>222</v>
      </c>
      <c r="J104" s="136">
        <v>4.5</v>
      </c>
      <c r="K104" s="136" t="s">
        <v>375</v>
      </c>
      <c r="P104" s="145"/>
      <c r="AB104" s="141"/>
    </row>
    <row r="105" spans="1:28" x14ac:dyDescent="0.25">
      <c r="C105" s="181" t="s">
        <v>223</v>
      </c>
      <c r="F105" s="187">
        <f>F100*$J$90</f>
        <v>14.068115100000002</v>
      </c>
      <c r="G105" s="136" t="s">
        <v>116</v>
      </c>
      <c r="P105" s="145"/>
      <c r="AB105" s="141"/>
    </row>
    <row r="106" spans="1:28" x14ac:dyDescent="0.25">
      <c r="C106" s="181" t="s">
        <v>224</v>
      </c>
      <c r="F106" s="187">
        <f>F101*$J$90</f>
        <v>71.100000000000009</v>
      </c>
      <c r="G106" s="136" t="s">
        <v>116</v>
      </c>
      <c r="P106" s="145"/>
      <c r="AB106" s="141"/>
    </row>
    <row r="107" spans="1:28" x14ac:dyDescent="0.25">
      <c r="P107" s="145"/>
      <c r="AB107" s="141"/>
    </row>
    <row r="108" spans="1:28" x14ac:dyDescent="0.25">
      <c r="C108" s="136" t="s">
        <v>376</v>
      </c>
      <c r="P108" s="145"/>
      <c r="AB108" s="141"/>
    </row>
    <row r="109" spans="1:28" x14ac:dyDescent="0.25">
      <c r="A109" s="170"/>
      <c r="C109" s="171" t="s">
        <v>377</v>
      </c>
      <c r="D109" s="191">
        <f>J90</f>
        <v>3.4468999999999999</v>
      </c>
      <c r="E109" s="191"/>
      <c r="F109" s="171" t="s">
        <v>297</v>
      </c>
      <c r="P109" s="145"/>
      <c r="AB109" s="141"/>
    </row>
    <row r="110" spans="1:28" x14ac:dyDescent="0.25">
      <c r="C110" s="171" t="s">
        <v>378</v>
      </c>
      <c r="D110" s="192">
        <f>J92</f>
        <v>11962.69</v>
      </c>
      <c r="E110" s="192"/>
      <c r="F110" s="171" t="s">
        <v>222</v>
      </c>
      <c r="P110" s="145"/>
      <c r="AB110" s="141"/>
    </row>
    <row r="111" spans="1:28" x14ac:dyDescent="0.25">
      <c r="C111" s="171" t="s">
        <v>379</v>
      </c>
      <c r="D111" s="192">
        <f>D110/D109</f>
        <v>3470.5648553772958</v>
      </c>
      <c r="E111" s="192"/>
      <c r="F111" s="171" t="s">
        <v>368</v>
      </c>
      <c r="P111" s="145"/>
      <c r="AB111" s="141"/>
    </row>
    <row r="112" spans="1:28" x14ac:dyDescent="0.25">
      <c r="J112" s="136" t="s">
        <v>316</v>
      </c>
      <c r="P112" s="145"/>
      <c r="AB112" s="141"/>
    </row>
    <row r="113" spans="2:28" x14ac:dyDescent="0.25">
      <c r="C113" s="136" t="s">
        <v>380</v>
      </c>
      <c r="F113" s="136">
        <f>F90*(F66+F69)</f>
        <v>0.26340930000000001</v>
      </c>
      <c r="G113" s="136">
        <f>G90*(G66+G69)</f>
        <v>0.13292800000000002</v>
      </c>
      <c r="H113" s="136">
        <f>H90*(H66+H69)</f>
        <v>0.124704</v>
      </c>
      <c r="J113" s="136">
        <f>SUM(F113:H113)</f>
        <v>0.52104130000000004</v>
      </c>
      <c r="P113" s="145"/>
      <c r="AB113" s="141"/>
    </row>
    <row r="114" spans="2:28" x14ac:dyDescent="0.25">
      <c r="C114" s="136" t="s">
        <v>318</v>
      </c>
      <c r="F114" s="136">
        <f>F90*F68</f>
        <v>0.1090887</v>
      </c>
      <c r="G114" s="136">
        <f>G90*G68</f>
        <v>0.48608000000000001</v>
      </c>
      <c r="H114" s="136">
        <f>H90*H68</f>
        <v>0.14112</v>
      </c>
      <c r="J114" s="136">
        <f>SUM(F114:H114)</f>
        <v>0.73628870000000002</v>
      </c>
      <c r="P114" s="145"/>
      <c r="AB114" s="141"/>
    </row>
    <row r="115" spans="2:28" x14ac:dyDescent="0.25">
      <c r="P115" s="145"/>
      <c r="AB115" s="141"/>
    </row>
    <row r="116" spans="2:28" x14ac:dyDescent="0.25">
      <c r="P116" s="155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  <c r="AA116" s="156"/>
      <c r="AB116" s="157"/>
    </row>
    <row r="120" spans="2:28" x14ac:dyDescent="0.25">
      <c r="C120" s="136" t="s">
        <v>381</v>
      </c>
      <c r="S120" s="136" t="s">
        <v>382</v>
      </c>
    </row>
    <row r="121" spans="2:28" x14ac:dyDescent="0.25">
      <c r="C121" s="136" t="s">
        <v>383</v>
      </c>
      <c r="S121" s="137" t="s">
        <v>384</v>
      </c>
      <c r="T121" s="138"/>
      <c r="U121" s="138"/>
      <c r="V121" s="138"/>
      <c r="W121" s="138"/>
      <c r="X121" s="138"/>
      <c r="Y121" s="138"/>
    </row>
    <row r="122" spans="2:28" x14ac:dyDescent="0.25">
      <c r="C122" s="136" t="s">
        <v>385</v>
      </c>
      <c r="S122" s="145" t="s">
        <v>386</v>
      </c>
    </row>
    <row r="123" spans="2:28" x14ac:dyDescent="0.25">
      <c r="D123" s="136" t="s">
        <v>387</v>
      </c>
      <c r="S123" s="145"/>
    </row>
    <row r="124" spans="2:28" x14ac:dyDescent="0.25">
      <c r="C124" s="136" t="s">
        <v>388</v>
      </c>
      <c r="D124" s="153">
        <v>0.2</v>
      </c>
      <c r="E124" s="153"/>
      <c r="S124" s="145" t="s">
        <v>389</v>
      </c>
    </row>
    <row r="125" spans="2:28" x14ac:dyDescent="0.25">
      <c r="C125" s="136" t="s">
        <v>390</v>
      </c>
      <c r="D125" s="153">
        <v>0.35</v>
      </c>
      <c r="E125" s="153"/>
      <c r="S125" s="193" t="s">
        <v>391</v>
      </c>
    </row>
    <row r="126" spans="2:28" x14ac:dyDescent="0.25">
      <c r="S126" s="145" t="s">
        <v>226</v>
      </c>
    </row>
    <row r="127" spans="2:28" x14ac:dyDescent="0.25">
      <c r="S127" s="145">
        <v>140</v>
      </c>
      <c r="T127" s="136" t="s">
        <v>392</v>
      </c>
    </row>
    <row r="128" spans="2:28" ht="26.25" x14ac:dyDescent="0.4">
      <c r="B128" s="194" t="s">
        <v>393</v>
      </c>
    </row>
    <row r="129" spans="3:21" x14ac:dyDescent="0.25">
      <c r="C129" s="136" t="s">
        <v>394</v>
      </c>
      <c r="D129" s="136" t="s">
        <v>395</v>
      </c>
    </row>
    <row r="130" spans="3:21" x14ac:dyDescent="0.25">
      <c r="C130" s="136" t="s">
        <v>396</v>
      </c>
      <c r="D130" s="136" t="s">
        <v>397</v>
      </c>
    </row>
    <row r="131" spans="3:21" x14ac:dyDescent="0.25">
      <c r="C131" s="136" t="s">
        <v>398</v>
      </c>
      <c r="D131" s="136" t="s">
        <v>399</v>
      </c>
    </row>
    <row r="134" spans="3:21" x14ac:dyDescent="0.25">
      <c r="D134" s="165" t="s">
        <v>400</v>
      </c>
      <c r="E134" s="165"/>
      <c r="H134" s="165" t="s">
        <v>401</v>
      </c>
      <c r="J134" s="165" t="s">
        <v>402</v>
      </c>
      <c r="N134" s="136" t="s">
        <v>403</v>
      </c>
    </row>
    <row r="136" spans="3:21" x14ac:dyDescent="0.25">
      <c r="C136" s="136" t="s">
        <v>404</v>
      </c>
      <c r="D136" s="183">
        <f>F79</f>
        <v>4.8570000000000002</v>
      </c>
      <c r="E136" s="183"/>
      <c r="T136" s="136" t="s">
        <v>405</v>
      </c>
    </row>
    <row r="137" spans="3:21" x14ac:dyDescent="0.25">
      <c r="C137" s="136" t="s">
        <v>406</v>
      </c>
      <c r="D137" s="183"/>
      <c r="E137" s="183"/>
      <c r="H137" s="136">
        <f>P25*1000*0.74</f>
        <v>10072.222222222224</v>
      </c>
      <c r="K137" s="136">
        <f>H137*(1+T137)</f>
        <v>11079.444444444447</v>
      </c>
      <c r="N137" s="136">
        <f>(Q156/Q145)*(1+T140)</f>
        <v>43.490026666666672</v>
      </c>
      <c r="T137" s="153">
        <v>0.1</v>
      </c>
      <c r="U137" s="136" t="s">
        <v>407</v>
      </c>
    </row>
    <row r="138" spans="3:21" x14ac:dyDescent="0.25">
      <c r="C138" s="136" t="s">
        <v>408</v>
      </c>
      <c r="D138" s="136">
        <f>K90</f>
        <v>3.484</v>
      </c>
      <c r="F138" s="195">
        <f>D138/D136</f>
        <v>0.71731521515338681</v>
      </c>
    </row>
    <row r="139" spans="3:21" x14ac:dyDescent="0.25">
      <c r="C139" s="136" t="s">
        <v>409</v>
      </c>
      <c r="H139" s="136">
        <v>20</v>
      </c>
      <c r="K139" s="136">
        <v>20</v>
      </c>
      <c r="N139" s="136">
        <f>Q153</f>
        <v>10</v>
      </c>
      <c r="T139" s="136" t="s">
        <v>410</v>
      </c>
    </row>
    <row r="140" spans="3:21" x14ac:dyDescent="0.25">
      <c r="C140" s="136" t="s">
        <v>387</v>
      </c>
      <c r="N140" s="153">
        <f>Q161</f>
        <v>0.33</v>
      </c>
      <c r="T140" s="153">
        <v>0.3</v>
      </c>
      <c r="U140" s="136" t="s">
        <v>411</v>
      </c>
    </row>
    <row r="141" spans="3:21" x14ac:dyDescent="0.25">
      <c r="C141" s="165" t="s">
        <v>412</v>
      </c>
      <c r="H141" s="187"/>
    </row>
    <row r="142" spans="3:21" x14ac:dyDescent="0.25">
      <c r="C142" s="136" t="s">
        <v>221</v>
      </c>
      <c r="D142" s="187">
        <f>F99*3.6*1000000/1000000000</f>
        <v>12.494033479358265</v>
      </c>
      <c r="E142" s="187"/>
      <c r="F142" s="136" t="s">
        <v>369</v>
      </c>
      <c r="H142" s="196">
        <f>H64*3.6*1000000/1000000000</f>
        <v>8.64</v>
      </c>
      <c r="I142" s="196"/>
      <c r="J142" s="196">
        <f>H142</f>
        <v>8.64</v>
      </c>
      <c r="P142" s="136" t="s">
        <v>413</v>
      </c>
      <c r="Q142" s="136" t="s">
        <v>369</v>
      </c>
    </row>
    <row r="143" spans="3:21" x14ac:dyDescent="0.25">
      <c r="C143" s="136" t="s">
        <v>143</v>
      </c>
      <c r="D143" s="183">
        <f>F100</f>
        <v>4.0813818503582935</v>
      </c>
      <c r="E143" s="183"/>
      <c r="F143" s="136" t="s">
        <v>369</v>
      </c>
      <c r="H143" s="196">
        <f>(H66+H69)*Q143</f>
        <v>5.8455000000000004</v>
      </c>
      <c r="I143" s="196"/>
      <c r="J143" s="196">
        <f>K143*$H$146</f>
        <v>2.314737</v>
      </c>
      <c r="K143" s="179">
        <v>0.15</v>
      </c>
      <c r="L143" s="151" t="s">
        <v>414</v>
      </c>
      <c r="P143" s="197">
        <v>0.86</v>
      </c>
      <c r="Q143" s="139">
        <f>B93</f>
        <v>27</v>
      </c>
    </row>
    <row r="144" spans="3:21" x14ac:dyDescent="0.25">
      <c r="C144" s="136" t="s">
        <v>317</v>
      </c>
      <c r="D144" s="183">
        <f>F101</f>
        <v>20.627230264875688</v>
      </c>
      <c r="E144" s="183"/>
      <c r="F144" s="136" t="s">
        <v>369</v>
      </c>
      <c r="H144" s="196">
        <f>H67*Q144</f>
        <v>4.1859999999999999</v>
      </c>
      <c r="I144" s="196"/>
      <c r="J144" s="196">
        <f>K144*$H$146</f>
        <v>1.543158</v>
      </c>
      <c r="K144" s="179">
        <v>0.1</v>
      </c>
      <c r="L144" s="151" t="s">
        <v>414</v>
      </c>
      <c r="P144" s="198">
        <v>0.9</v>
      </c>
      <c r="Q144" s="139">
        <f>B94</f>
        <v>28</v>
      </c>
    </row>
    <row r="145" spans="2:21" x14ac:dyDescent="0.25">
      <c r="B145" s="189" t="s">
        <v>415</v>
      </c>
      <c r="C145" s="136" t="s">
        <v>416</v>
      </c>
      <c r="D145" s="183"/>
      <c r="E145" s="183"/>
      <c r="F145" s="136" t="s">
        <v>369</v>
      </c>
      <c r="H145" s="196">
        <f>Q145*H68</f>
        <v>7.7175000000000002</v>
      </c>
      <c r="I145" s="196"/>
      <c r="J145" s="196">
        <f>K145*$H$146/P145</f>
        <v>13.457773255813954</v>
      </c>
      <c r="K145" s="179">
        <v>0.75</v>
      </c>
      <c r="L145" s="151" t="s">
        <v>414</v>
      </c>
      <c r="P145" s="199">
        <v>0.86</v>
      </c>
      <c r="Q145" s="157">
        <f>S148/1000</f>
        <v>31.5</v>
      </c>
      <c r="S145" s="189" t="s">
        <v>417</v>
      </c>
    </row>
    <row r="146" spans="2:21" x14ac:dyDescent="0.25">
      <c r="B146" s="189" t="s">
        <v>418</v>
      </c>
      <c r="D146" s="200">
        <f>SUMPRODUCT(D143:D145,P143:P145)</f>
        <v>22.074495629696251</v>
      </c>
      <c r="E146" s="200"/>
      <c r="F146" s="165"/>
      <c r="G146" s="165"/>
      <c r="H146" s="201">
        <f>SUMPRODUCT(H143:H145,P143:P145)</f>
        <v>15.43158</v>
      </c>
      <c r="I146" s="201"/>
      <c r="J146" s="201">
        <f>SUMPRODUCT(J143:J145,P143:P145)</f>
        <v>14.953201020000002</v>
      </c>
      <c r="K146" s="181"/>
      <c r="S146" s="136" t="s">
        <v>419</v>
      </c>
    </row>
    <row r="147" spans="2:21" x14ac:dyDescent="0.25">
      <c r="C147" s="165" t="s">
        <v>435</v>
      </c>
      <c r="S147" s="136">
        <v>7500</v>
      </c>
      <c r="T147" s="136" t="s">
        <v>420</v>
      </c>
    </row>
    <row r="148" spans="2:21" x14ac:dyDescent="0.25">
      <c r="C148" s="136" t="s">
        <v>421</v>
      </c>
      <c r="D148" s="202">
        <v>3.2245200000000001</v>
      </c>
      <c r="E148" s="202"/>
      <c r="F148" s="202" t="s">
        <v>436</v>
      </c>
      <c r="G148" s="202"/>
      <c r="H148" s="202">
        <f>D148*((H144+H143)/H146)</f>
        <v>2.0961413141104153</v>
      </c>
      <c r="I148" s="202"/>
      <c r="J148" s="202">
        <f>D148*((J144+J143)/J146)</f>
        <v>0.83191950464396269</v>
      </c>
      <c r="S148" s="136">
        <f>S147*4.2</f>
        <v>31500</v>
      </c>
      <c r="T148" s="136" t="s">
        <v>422</v>
      </c>
      <c r="U148" s="136" t="s">
        <v>423</v>
      </c>
    </row>
    <row r="149" spans="2:21" x14ac:dyDescent="0.25">
      <c r="D149" s="136" t="s">
        <v>437</v>
      </c>
    </row>
    <row r="152" spans="2:21" x14ac:dyDescent="0.25">
      <c r="P152" s="136" t="s">
        <v>424</v>
      </c>
      <c r="U152" s="136" t="s">
        <v>425</v>
      </c>
    </row>
    <row r="153" spans="2:21" x14ac:dyDescent="0.25">
      <c r="P153" s="137" t="s">
        <v>426</v>
      </c>
      <c r="Q153" s="138">
        <v>10</v>
      </c>
      <c r="R153" s="138" t="s">
        <v>427</v>
      </c>
      <c r="S153" s="139"/>
      <c r="U153" s="136" t="s">
        <v>428</v>
      </c>
    </row>
    <row r="154" spans="2:21" x14ac:dyDescent="0.25">
      <c r="P154" s="145" t="s">
        <v>429</v>
      </c>
      <c r="Q154" s="136">
        <v>79</v>
      </c>
      <c r="R154" s="136" t="s">
        <v>430</v>
      </c>
      <c r="S154" s="141"/>
    </row>
    <row r="155" spans="2:21" x14ac:dyDescent="0.25">
      <c r="P155" s="145"/>
      <c r="Q155" s="136">
        <f>Q154*Q160</f>
        <v>88.48</v>
      </c>
      <c r="R155" s="136" t="s">
        <v>431</v>
      </c>
      <c r="S155" s="141"/>
    </row>
    <row r="156" spans="2:21" x14ac:dyDescent="0.25">
      <c r="P156" s="145"/>
      <c r="Q156" s="136">
        <f>Q155*Q159</f>
        <v>1053.7968000000001</v>
      </c>
      <c r="R156" s="136" t="s">
        <v>432</v>
      </c>
      <c r="S156" s="141"/>
    </row>
    <row r="157" spans="2:21" x14ac:dyDescent="0.25">
      <c r="P157" s="145"/>
      <c r="S157" s="141"/>
    </row>
    <row r="158" spans="2:21" x14ac:dyDescent="0.25">
      <c r="P158" s="145"/>
      <c r="S158" s="141"/>
    </row>
    <row r="159" spans="2:21" x14ac:dyDescent="0.25">
      <c r="P159" s="145"/>
      <c r="Q159" s="136">
        <v>11.91</v>
      </c>
      <c r="R159" s="136" t="s">
        <v>433</v>
      </c>
      <c r="S159" s="141"/>
    </row>
    <row r="160" spans="2:21" x14ac:dyDescent="0.25">
      <c r="P160" s="145"/>
      <c r="Q160" s="136">
        <v>1.1200000000000001</v>
      </c>
      <c r="R160" s="136" t="s">
        <v>434</v>
      </c>
      <c r="S160" s="141"/>
    </row>
    <row r="161" spans="6:19" x14ac:dyDescent="0.25">
      <c r="P161" s="145" t="s">
        <v>387</v>
      </c>
      <c r="Q161" s="153">
        <v>0.33</v>
      </c>
      <c r="S161" s="141"/>
    </row>
    <row r="162" spans="6:19" x14ac:dyDescent="0.25">
      <c r="P162" s="155"/>
      <c r="Q162" s="156"/>
      <c r="R162" s="156"/>
      <c r="S162" s="157"/>
    </row>
    <row r="174" spans="6:19" x14ac:dyDescent="0.25">
      <c r="F174" s="203"/>
    </row>
  </sheetData>
  <mergeCells count="12">
    <mergeCell ref="D21:D22"/>
    <mergeCell ref="D24:D25"/>
    <mergeCell ref="E24:E25"/>
    <mergeCell ref="D27:D28"/>
    <mergeCell ref="E27:E28"/>
    <mergeCell ref="C27:C28"/>
    <mergeCell ref="B3:B5"/>
    <mergeCell ref="B6:B8"/>
    <mergeCell ref="B9:B11"/>
    <mergeCell ref="B12:B14"/>
    <mergeCell ref="C21:C22"/>
    <mergeCell ref="C24:C25"/>
  </mergeCells>
  <hyperlinks>
    <hyperlink ref="P19" r:id="rId1" xr:uid="{8CFFA192-6679-4FBF-B0CE-9327F43C0D73}"/>
    <hyperlink ref="P30" r:id="rId2" xr:uid="{4E92E403-BC6C-4CC8-B0C3-0B98EF8FA85B}"/>
    <hyperlink ref="O27" r:id="rId3" xr:uid="{F6CDAB3A-729E-4516-A731-E27AF848E3AE}"/>
    <hyperlink ref="J29" r:id="rId4" xr:uid="{47D745A9-A6DA-4CAD-A438-F113815CB21C}"/>
    <hyperlink ref="P42" r:id="rId5" xr:uid="{C06A2F1B-A6EC-44D5-98D7-CFAA76692FB3}"/>
  </hyperlinks>
  <pageMargins left="0.7" right="0.7" top="0.75" bottom="0.75" header="0.3" footer="0.3"/>
  <pageSetup orientation="portrait" horizontalDpi="1200" verticalDpi="1200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99ED-D8EE-47BB-BB9F-A0BAC2754A54}">
  <sheetPr>
    <tabColor rgb="FF0000FF"/>
  </sheetPr>
  <dimension ref="B1:J25"/>
  <sheetViews>
    <sheetView zoomScaleNormal="100" workbookViewId="0">
      <selection activeCell="E55" sqref="E55"/>
    </sheetView>
  </sheetViews>
  <sheetFormatPr defaultRowHeight="12.75" x14ac:dyDescent="0.2"/>
  <cols>
    <col min="1" max="1" width="2.85546875" style="296" customWidth="1"/>
    <col min="2" max="3" width="19.42578125" style="296" customWidth="1"/>
    <col min="4" max="4" width="14.140625" style="296" customWidth="1"/>
    <col min="5" max="5" width="32.85546875" style="296" customWidth="1"/>
    <col min="6" max="6" width="9.5703125" style="296" bestFit="1" customWidth="1"/>
    <col min="7" max="7" width="11.42578125" style="296" bestFit="1" customWidth="1"/>
    <col min="8" max="8" width="12" style="296" customWidth="1"/>
    <col min="9" max="9" width="12.28515625" style="296" customWidth="1"/>
    <col min="10" max="10" width="10.28515625" style="296" customWidth="1"/>
    <col min="11" max="11" width="7.42578125" style="296" bestFit="1" customWidth="1"/>
    <col min="12" max="13" width="10.7109375" style="296" bestFit="1" customWidth="1"/>
    <col min="14" max="16384" width="9.140625" style="296"/>
  </cols>
  <sheetData>
    <row r="1" spans="2:10" ht="21.75" customHeight="1" x14ac:dyDescent="0.4">
      <c r="B1" s="295" t="s">
        <v>531</v>
      </c>
      <c r="C1" s="295"/>
    </row>
    <row r="4" spans="2:10" ht="15" x14ac:dyDescent="0.2">
      <c r="B4" s="297" t="s">
        <v>532</v>
      </c>
      <c r="C4" s="297"/>
    </row>
    <row r="6" spans="2:10" ht="18" x14ac:dyDescent="0.25">
      <c r="B6" s="298" t="s">
        <v>533</v>
      </c>
      <c r="C6" s="298"/>
      <c r="D6" s="299"/>
    </row>
    <row r="7" spans="2:10" ht="17.25" customHeight="1" x14ac:dyDescent="0.2">
      <c r="B7" s="300" t="s">
        <v>534</v>
      </c>
      <c r="C7" s="300"/>
    </row>
    <row r="8" spans="2:10" ht="18" customHeight="1" x14ac:dyDescent="0.2">
      <c r="B8" s="301" t="s">
        <v>535</v>
      </c>
      <c r="C8" s="302" t="s">
        <v>16</v>
      </c>
      <c r="D8" s="301" t="s">
        <v>40</v>
      </c>
      <c r="E8" s="301" t="s">
        <v>41</v>
      </c>
      <c r="F8" s="303" t="s">
        <v>441</v>
      </c>
      <c r="G8" s="303" t="s">
        <v>536</v>
      </c>
      <c r="H8" s="303" t="s">
        <v>537</v>
      </c>
      <c r="I8" s="303" t="s">
        <v>538</v>
      </c>
      <c r="J8" s="303" t="s">
        <v>539</v>
      </c>
    </row>
    <row r="9" spans="2:10" ht="39" thickBot="1" x14ac:dyDescent="0.25">
      <c r="B9" s="304" t="s">
        <v>540</v>
      </c>
      <c r="C9" s="305" t="s">
        <v>541</v>
      </c>
      <c r="D9" s="304" t="s">
        <v>542</v>
      </c>
      <c r="E9" s="304" t="s">
        <v>543</v>
      </c>
      <c r="F9" s="304" t="s">
        <v>441</v>
      </c>
      <c r="G9" s="304" t="s">
        <v>544</v>
      </c>
      <c r="H9" s="304" t="s">
        <v>545</v>
      </c>
      <c r="I9" s="304" t="s">
        <v>546</v>
      </c>
      <c r="J9" s="304" t="s">
        <v>547</v>
      </c>
    </row>
    <row r="10" spans="2:10" x14ac:dyDescent="0.2">
      <c r="B10" s="29" t="s">
        <v>30</v>
      </c>
      <c r="C10" s="29" t="s">
        <v>128</v>
      </c>
      <c r="D10" s="29" t="s">
        <v>220</v>
      </c>
      <c r="E10" s="29" t="s">
        <v>572</v>
      </c>
      <c r="F10" s="29" t="s">
        <v>116</v>
      </c>
      <c r="G10" s="29"/>
      <c r="H10" s="29" t="s">
        <v>124</v>
      </c>
      <c r="I10" s="29"/>
      <c r="J10" s="29"/>
    </row>
    <row r="11" spans="2:10" x14ac:dyDescent="0.2">
      <c r="B11" s="29" t="s">
        <v>30</v>
      </c>
      <c r="C11" s="29" t="s">
        <v>128</v>
      </c>
      <c r="D11" s="29" t="s">
        <v>473</v>
      </c>
      <c r="E11" s="29" t="s">
        <v>573</v>
      </c>
      <c r="F11" s="29" t="s">
        <v>116</v>
      </c>
      <c r="G11" s="29"/>
      <c r="H11" s="29" t="s">
        <v>124</v>
      </c>
      <c r="I11" s="29"/>
      <c r="J11" s="29"/>
    </row>
    <row r="12" spans="2:10" x14ac:dyDescent="0.2">
      <c r="B12" s="29" t="s">
        <v>38</v>
      </c>
      <c r="C12" s="29" t="s">
        <v>128</v>
      </c>
      <c r="D12" s="29" t="s">
        <v>202</v>
      </c>
      <c r="E12" s="29" t="s">
        <v>569</v>
      </c>
      <c r="F12" s="29" t="s">
        <v>116</v>
      </c>
      <c r="G12" s="29"/>
      <c r="H12" s="29" t="s">
        <v>570</v>
      </c>
      <c r="I12" s="29"/>
      <c r="J12" s="29" t="s">
        <v>571</v>
      </c>
    </row>
    <row r="13" spans="2:10" x14ac:dyDescent="0.2">
      <c r="B13" s="29" t="s">
        <v>38</v>
      </c>
      <c r="C13" s="29" t="s">
        <v>128</v>
      </c>
      <c r="D13" s="31" t="s">
        <v>589</v>
      </c>
      <c r="E13" s="31" t="s">
        <v>574</v>
      </c>
      <c r="F13" s="29" t="s">
        <v>116</v>
      </c>
      <c r="G13" s="306"/>
      <c r="H13" s="29" t="s">
        <v>124</v>
      </c>
      <c r="I13" s="306"/>
      <c r="J13" s="306"/>
    </row>
    <row r="14" spans="2:10" x14ac:dyDescent="0.2">
      <c r="B14" s="29" t="s">
        <v>38</v>
      </c>
      <c r="C14" s="29" t="s">
        <v>128</v>
      </c>
      <c r="D14" s="29" t="s">
        <v>204</v>
      </c>
      <c r="E14" s="29" t="s">
        <v>205</v>
      </c>
      <c r="F14" s="29" t="s">
        <v>116</v>
      </c>
      <c r="H14" s="29" t="s">
        <v>124</v>
      </c>
    </row>
    <row r="15" spans="2:10" x14ac:dyDescent="0.2">
      <c r="B15" s="29" t="s">
        <v>38</v>
      </c>
      <c r="C15" s="29" t="s">
        <v>128</v>
      </c>
      <c r="D15" s="29" t="s">
        <v>206</v>
      </c>
      <c r="E15" s="29" t="s">
        <v>207</v>
      </c>
      <c r="F15" s="29" t="s">
        <v>116</v>
      </c>
      <c r="H15" s="29" t="s">
        <v>124</v>
      </c>
    </row>
    <row r="16" spans="2:10" x14ac:dyDescent="0.2">
      <c r="B16" s="16" t="s">
        <v>32</v>
      </c>
      <c r="C16" s="29" t="s">
        <v>128</v>
      </c>
      <c r="D16" s="9" t="s">
        <v>228</v>
      </c>
      <c r="E16" s="9" t="s">
        <v>229</v>
      </c>
      <c r="F16" s="16" t="s">
        <v>120</v>
      </c>
      <c r="H16" s="9" t="s">
        <v>124</v>
      </c>
    </row>
    <row r="17" spans="2:8" x14ac:dyDescent="0.2">
      <c r="B17" s="16" t="s">
        <v>32</v>
      </c>
      <c r="C17" s="29" t="s">
        <v>128</v>
      </c>
      <c r="D17" s="9" t="s">
        <v>515</v>
      </c>
      <c r="E17" s="9" t="s">
        <v>514</v>
      </c>
      <c r="F17" s="16" t="s">
        <v>120</v>
      </c>
      <c r="H17" s="9" t="s">
        <v>124</v>
      </c>
    </row>
    <row r="18" spans="2:8" x14ac:dyDescent="0.2">
      <c r="B18" s="16" t="s">
        <v>32</v>
      </c>
      <c r="C18" s="29" t="s">
        <v>128</v>
      </c>
      <c r="D18" s="29" t="s">
        <v>186</v>
      </c>
      <c r="E18" s="29" t="s">
        <v>187</v>
      </c>
      <c r="F18" s="16" t="s">
        <v>120</v>
      </c>
      <c r="H18" s="9" t="s">
        <v>124</v>
      </c>
    </row>
    <row r="25" spans="2:8" x14ac:dyDescent="0.2">
      <c r="D25" s="9"/>
      <c r="E25" s="9"/>
      <c r="F25" s="16"/>
      <c r="G25" s="16"/>
      <c r="H25" s="9"/>
    </row>
  </sheetData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D7DD-F711-45B5-8D7B-68F194C085C4}">
  <dimension ref="A2:Q63"/>
  <sheetViews>
    <sheetView zoomScaleNormal="100" workbookViewId="0">
      <selection activeCell="R46" sqref="R45:R46"/>
    </sheetView>
  </sheetViews>
  <sheetFormatPr defaultColWidth="9.140625" defaultRowHeight="15.75" x14ac:dyDescent="0.25"/>
  <cols>
    <col min="1" max="1" width="9.140625" style="136"/>
    <col min="2" max="2" width="23.28515625" style="136" customWidth="1"/>
    <col min="3" max="3" width="9.140625" style="136"/>
    <col min="4" max="4" width="14.140625" style="136" bestFit="1" customWidth="1"/>
    <col min="5" max="5" width="11.28515625" style="136" bestFit="1" customWidth="1"/>
    <col min="6" max="6" width="13.5703125" style="136" bestFit="1" customWidth="1"/>
    <col min="7" max="7" width="11.28515625" style="136" bestFit="1" customWidth="1"/>
    <col min="8" max="8" width="13.7109375" style="136" customWidth="1"/>
    <col min="9" max="10" width="11.28515625" style="136" bestFit="1" customWidth="1"/>
    <col min="11" max="14" width="9.140625" style="136"/>
    <col min="15" max="17" width="14.140625" style="136" bestFit="1" customWidth="1"/>
    <col min="18" max="16384" width="9.140625" style="136"/>
  </cols>
  <sheetData>
    <row r="2" spans="1:17" ht="23.25" x14ac:dyDescent="0.35">
      <c r="A2" s="204" t="s">
        <v>377</v>
      </c>
    </row>
    <row r="4" spans="1:17" x14ac:dyDescent="0.25">
      <c r="B4" s="136" t="s">
        <v>439</v>
      </c>
    </row>
    <row r="5" spans="1:17" x14ac:dyDescent="0.25">
      <c r="B5" s="205" t="s">
        <v>440</v>
      </c>
      <c r="C5" s="138"/>
      <c r="D5" s="138" t="s">
        <v>441</v>
      </c>
      <c r="E5" s="206">
        <v>2012</v>
      </c>
      <c r="F5" s="206">
        <v>2013</v>
      </c>
      <c r="G5" s="206">
        <v>2014</v>
      </c>
      <c r="H5" s="206">
        <v>2015</v>
      </c>
      <c r="I5" s="206">
        <v>2016</v>
      </c>
      <c r="J5" s="206">
        <v>2017</v>
      </c>
      <c r="K5" s="139"/>
    </row>
    <row r="6" spans="1:17" x14ac:dyDescent="0.25">
      <c r="B6" s="145" t="s">
        <v>442</v>
      </c>
      <c r="D6" s="136" t="s">
        <v>443</v>
      </c>
      <c r="E6" s="207">
        <v>3063000</v>
      </c>
      <c r="F6" s="207">
        <v>3219000</v>
      </c>
      <c r="G6" s="207">
        <v>3719000</v>
      </c>
      <c r="H6" s="207">
        <v>3685000</v>
      </c>
      <c r="I6" s="207">
        <v>3334705.7</v>
      </c>
      <c r="J6" s="207">
        <v>3370941.2</v>
      </c>
      <c r="K6" s="141"/>
    </row>
    <row r="7" spans="1:17" x14ac:dyDescent="0.25">
      <c r="B7" s="145" t="s">
        <v>444</v>
      </c>
      <c r="D7" s="136" t="s">
        <v>443</v>
      </c>
      <c r="E7" s="207">
        <v>706000</v>
      </c>
      <c r="F7" s="207">
        <v>681000</v>
      </c>
      <c r="G7" s="207">
        <v>814263</v>
      </c>
      <c r="H7" s="207">
        <v>492000</v>
      </c>
      <c r="I7" s="207">
        <v>684016.60000000009</v>
      </c>
      <c r="J7" s="207">
        <v>707122.60000000009</v>
      </c>
      <c r="K7" s="141"/>
    </row>
    <row r="8" spans="1:17" x14ac:dyDescent="0.25">
      <c r="B8" s="145" t="s">
        <v>445</v>
      </c>
      <c r="D8" s="136" t="s">
        <v>443</v>
      </c>
      <c r="E8" s="207">
        <v>177000</v>
      </c>
      <c r="F8" s="207">
        <v>163000</v>
      </c>
      <c r="G8" s="207">
        <v>194737</v>
      </c>
      <c r="H8" s="207">
        <v>123000</v>
      </c>
      <c r="I8" s="207">
        <v>163139.26354372373</v>
      </c>
      <c r="J8" s="207">
        <v>155493.5440824645</v>
      </c>
      <c r="K8" s="141"/>
    </row>
    <row r="9" spans="1:17" x14ac:dyDescent="0.25">
      <c r="B9" s="145" t="s">
        <v>446</v>
      </c>
      <c r="D9" s="136" t="s">
        <v>443</v>
      </c>
      <c r="E9" s="207">
        <v>83100</v>
      </c>
      <c r="F9" s="207">
        <v>78400</v>
      </c>
      <c r="G9" s="207">
        <v>87700</v>
      </c>
      <c r="H9" s="207">
        <v>138000</v>
      </c>
      <c r="I9" s="207">
        <v>105948</v>
      </c>
      <c r="J9" s="207">
        <v>104183</v>
      </c>
      <c r="K9" s="141"/>
    </row>
    <row r="10" spans="1:17" x14ac:dyDescent="0.25">
      <c r="B10" s="145" t="s">
        <v>447</v>
      </c>
      <c r="D10" s="136" t="s">
        <v>443</v>
      </c>
      <c r="E10" s="207">
        <v>53000</v>
      </c>
      <c r="F10" s="207">
        <v>34000</v>
      </c>
      <c r="G10" s="207">
        <v>47200</v>
      </c>
      <c r="H10" s="207">
        <v>42600</v>
      </c>
      <c r="I10" s="207">
        <v>38251.659999999996</v>
      </c>
      <c r="J10" s="207">
        <v>35013.760000000002</v>
      </c>
      <c r="K10" s="141"/>
    </row>
    <row r="11" spans="1:17" x14ac:dyDescent="0.25">
      <c r="B11" s="155"/>
      <c r="C11" s="156"/>
      <c r="D11" s="156"/>
      <c r="E11" s="156"/>
      <c r="F11" s="156"/>
      <c r="G11" s="156"/>
      <c r="H11" s="156"/>
      <c r="I11" s="156"/>
      <c r="J11" s="156"/>
      <c r="K11" s="157"/>
    </row>
    <row r="14" spans="1:17" x14ac:dyDescent="0.25">
      <c r="B14" s="136" t="s">
        <v>448</v>
      </c>
    </row>
    <row r="15" spans="1:17" x14ac:dyDescent="0.25">
      <c r="B15" s="137"/>
      <c r="C15" s="138"/>
      <c r="D15" s="138"/>
      <c r="E15" s="138"/>
      <c r="F15" s="138"/>
      <c r="G15" s="138"/>
      <c r="H15" s="138"/>
      <c r="I15" s="138"/>
      <c r="J15" s="138"/>
      <c r="K15" s="139"/>
      <c r="O15" s="206">
        <v>2015</v>
      </c>
      <c r="P15" s="206">
        <v>2016</v>
      </c>
      <c r="Q15" s="206">
        <v>2017</v>
      </c>
    </row>
    <row r="16" spans="1:17" x14ac:dyDescent="0.25">
      <c r="B16" s="145" t="s">
        <v>449</v>
      </c>
      <c r="E16" s="166">
        <f t="shared" ref="E16:J16" si="0">E6</f>
        <v>3063000</v>
      </c>
      <c r="F16" s="166">
        <f t="shared" si="0"/>
        <v>3219000</v>
      </c>
      <c r="G16" s="166">
        <f t="shared" si="0"/>
        <v>3719000</v>
      </c>
      <c r="H16" s="166">
        <f t="shared" si="0"/>
        <v>3685000</v>
      </c>
      <c r="I16" s="166">
        <f t="shared" si="0"/>
        <v>3334705.7</v>
      </c>
      <c r="J16" s="166">
        <f t="shared" si="0"/>
        <v>3370941.2</v>
      </c>
      <c r="K16" s="141"/>
      <c r="N16" s="145" t="s">
        <v>449</v>
      </c>
      <c r="O16" s="207">
        <v>3685000</v>
      </c>
      <c r="P16" s="207">
        <v>3334705.7</v>
      </c>
      <c r="Q16" s="207">
        <v>3370941.2</v>
      </c>
    </row>
    <row r="17" spans="1:17" x14ac:dyDescent="0.25">
      <c r="B17" s="145" t="s">
        <v>450</v>
      </c>
      <c r="E17" s="166">
        <f t="shared" ref="E17:J17" si="1">E7+E8</f>
        <v>883000</v>
      </c>
      <c r="F17" s="166">
        <f t="shared" si="1"/>
        <v>844000</v>
      </c>
      <c r="G17" s="166">
        <f t="shared" si="1"/>
        <v>1009000</v>
      </c>
      <c r="H17" s="166">
        <f t="shared" si="1"/>
        <v>615000</v>
      </c>
      <c r="I17" s="166">
        <f t="shared" si="1"/>
        <v>847155.86354372383</v>
      </c>
      <c r="J17" s="166">
        <f t="shared" si="1"/>
        <v>862616.14408246463</v>
      </c>
      <c r="K17" s="141"/>
      <c r="N17" s="145" t="s">
        <v>450</v>
      </c>
      <c r="O17" s="207">
        <v>615000</v>
      </c>
      <c r="P17" s="207">
        <v>847155.86354372383</v>
      </c>
      <c r="Q17" s="207">
        <v>862616.14408246463</v>
      </c>
    </row>
    <row r="18" spans="1:17" x14ac:dyDescent="0.25">
      <c r="B18" s="145" t="s">
        <v>451</v>
      </c>
      <c r="E18" s="166">
        <f t="shared" ref="E18:J18" si="2">E9+E10</f>
        <v>136100</v>
      </c>
      <c r="F18" s="166">
        <f t="shared" si="2"/>
        <v>112400</v>
      </c>
      <c r="G18" s="166">
        <f t="shared" si="2"/>
        <v>134900</v>
      </c>
      <c r="H18" s="166">
        <f t="shared" si="2"/>
        <v>180600</v>
      </c>
      <c r="I18" s="166">
        <f t="shared" si="2"/>
        <v>144199.66</v>
      </c>
      <c r="J18" s="166">
        <f t="shared" si="2"/>
        <v>139196.76</v>
      </c>
      <c r="K18" s="141"/>
      <c r="N18" s="145" t="s">
        <v>451</v>
      </c>
      <c r="O18" s="207">
        <v>180600</v>
      </c>
      <c r="P18" s="207">
        <v>144199.66</v>
      </c>
      <c r="Q18" s="207">
        <v>139196.76</v>
      </c>
    </row>
    <row r="19" spans="1:17" x14ac:dyDescent="0.25">
      <c r="B19" s="145"/>
      <c r="E19" s="166">
        <f t="shared" ref="E19:J19" si="3">SUM(E16:E18)</f>
        <v>4082100</v>
      </c>
      <c r="F19" s="166">
        <f t="shared" si="3"/>
        <v>4175400</v>
      </c>
      <c r="G19" s="166">
        <f t="shared" si="3"/>
        <v>4862900</v>
      </c>
      <c r="H19" s="166">
        <f t="shared" si="3"/>
        <v>4480600</v>
      </c>
      <c r="I19" s="166">
        <f t="shared" si="3"/>
        <v>4326061.223543724</v>
      </c>
      <c r="J19" s="166">
        <f t="shared" si="3"/>
        <v>4372754.1040824642</v>
      </c>
      <c r="K19" s="141"/>
      <c r="N19" s="145" t="s">
        <v>452</v>
      </c>
      <c r="O19" s="207">
        <v>4480600</v>
      </c>
      <c r="P19" s="207">
        <v>4326061.223543724</v>
      </c>
      <c r="Q19" s="207">
        <v>4372754.1040824642</v>
      </c>
    </row>
    <row r="20" spans="1:17" x14ac:dyDescent="0.25">
      <c r="B20" s="155"/>
      <c r="C20" s="156"/>
      <c r="D20" s="156"/>
      <c r="E20" s="156"/>
      <c r="F20" s="156"/>
      <c r="G20" s="156"/>
      <c r="H20" s="156"/>
      <c r="I20" s="156"/>
      <c r="J20" s="156"/>
      <c r="K20" s="157"/>
    </row>
    <row r="24" spans="1:17" ht="23.25" x14ac:dyDescent="0.35">
      <c r="A24" s="204" t="s">
        <v>226</v>
      </c>
    </row>
    <row r="26" spans="1:17" ht="50.25" customHeight="1" x14ac:dyDescent="0.25">
      <c r="B26" s="137"/>
      <c r="C26" s="138"/>
      <c r="D26" s="208" t="s">
        <v>453</v>
      </c>
      <c r="E26" s="139"/>
    </row>
    <row r="27" spans="1:17" x14ac:dyDescent="0.25">
      <c r="B27" s="145" t="s">
        <v>442</v>
      </c>
      <c r="D27" s="207">
        <v>3719000</v>
      </c>
      <c r="E27" s="141"/>
    </row>
    <row r="28" spans="1:17" x14ac:dyDescent="0.25">
      <c r="B28" s="145" t="s">
        <v>444</v>
      </c>
      <c r="D28" s="207">
        <v>814263</v>
      </c>
      <c r="E28" s="141"/>
    </row>
    <row r="29" spans="1:17" x14ac:dyDescent="0.25">
      <c r="B29" s="145" t="s">
        <v>445</v>
      </c>
      <c r="D29" s="207">
        <v>350000</v>
      </c>
      <c r="E29" s="141"/>
    </row>
    <row r="30" spans="1:17" x14ac:dyDescent="0.25">
      <c r="B30" s="145" t="s">
        <v>446</v>
      </c>
      <c r="D30" s="207">
        <v>148900</v>
      </c>
      <c r="E30" s="141"/>
    </row>
    <row r="31" spans="1:17" x14ac:dyDescent="0.25">
      <c r="B31" s="145" t="s">
        <v>447</v>
      </c>
      <c r="D31" s="207">
        <v>58800</v>
      </c>
      <c r="E31" s="141"/>
    </row>
    <row r="32" spans="1:17" x14ac:dyDescent="0.25">
      <c r="B32" s="155"/>
      <c r="C32" s="156"/>
      <c r="D32" s="156"/>
      <c r="E32" s="157"/>
    </row>
    <row r="35" spans="2:12" x14ac:dyDescent="0.25">
      <c r="B35" s="136" t="s">
        <v>454</v>
      </c>
    </row>
    <row r="36" spans="2:12" x14ac:dyDescent="0.25">
      <c r="B36" s="137"/>
      <c r="C36" s="138"/>
      <c r="D36" s="138"/>
      <c r="E36" s="138"/>
      <c r="F36" s="138"/>
      <c r="G36" s="138"/>
      <c r="H36" s="138"/>
      <c r="I36" s="138"/>
      <c r="J36" s="138"/>
      <c r="K36" s="139"/>
    </row>
    <row r="37" spans="2:12" x14ac:dyDescent="0.25">
      <c r="B37" s="145" t="s">
        <v>449</v>
      </c>
      <c r="D37" s="166">
        <f>D27</f>
        <v>3719000</v>
      </c>
      <c r="F37" s="136">
        <f>D37/$D$40</f>
        <v>0.73051012156246276</v>
      </c>
      <c r="K37" s="141"/>
    </row>
    <row r="38" spans="2:12" x14ac:dyDescent="0.25">
      <c r="B38" s="145" t="s">
        <v>450</v>
      </c>
      <c r="D38" s="166">
        <f>D29+D28</f>
        <v>1164263</v>
      </c>
      <c r="F38" s="136">
        <f>D38/$D$40</f>
        <v>0.2286920961711959</v>
      </c>
      <c r="K38" s="141"/>
    </row>
    <row r="39" spans="2:12" x14ac:dyDescent="0.25">
      <c r="B39" s="145" t="s">
        <v>451</v>
      </c>
      <c r="D39" s="166">
        <f>D31+D30</f>
        <v>207700</v>
      </c>
      <c r="F39" s="136">
        <f>D39/$D$40</f>
        <v>4.0797782266341356E-2</v>
      </c>
      <c r="K39" s="141"/>
    </row>
    <row r="40" spans="2:12" x14ac:dyDescent="0.25">
      <c r="B40" s="145" t="s">
        <v>455</v>
      </c>
      <c r="D40" s="166">
        <f>SUM(D37:D39)</f>
        <v>5090963</v>
      </c>
      <c r="K40" s="141"/>
    </row>
    <row r="41" spans="2:12" x14ac:dyDescent="0.25">
      <c r="B41" s="155"/>
      <c r="C41" s="156"/>
      <c r="D41" s="156"/>
      <c r="E41" s="156"/>
      <c r="F41" s="156"/>
      <c r="G41" s="156"/>
      <c r="H41" s="156"/>
      <c r="I41" s="156"/>
      <c r="J41" s="156"/>
      <c r="K41" s="157"/>
    </row>
    <row r="45" spans="2:12" x14ac:dyDescent="0.25">
      <c r="B45" s="136" t="s">
        <v>456</v>
      </c>
    </row>
    <row r="46" spans="2:12" x14ac:dyDescent="0.25">
      <c r="B46" s="137"/>
      <c r="C46" s="138"/>
      <c r="D46" s="138"/>
      <c r="E46" s="138"/>
      <c r="F46" s="138"/>
      <c r="G46" s="138"/>
      <c r="H46" s="138"/>
      <c r="I46" s="138"/>
      <c r="J46" s="138"/>
      <c r="K46" s="138"/>
      <c r="L46" s="139"/>
    </row>
    <row r="47" spans="2:12" ht="28.5" x14ac:dyDescent="0.25">
      <c r="B47" s="209" t="s">
        <v>457</v>
      </c>
      <c r="C47" s="210" t="s">
        <v>458</v>
      </c>
      <c r="D47" s="211"/>
      <c r="E47" s="331" t="s">
        <v>459</v>
      </c>
      <c r="F47" s="332"/>
      <c r="G47" s="333" t="s">
        <v>460</v>
      </c>
      <c r="H47" s="333"/>
      <c r="I47" s="333"/>
      <c r="L47" s="141"/>
    </row>
    <row r="48" spans="2:12" ht="28.5" x14ac:dyDescent="0.25">
      <c r="B48" s="212"/>
      <c r="C48" s="213"/>
      <c r="D48" s="214" t="s">
        <v>461</v>
      </c>
      <c r="E48" s="215" t="s">
        <v>21</v>
      </c>
      <c r="F48" s="216" t="s">
        <v>462</v>
      </c>
      <c r="G48" s="334" t="s">
        <v>463</v>
      </c>
      <c r="H48" s="334"/>
      <c r="I48" s="217" t="s">
        <v>462</v>
      </c>
      <c r="L48" s="141"/>
    </row>
    <row r="49" spans="2:12" x14ac:dyDescent="0.25">
      <c r="B49" s="218"/>
      <c r="C49" s="219" t="s">
        <v>464</v>
      </c>
      <c r="D49" s="220" t="s">
        <v>464</v>
      </c>
      <c r="E49" s="219" t="s">
        <v>465</v>
      </c>
      <c r="F49" s="221" t="s">
        <v>466</v>
      </c>
      <c r="G49" s="219" t="s">
        <v>464</v>
      </c>
      <c r="H49" s="222" t="s">
        <v>465</v>
      </c>
      <c r="I49" s="219" t="s">
        <v>466</v>
      </c>
      <c r="L49" s="141"/>
    </row>
    <row r="50" spans="2:12" x14ac:dyDescent="0.25">
      <c r="B50" s="223">
        <v>2006</v>
      </c>
      <c r="C50" s="224">
        <v>3030</v>
      </c>
      <c r="D50" s="225">
        <v>353</v>
      </c>
      <c r="E50" s="224">
        <v>1352224</v>
      </c>
      <c r="F50" s="226">
        <v>3832</v>
      </c>
      <c r="G50" s="227">
        <v>2581</v>
      </c>
      <c r="H50" s="228">
        <v>10370421</v>
      </c>
      <c r="I50" s="229">
        <v>4017</v>
      </c>
      <c r="L50" s="141"/>
    </row>
    <row r="51" spans="2:12" x14ac:dyDescent="0.25">
      <c r="B51" s="230">
        <v>2007</v>
      </c>
      <c r="C51" s="231">
        <v>3552</v>
      </c>
      <c r="D51" s="232">
        <v>395</v>
      </c>
      <c r="E51" s="231">
        <v>1995161</v>
      </c>
      <c r="F51" s="233">
        <v>5047</v>
      </c>
      <c r="G51" s="234">
        <v>2969</v>
      </c>
      <c r="H51" s="235">
        <v>15520338</v>
      </c>
      <c r="I51" s="236">
        <v>5227</v>
      </c>
      <c r="L51" s="141"/>
    </row>
    <row r="52" spans="2:12" x14ac:dyDescent="0.25">
      <c r="B52" s="230">
        <v>2008</v>
      </c>
      <c r="C52" s="231">
        <v>3269</v>
      </c>
      <c r="D52" s="232">
        <v>334</v>
      </c>
      <c r="E52" s="231">
        <v>3415822</v>
      </c>
      <c r="F52" s="233">
        <v>10227</v>
      </c>
      <c r="G52" s="234">
        <v>2525</v>
      </c>
      <c r="H52" s="235">
        <v>28355767</v>
      </c>
      <c r="I52" s="234">
        <v>11230</v>
      </c>
      <c r="L52" s="141"/>
    </row>
    <row r="53" spans="2:12" x14ac:dyDescent="0.25">
      <c r="B53" s="230">
        <v>2009</v>
      </c>
      <c r="C53" s="231">
        <v>2346</v>
      </c>
      <c r="D53" s="232">
        <v>432</v>
      </c>
      <c r="E53" s="231">
        <v>2252973</v>
      </c>
      <c r="F53" s="233">
        <v>5215</v>
      </c>
      <c r="G53" s="234">
        <v>2621</v>
      </c>
      <c r="H53" s="235">
        <v>15881599</v>
      </c>
      <c r="I53" s="236">
        <v>6059</v>
      </c>
      <c r="L53" s="141"/>
    </row>
    <row r="54" spans="2:12" x14ac:dyDescent="0.25">
      <c r="B54" s="230">
        <v>2010</v>
      </c>
      <c r="C54" s="231">
        <v>3607</v>
      </c>
      <c r="D54" s="232">
        <v>397</v>
      </c>
      <c r="E54" s="231">
        <v>2851837</v>
      </c>
      <c r="F54" s="233">
        <v>7183</v>
      </c>
      <c r="G54" s="234">
        <v>3116</v>
      </c>
      <c r="H54" s="235">
        <v>24216069</v>
      </c>
      <c r="I54" s="236">
        <v>7772</v>
      </c>
      <c r="L54" s="141"/>
    </row>
    <row r="55" spans="2:12" x14ac:dyDescent="0.25">
      <c r="B55" s="230">
        <v>2011</v>
      </c>
      <c r="C55" s="231">
        <v>3426</v>
      </c>
      <c r="D55" s="232">
        <v>451</v>
      </c>
      <c r="E55" s="231">
        <v>3430563</v>
      </c>
      <c r="F55" s="233">
        <v>7620</v>
      </c>
      <c r="G55" s="234">
        <v>3048</v>
      </c>
      <c r="H55" s="235">
        <v>23793442</v>
      </c>
      <c r="I55" s="236">
        <v>7817</v>
      </c>
      <c r="L55" s="141"/>
    </row>
    <row r="56" spans="2:12" x14ac:dyDescent="0.25">
      <c r="B56" s="230">
        <v>2012</v>
      </c>
      <c r="C56" s="231">
        <v>3063</v>
      </c>
      <c r="D56" s="232">
        <v>443</v>
      </c>
      <c r="E56" s="231">
        <v>3402210</v>
      </c>
      <c r="F56" s="233">
        <v>7677</v>
      </c>
      <c r="G56" s="234">
        <v>2745</v>
      </c>
      <c r="H56" s="235">
        <v>22290876</v>
      </c>
      <c r="I56" s="236">
        <v>8120</v>
      </c>
      <c r="L56" s="141"/>
    </row>
    <row r="57" spans="2:12" x14ac:dyDescent="0.25">
      <c r="B57" s="230">
        <v>2013</v>
      </c>
      <c r="C57" s="231">
        <v>3219</v>
      </c>
      <c r="D57" s="232">
        <v>360</v>
      </c>
      <c r="E57" s="231">
        <v>2983322</v>
      </c>
      <c r="F57" s="233">
        <v>8286</v>
      </c>
      <c r="G57" s="234">
        <v>2802</v>
      </c>
      <c r="H57" s="235">
        <v>25552642</v>
      </c>
      <c r="I57" s="236">
        <v>9120</v>
      </c>
      <c r="L57" s="141"/>
    </row>
    <row r="58" spans="2:12" x14ac:dyDescent="0.25">
      <c r="B58" s="230">
        <v>2014</v>
      </c>
      <c r="C58" s="231">
        <v>3719</v>
      </c>
      <c r="D58" s="232">
        <v>571</v>
      </c>
      <c r="E58" s="231">
        <v>5105685</v>
      </c>
      <c r="F58" s="233">
        <v>8937</v>
      </c>
      <c r="G58" s="234">
        <v>3192</v>
      </c>
      <c r="H58" s="235">
        <v>31079849</v>
      </c>
      <c r="I58" s="236">
        <v>9737</v>
      </c>
      <c r="L58" s="141"/>
    </row>
    <row r="59" spans="2:12" x14ac:dyDescent="0.25">
      <c r="B59" s="230">
        <v>2015</v>
      </c>
      <c r="C59" s="231">
        <v>3685</v>
      </c>
      <c r="D59" s="232">
        <v>613</v>
      </c>
      <c r="E59" s="231">
        <v>5678536</v>
      </c>
      <c r="F59" s="233">
        <v>9265</v>
      </c>
      <c r="G59" s="234">
        <v>3101</v>
      </c>
      <c r="H59" s="235">
        <v>30284468</v>
      </c>
      <c r="I59" s="236">
        <v>9767</v>
      </c>
      <c r="L59" s="141"/>
    </row>
    <row r="60" spans="2:12" x14ac:dyDescent="0.25">
      <c r="B60" s="230">
        <v>2016</v>
      </c>
      <c r="C60" s="231">
        <v>3524</v>
      </c>
      <c r="D60" s="232">
        <v>533</v>
      </c>
      <c r="E60" s="231">
        <v>5192025</v>
      </c>
      <c r="F60" s="233">
        <v>9733</v>
      </c>
      <c r="G60" s="234">
        <v>3284</v>
      </c>
      <c r="H60" s="235">
        <v>33379185</v>
      </c>
      <c r="I60" s="234">
        <v>10163</v>
      </c>
      <c r="L60" s="141"/>
    </row>
    <row r="61" spans="2:12" x14ac:dyDescent="0.25">
      <c r="B61" s="237">
        <v>2017</v>
      </c>
      <c r="C61" s="238">
        <v>3484</v>
      </c>
      <c r="D61" s="239">
        <v>524</v>
      </c>
      <c r="E61" s="240">
        <v>6228617</v>
      </c>
      <c r="F61" s="241">
        <v>11770</v>
      </c>
      <c r="G61" s="242">
        <v>2951</v>
      </c>
      <c r="H61" s="243">
        <v>37461378</v>
      </c>
      <c r="I61" s="242">
        <v>12649</v>
      </c>
      <c r="L61" s="141"/>
    </row>
    <row r="62" spans="2:12" x14ac:dyDescent="0.25">
      <c r="B62" s="145"/>
      <c r="L62" s="141"/>
    </row>
    <row r="63" spans="2:12" x14ac:dyDescent="0.25">
      <c r="B63" s="155"/>
      <c r="C63" s="156"/>
      <c r="D63" s="156"/>
      <c r="E63" s="156"/>
      <c r="F63" s="156"/>
      <c r="G63" s="156"/>
      <c r="H63" s="156"/>
      <c r="I63" s="156"/>
      <c r="J63" s="156"/>
      <c r="K63" s="156"/>
      <c r="L63" s="157"/>
    </row>
  </sheetData>
  <mergeCells count="3">
    <mergeCell ref="E47:F47"/>
    <mergeCell ref="G47:I47"/>
    <mergeCell ref="G48:H48"/>
  </mergeCells>
  <pageMargins left="0.7" right="0.7" top="0.75" bottom="0.75" header="0.3" footer="0.3"/>
  <pageSetup orientation="portrait" horizontalDpi="1200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5B32-49E5-4AE2-85F7-FC690057B669}">
  <sheetPr>
    <tabColor theme="4" tint="0.59999389629810485"/>
  </sheetPr>
  <dimension ref="C2:F4"/>
  <sheetViews>
    <sheetView workbookViewId="0">
      <selection activeCell="Q58" sqref="Q58"/>
    </sheetView>
  </sheetViews>
  <sheetFormatPr defaultRowHeight="12.75" x14ac:dyDescent="0.2"/>
  <sheetData>
    <row r="2" spans="3:6" x14ac:dyDescent="0.2">
      <c r="C2" s="67" t="s">
        <v>527</v>
      </c>
    </row>
    <row r="3" spans="3:6" x14ac:dyDescent="0.2">
      <c r="F3" s="67"/>
    </row>
    <row r="4" spans="3:6" x14ac:dyDescent="0.2">
      <c r="F4" s="67" t="s">
        <v>526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zoomScaleNormal="100" workbookViewId="0">
      <pane xSplit="7" ySplit="7" topLeftCell="H8" activePane="bottomRight" state="frozen"/>
      <selection pane="topRight" activeCell="G1" sqref="G1"/>
      <selection pane="bottomLeft" activeCell="A8" sqref="A8"/>
      <selection pane="bottomRight"/>
    </sheetView>
  </sheetViews>
  <sheetFormatPr defaultColWidth="9.140625" defaultRowHeight="12.75" x14ac:dyDescent="0.2"/>
  <cols>
    <col min="1" max="2" width="12.42578125" style="8" customWidth="1"/>
    <col min="3" max="3" width="20.5703125" style="8" customWidth="1"/>
    <col min="4" max="4" width="8.7109375" style="8" customWidth="1"/>
    <col min="5" max="5" width="12.28515625" style="8" customWidth="1"/>
    <col min="6" max="7" width="12.140625" style="8" customWidth="1"/>
    <col min="8" max="8" width="10.7109375" style="8" customWidth="1"/>
    <col min="9" max="9" width="10.140625" customWidth="1"/>
    <col min="10" max="10" width="11.28515625" style="8" customWidth="1"/>
    <col min="11" max="11" width="11.140625" style="8" customWidth="1"/>
    <col min="12" max="12" width="12.85546875" style="8" customWidth="1"/>
    <col min="13" max="13" width="14" style="8" customWidth="1"/>
    <col min="14" max="14" width="13.42578125" style="8" customWidth="1"/>
    <col min="15" max="16" width="12.140625" style="8" customWidth="1"/>
    <col min="17" max="17" width="14.140625" style="8" customWidth="1"/>
    <col min="18" max="18" width="14.42578125" style="8" customWidth="1"/>
    <col min="19" max="19" width="17.42578125" style="8" customWidth="1"/>
    <col min="20" max="20" width="19.42578125" style="8" customWidth="1"/>
    <col min="21" max="21" width="19" style="8" customWidth="1"/>
    <col min="22" max="22" width="13.85546875" style="8" customWidth="1"/>
    <col min="23" max="23" width="13.7109375" style="8" customWidth="1"/>
    <col min="24" max="24" width="12.28515625" style="8" customWidth="1"/>
    <col min="25" max="25" width="10.28515625" style="8" customWidth="1"/>
    <col min="26" max="16384" width="9.140625" style="8"/>
  </cols>
  <sheetData>
    <row r="1" spans="1:24" s="9" customFormat="1" ht="11.25" x14ac:dyDescent="0.2">
      <c r="A1" s="11" t="s">
        <v>106</v>
      </c>
    </row>
    <row r="2" spans="1:24" s="9" customFormat="1" ht="11.25" customHeight="1" x14ac:dyDescent="0.2"/>
    <row r="3" spans="1:24" s="9" customFormat="1" ht="21.75" customHeight="1" x14ac:dyDescent="0.2">
      <c r="H3" s="21" t="s">
        <v>67</v>
      </c>
      <c r="I3" s="21" t="s">
        <v>68</v>
      </c>
      <c r="J3" s="21" t="s">
        <v>65</v>
      </c>
      <c r="K3" s="21" t="s">
        <v>66</v>
      </c>
      <c r="L3" s="21" t="s">
        <v>69</v>
      </c>
      <c r="M3" s="21" t="s">
        <v>70</v>
      </c>
      <c r="N3" s="22" t="s">
        <v>71</v>
      </c>
      <c r="O3" s="22" t="s">
        <v>73</v>
      </c>
      <c r="P3" s="22" t="s">
        <v>83</v>
      </c>
      <c r="Q3" s="22" t="s">
        <v>84</v>
      </c>
      <c r="R3" s="22" t="s">
        <v>85</v>
      </c>
      <c r="S3" s="22" t="s">
        <v>86</v>
      </c>
      <c r="T3" s="22" t="s">
        <v>87</v>
      </c>
      <c r="U3" s="22" t="s">
        <v>91</v>
      </c>
      <c r="V3" s="21" t="s">
        <v>88</v>
      </c>
      <c r="W3" s="21" t="s">
        <v>89</v>
      </c>
      <c r="X3" s="22" t="s">
        <v>90</v>
      </c>
    </row>
    <row r="4" spans="1:24" s="9" customFormat="1" ht="17.25" customHeight="1" x14ac:dyDescent="0.2">
      <c r="E4" s="20"/>
      <c r="F4" s="20"/>
      <c r="G4" s="20"/>
      <c r="H4" s="13" t="s">
        <v>48</v>
      </c>
      <c r="I4" s="16" t="s">
        <v>64</v>
      </c>
      <c r="J4" s="13" t="s">
        <v>60</v>
      </c>
      <c r="K4" s="13" t="s">
        <v>61</v>
      </c>
      <c r="L4" s="13" t="s">
        <v>49</v>
      </c>
      <c r="M4" s="16" t="s">
        <v>58</v>
      </c>
      <c r="N4" s="13" t="s">
        <v>53</v>
      </c>
      <c r="O4" s="16" t="s">
        <v>62</v>
      </c>
      <c r="P4" s="16" t="s">
        <v>55</v>
      </c>
      <c r="Q4" s="16" t="s">
        <v>72</v>
      </c>
      <c r="R4" s="16" t="s">
        <v>74</v>
      </c>
      <c r="S4" s="16" t="s">
        <v>75</v>
      </c>
      <c r="T4" s="16" t="s">
        <v>76</v>
      </c>
      <c r="U4" s="16" t="s">
        <v>78</v>
      </c>
      <c r="V4" s="13" t="s">
        <v>50</v>
      </c>
      <c r="W4" s="13" t="s">
        <v>52</v>
      </c>
      <c r="X4" s="13" t="s">
        <v>54</v>
      </c>
    </row>
    <row r="5" spans="1:24" s="9" customFormat="1" ht="17.25" customHeight="1" x14ac:dyDescent="0.2">
      <c r="H5" s="19"/>
      <c r="I5" s="19"/>
      <c r="J5" s="14" t="s">
        <v>59</v>
      </c>
      <c r="K5" s="14" t="s">
        <v>59</v>
      </c>
      <c r="L5" s="19"/>
      <c r="M5" s="14" t="s">
        <v>59</v>
      </c>
      <c r="N5" s="14" t="s">
        <v>59</v>
      </c>
      <c r="O5" s="17" t="s">
        <v>63</v>
      </c>
      <c r="P5" s="17" t="s">
        <v>63</v>
      </c>
      <c r="Q5" s="17" t="s">
        <v>63</v>
      </c>
      <c r="R5" s="17" t="s">
        <v>63</v>
      </c>
      <c r="S5" s="17" t="s">
        <v>63</v>
      </c>
      <c r="T5" s="17" t="s">
        <v>63</v>
      </c>
      <c r="U5" s="17" t="s">
        <v>63</v>
      </c>
    </row>
    <row r="6" spans="1:24" s="9" customFormat="1" ht="17.25" customHeight="1" x14ac:dyDescent="0.2">
      <c r="H6" s="19"/>
      <c r="I6" s="19"/>
      <c r="J6" s="19"/>
      <c r="K6" s="19"/>
      <c r="L6" s="19"/>
      <c r="M6" s="19"/>
      <c r="N6" s="19"/>
      <c r="O6" s="19"/>
      <c r="P6" s="17" t="s">
        <v>79</v>
      </c>
      <c r="Q6" s="19"/>
      <c r="R6" s="19"/>
      <c r="S6" s="19"/>
      <c r="T6" s="17" t="s">
        <v>77</v>
      </c>
      <c r="U6" s="25" t="s">
        <v>82</v>
      </c>
    </row>
    <row r="7" spans="1:24" s="9" customFormat="1" ht="17.25" customHeight="1" x14ac:dyDescent="0.2">
      <c r="B7" s="11" t="s">
        <v>46</v>
      </c>
      <c r="C7" s="11" t="s">
        <v>47</v>
      </c>
      <c r="D7" s="11" t="s">
        <v>43</v>
      </c>
      <c r="E7" s="11" t="s">
        <v>56</v>
      </c>
      <c r="F7" s="11" t="s">
        <v>40</v>
      </c>
      <c r="G7" s="11" t="s">
        <v>45</v>
      </c>
      <c r="H7" s="18" t="s">
        <v>44</v>
      </c>
      <c r="J7" s="18" t="s">
        <v>44</v>
      </c>
      <c r="K7" s="21"/>
      <c r="L7" s="18" t="s">
        <v>44</v>
      </c>
      <c r="M7" s="11"/>
      <c r="N7" s="21"/>
      <c r="O7" s="11"/>
      <c r="P7" s="16" t="s">
        <v>44</v>
      </c>
      <c r="Q7" s="16"/>
      <c r="R7" s="16"/>
      <c r="S7" s="16"/>
      <c r="T7" s="16"/>
      <c r="U7" s="16" t="s">
        <v>44</v>
      </c>
      <c r="V7" s="24" t="s">
        <v>51</v>
      </c>
      <c r="W7" s="24" t="s">
        <v>51</v>
      </c>
      <c r="X7" s="24" t="s">
        <v>51</v>
      </c>
    </row>
    <row r="9" spans="1:24" x14ac:dyDescent="0.2">
      <c r="A9" s="7"/>
      <c r="B9" s="7"/>
      <c r="C9" s="7"/>
      <c r="D9" s="7"/>
      <c r="E9" s="7"/>
      <c r="F9" s="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3" customWidth="1"/>
    <col min="2" max="3" width="9.140625" style="3"/>
    <col min="4" max="4" width="27.42578125" style="3" customWidth="1"/>
    <col min="5" max="5" width="10.140625" style="3" customWidth="1"/>
    <col min="6" max="6" width="28.7109375" style="3" customWidth="1"/>
    <col min="7" max="16384" width="9.140625" style="3"/>
  </cols>
  <sheetData>
    <row r="1" spans="1:7" x14ac:dyDescent="0.2">
      <c r="A1" s="2" t="s">
        <v>107</v>
      </c>
    </row>
    <row r="3" spans="1:7" ht="18.75" customHeight="1" x14ac:dyDescent="0.2"/>
    <row r="7" spans="1:7" x14ac:dyDescent="0.2">
      <c r="B7" s="2" t="s">
        <v>13</v>
      </c>
      <c r="C7" s="4" t="s">
        <v>14</v>
      </c>
      <c r="D7" s="2" t="s">
        <v>15</v>
      </c>
      <c r="E7" s="2" t="s">
        <v>20</v>
      </c>
      <c r="F7" s="2" t="s">
        <v>1</v>
      </c>
      <c r="G7" s="2" t="s">
        <v>0</v>
      </c>
    </row>
    <row r="9" spans="1:7" x14ac:dyDescent="0.2">
      <c r="A9" s="2" t="s">
        <v>25</v>
      </c>
    </row>
    <row r="10" spans="1:7" x14ac:dyDescent="0.2">
      <c r="B10" s="5" t="s">
        <v>26</v>
      </c>
      <c r="C10" s="3" t="s">
        <v>27</v>
      </c>
      <c r="D10" s="3" t="s">
        <v>28</v>
      </c>
      <c r="F10" s="5" t="s">
        <v>29</v>
      </c>
    </row>
    <row r="11" spans="1:7" x14ac:dyDescent="0.2">
      <c r="B11" s="5" t="s">
        <v>26</v>
      </c>
      <c r="C11" s="3" t="s">
        <v>30</v>
      </c>
      <c r="D11" s="3" t="s">
        <v>31</v>
      </c>
      <c r="F11" s="5" t="s">
        <v>29</v>
      </c>
    </row>
    <row r="12" spans="1:7" x14ac:dyDescent="0.2">
      <c r="B12" s="5" t="s">
        <v>26</v>
      </c>
      <c r="C12" s="3" t="s">
        <v>32</v>
      </c>
      <c r="D12" s="3" t="s">
        <v>33</v>
      </c>
      <c r="F12" s="5" t="s">
        <v>29</v>
      </c>
    </row>
    <row r="13" spans="1:7" x14ac:dyDescent="0.2">
      <c r="B13" s="5" t="s">
        <v>26</v>
      </c>
      <c r="C13" s="3" t="s">
        <v>34</v>
      </c>
      <c r="D13" s="3" t="s">
        <v>35</v>
      </c>
      <c r="F13" s="5" t="s">
        <v>29</v>
      </c>
    </row>
    <row r="14" spans="1:7" x14ac:dyDescent="0.2">
      <c r="B14" s="5" t="s">
        <v>26</v>
      </c>
      <c r="C14" s="3" t="s">
        <v>36</v>
      </c>
      <c r="D14" s="3" t="s">
        <v>37</v>
      </c>
      <c r="F14" s="5" t="s">
        <v>29</v>
      </c>
    </row>
    <row r="15" spans="1:7" x14ac:dyDescent="0.2">
      <c r="B15" s="5" t="s">
        <v>26</v>
      </c>
      <c r="C15" s="3" t="s">
        <v>38</v>
      </c>
      <c r="D15" s="3" t="s">
        <v>39</v>
      </c>
      <c r="F15" s="5" t="s">
        <v>29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3" customWidth="1"/>
    <col min="2" max="2" width="12.140625" style="3" customWidth="1"/>
    <col min="3" max="8" width="9.140625" style="3"/>
    <col min="9" max="9" width="6.7109375" style="3" customWidth="1"/>
    <col min="10" max="16384" width="9.140625" style="3"/>
  </cols>
  <sheetData>
    <row r="1" spans="1:18" x14ac:dyDescent="0.2">
      <c r="A1" s="2" t="s">
        <v>10</v>
      </c>
    </row>
    <row r="3" spans="1:18" ht="17.25" customHeight="1" x14ac:dyDescent="0.2"/>
    <row r="7" spans="1:18" x14ac:dyDescent="0.2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  <c r="J7" s="2"/>
      <c r="K7" s="2"/>
      <c r="L7" s="2"/>
      <c r="M7" s="2"/>
      <c r="N7" s="2"/>
      <c r="O7" s="2"/>
      <c r="P7" s="2"/>
      <c r="Q7" s="2"/>
      <c r="R7" s="2"/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5.42578125" style="3" customWidth="1"/>
    <col min="2" max="2" width="12" style="3" customWidth="1"/>
    <col min="3" max="16384" width="9.140625" style="3"/>
  </cols>
  <sheetData>
    <row r="1" spans="1:9" x14ac:dyDescent="0.2">
      <c r="A1" s="2" t="s">
        <v>23</v>
      </c>
    </row>
    <row r="3" spans="1:9" ht="15.75" customHeight="1" x14ac:dyDescent="0.2"/>
    <row r="4" spans="1:9" ht="12.75" customHeight="1" x14ac:dyDescent="0.2"/>
    <row r="7" spans="1:9" x14ac:dyDescent="0.2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21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85546875" style="3" customWidth="1"/>
    <col min="2" max="2" width="12" style="3" customWidth="1"/>
    <col min="3" max="3" width="9.140625" style="3"/>
    <col min="4" max="4" width="9.28515625" style="3" customWidth="1"/>
    <col min="5" max="8" width="9.140625" style="3"/>
    <col min="9" max="9" width="7.42578125" style="3" customWidth="1"/>
    <col min="10" max="16384" width="9.140625" style="3"/>
  </cols>
  <sheetData>
    <row r="1" spans="1:18" x14ac:dyDescent="0.2">
      <c r="A1" s="2" t="s">
        <v>108</v>
      </c>
    </row>
    <row r="3" spans="1:18" ht="15" customHeight="1" x14ac:dyDescent="0.2"/>
    <row r="7" spans="1:18" ht="22.5" customHeight="1" x14ac:dyDescent="0.2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6" t="s">
        <v>22</v>
      </c>
      <c r="J7" s="2"/>
      <c r="K7" s="2"/>
      <c r="L7" s="2"/>
      <c r="M7" s="2"/>
      <c r="N7" s="2"/>
      <c r="O7" s="2"/>
      <c r="P7" s="2"/>
      <c r="Q7" s="2"/>
      <c r="R7" s="2"/>
    </row>
  </sheetData>
  <phoneticPr fontId="21" type="noConversion"/>
  <pageMargins left="0.75" right="0.75" top="1" bottom="1" header="0.5" footer="0.5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7109375" style="3" customWidth="1"/>
    <col min="2" max="2" width="11.5703125" style="3" customWidth="1"/>
    <col min="3" max="3" width="11.85546875" style="3" customWidth="1"/>
    <col min="4" max="4" width="9.42578125" style="3" customWidth="1"/>
    <col min="5" max="5" width="9.28515625" style="3" customWidth="1"/>
    <col min="6" max="9" width="9.140625" style="3"/>
    <col min="10" max="10" width="7.140625" style="3" customWidth="1"/>
    <col min="11" max="16384" width="9.140625" style="3"/>
  </cols>
  <sheetData>
    <row r="1" spans="1:19" x14ac:dyDescent="0.2">
      <c r="A1" s="2" t="s">
        <v>11</v>
      </c>
    </row>
    <row r="3" spans="1:19" ht="18.75" customHeight="1" x14ac:dyDescent="0.2"/>
    <row r="7" spans="1:19" x14ac:dyDescent="0.2">
      <c r="A7" s="2" t="s">
        <v>16</v>
      </c>
      <c r="B7" s="2" t="s">
        <v>24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/>
      <c r="L7" s="2"/>
      <c r="M7" s="2"/>
      <c r="N7" s="2"/>
      <c r="O7" s="2"/>
      <c r="P7" s="2"/>
      <c r="Q7" s="2"/>
      <c r="R7" s="2"/>
      <c r="S7" s="2"/>
    </row>
    <row r="9" spans="1:19" x14ac:dyDescent="0.2">
      <c r="A9" s="2" t="s">
        <v>113</v>
      </c>
    </row>
  </sheetData>
  <phoneticPr fontId="21" type="noConversion"/>
  <pageMargins left="0.75" right="0.75" top="1" bottom="1" header="0.5" footer="0.5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>
      <pane ySplit="7" topLeftCell="A8" activePane="bottomLeft" state="frozen"/>
      <selection pane="bottomLeft" activeCell="A9" sqref="A9"/>
    </sheetView>
  </sheetViews>
  <sheetFormatPr defaultColWidth="9.140625" defaultRowHeight="11.25" x14ac:dyDescent="0.2"/>
  <cols>
    <col min="1" max="1" width="13.140625" style="3" customWidth="1"/>
    <col min="2" max="2" width="10.7109375" style="3" customWidth="1"/>
    <col min="3" max="3" width="11.85546875" style="3" customWidth="1"/>
    <col min="4" max="4" width="9.42578125" style="3" customWidth="1"/>
    <col min="5" max="5" width="9.28515625" style="3" customWidth="1"/>
    <col min="6" max="16384" width="9.140625" style="3"/>
  </cols>
  <sheetData>
    <row r="1" spans="1:10" x14ac:dyDescent="0.2">
      <c r="A1" s="2" t="s">
        <v>12</v>
      </c>
    </row>
    <row r="3" spans="1:10" ht="15.75" customHeight="1" x14ac:dyDescent="0.2"/>
    <row r="7" spans="1:10" x14ac:dyDescent="0.2">
      <c r="A7" s="2" t="s">
        <v>16</v>
      </c>
      <c r="B7" s="2" t="s">
        <v>24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21</v>
      </c>
    </row>
    <row r="9" spans="1:10" x14ac:dyDescent="0.2">
      <c r="A9" s="2" t="s">
        <v>112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3.5" customHeight="1" x14ac:dyDescent="0.2"/>
  <cols>
    <col min="1" max="1" width="12.5703125" style="3" customWidth="1"/>
    <col min="2" max="2" width="9.140625" style="3"/>
    <col min="3" max="3" width="12.28515625" style="3" customWidth="1"/>
    <col min="4" max="9" width="9.140625" style="3"/>
    <col min="10" max="10" width="7.42578125" style="3" customWidth="1"/>
    <col min="11" max="16384" width="9.140625" style="3"/>
  </cols>
  <sheetData>
    <row r="1" spans="1:19" ht="13.5" customHeight="1" x14ac:dyDescent="0.2">
      <c r="A1" s="2" t="s">
        <v>109</v>
      </c>
    </row>
    <row r="3" spans="1:19" ht="20.25" customHeight="1" x14ac:dyDescent="0.2"/>
    <row r="7" spans="1:19" ht="23.25" customHeight="1" x14ac:dyDescent="0.2">
      <c r="A7" s="2" t="s">
        <v>16</v>
      </c>
      <c r="B7" s="2" t="s">
        <v>24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6" t="s">
        <v>22</v>
      </c>
      <c r="K7" s="2"/>
      <c r="L7" s="2"/>
      <c r="M7" s="2"/>
      <c r="N7" s="2"/>
      <c r="O7" s="2"/>
      <c r="P7" s="2"/>
      <c r="Q7" s="2"/>
      <c r="R7" s="2"/>
      <c r="S7" s="2"/>
    </row>
    <row r="9" spans="1:19" ht="13.5" customHeight="1" x14ac:dyDescent="0.2">
      <c r="A9" s="2" t="s">
        <v>111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021F-8424-4EF9-99FD-ED191968A350}">
  <sheetPr>
    <tabColor rgb="FF0000FF"/>
  </sheetPr>
  <dimension ref="A1:J15"/>
  <sheetViews>
    <sheetView zoomScaleNormal="100" workbookViewId="0">
      <selection activeCell="D29" sqref="D29"/>
    </sheetView>
  </sheetViews>
  <sheetFormatPr defaultRowHeight="12.75" x14ac:dyDescent="0.2"/>
  <cols>
    <col min="1" max="1" width="3.140625" style="307" customWidth="1"/>
    <col min="2" max="2" width="15.85546875" style="307" customWidth="1"/>
    <col min="3" max="3" width="13.5703125" style="307" customWidth="1"/>
    <col min="4" max="4" width="11.7109375" style="307" customWidth="1"/>
    <col min="5" max="5" width="25.5703125" style="307" customWidth="1"/>
    <col min="6" max="7" width="9.140625" style="307"/>
    <col min="8" max="8" width="14.5703125" style="307" customWidth="1"/>
    <col min="9" max="9" width="12.28515625" style="307" customWidth="1"/>
    <col min="10" max="16384" width="9.140625" style="307"/>
  </cols>
  <sheetData>
    <row r="1" spans="1:10" ht="26.25" x14ac:dyDescent="0.4">
      <c r="B1" s="295" t="s">
        <v>531</v>
      </c>
    </row>
    <row r="2" spans="1:10" ht="18" x14ac:dyDescent="0.25">
      <c r="A2" s="308"/>
    </row>
    <row r="3" spans="1:10" ht="18" x14ac:dyDescent="0.25">
      <c r="A3" s="308"/>
      <c r="B3" s="297" t="s">
        <v>548</v>
      </c>
    </row>
    <row r="5" spans="1:10" ht="22.5" customHeight="1" x14ac:dyDescent="0.25">
      <c r="A5" s="309"/>
      <c r="B5" s="310" t="s">
        <v>549</v>
      </c>
    </row>
    <row r="6" spans="1:10" ht="18" customHeight="1" x14ac:dyDescent="0.2">
      <c r="B6" s="311" t="s">
        <v>550</v>
      </c>
      <c r="C6" s="311"/>
    </row>
    <row r="7" spans="1:10" ht="18" customHeight="1" x14ac:dyDescent="0.2">
      <c r="B7" s="312" t="s">
        <v>551</v>
      </c>
      <c r="C7" s="312" t="s">
        <v>16</v>
      </c>
      <c r="D7" s="312" t="s">
        <v>552</v>
      </c>
      <c r="E7" s="312" t="s">
        <v>553</v>
      </c>
      <c r="F7" s="312" t="s">
        <v>554</v>
      </c>
      <c r="G7" s="312" t="s">
        <v>555</v>
      </c>
      <c r="H7" s="312" t="s">
        <v>556</v>
      </c>
      <c r="I7" s="312" t="s">
        <v>557</v>
      </c>
      <c r="J7" s="312" t="s">
        <v>558</v>
      </c>
    </row>
    <row r="8" spans="1:10" ht="39" thickBot="1" x14ac:dyDescent="0.25">
      <c r="B8" s="305" t="s">
        <v>559</v>
      </c>
      <c r="C8" s="305" t="s">
        <v>541</v>
      </c>
      <c r="D8" s="305" t="s">
        <v>560</v>
      </c>
      <c r="E8" s="305" t="s">
        <v>561</v>
      </c>
      <c r="F8" s="305" t="s">
        <v>562</v>
      </c>
      <c r="G8" s="305" t="s">
        <v>563</v>
      </c>
      <c r="H8" s="305" t="s">
        <v>564</v>
      </c>
      <c r="I8" s="305" t="s">
        <v>565</v>
      </c>
      <c r="J8" s="305" t="s">
        <v>566</v>
      </c>
    </row>
    <row r="9" spans="1:10" x14ac:dyDescent="0.2">
      <c r="B9" s="313" t="s">
        <v>581</v>
      </c>
      <c r="C9" s="313" t="s">
        <v>128</v>
      </c>
      <c r="D9" s="307" t="s">
        <v>216</v>
      </c>
      <c r="E9" s="307" t="s">
        <v>575</v>
      </c>
      <c r="F9" s="313" t="s">
        <v>116</v>
      </c>
      <c r="G9" s="313" t="s">
        <v>582</v>
      </c>
      <c r="H9" s="313" t="s">
        <v>124</v>
      </c>
      <c r="I9" s="313"/>
      <c r="J9" s="313"/>
    </row>
    <row r="10" spans="1:10" x14ac:dyDescent="0.2">
      <c r="B10" s="313" t="s">
        <v>581</v>
      </c>
      <c r="C10" s="313" t="s">
        <v>128</v>
      </c>
      <c r="D10" s="307" t="s">
        <v>215</v>
      </c>
      <c r="E10" s="307" t="s">
        <v>576</v>
      </c>
      <c r="F10" s="313" t="s">
        <v>116</v>
      </c>
      <c r="G10" s="313" t="s">
        <v>582</v>
      </c>
      <c r="H10" s="313" t="s">
        <v>124</v>
      </c>
      <c r="I10" s="313"/>
      <c r="J10" s="313"/>
    </row>
    <row r="11" spans="1:10" x14ac:dyDescent="0.2">
      <c r="B11" s="313" t="s">
        <v>581</v>
      </c>
      <c r="C11" s="313" t="s">
        <v>128</v>
      </c>
      <c r="D11" s="307" t="s">
        <v>217</v>
      </c>
      <c r="E11" s="307" t="s">
        <v>577</v>
      </c>
      <c r="F11" s="313" t="s">
        <v>116</v>
      </c>
      <c r="G11" s="313" t="s">
        <v>582</v>
      </c>
      <c r="H11" s="313" t="s">
        <v>124</v>
      </c>
      <c r="I11" s="313"/>
      <c r="J11" s="313"/>
    </row>
    <row r="12" spans="1:10" x14ac:dyDescent="0.2">
      <c r="B12" s="313" t="s">
        <v>581</v>
      </c>
      <c r="C12" s="313" t="s">
        <v>128</v>
      </c>
      <c r="D12" s="307" t="s">
        <v>468</v>
      </c>
      <c r="E12" s="307" t="s">
        <v>578</v>
      </c>
      <c r="F12" s="313" t="s">
        <v>116</v>
      </c>
      <c r="G12" s="313" t="s">
        <v>582</v>
      </c>
      <c r="H12" s="313" t="s">
        <v>124</v>
      </c>
      <c r="I12" s="313"/>
      <c r="J12" s="313"/>
    </row>
    <row r="13" spans="1:10" x14ac:dyDescent="0.2">
      <c r="B13" s="313" t="s">
        <v>581</v>
      </c>
      <c r="C13" s="313" t="s">
        <v>128</v>
      </c>
      <c r="D13" s="307" t="s">
        <v>470</v>
      </c>
      <c r="E13" s="307" t="s">
        <v>579</v>
      </c>
      <c r="F13" s="307" t="s">
        <v>116</v>
      </c>
      <c r="G13" s="307" t="s">
        <v>582</v>
      </c>
      <c r="H13" s="313" t="s">
        <v>124</v>
      </c>
      <c r="I13" s="313"/>
      <c r="J13" s="313"/>
    </row>
    <row r="14" spans="1:10" x14ac:dyDescent="0.2">
      <c r="B14" s="313" t="s">
        <v>581</v>
      </c>
      <c r="C14" s="313" t="s">
        <v>128</v>
      </c>
      <c r="D14" s="307" t="s">
        <v>472</v>
      </c>
      <c r="E14" s="307" t="s">
        <v>580</v>
      </c>
      <c r="F14" s="307" t="s">
        <v>116</v>
      </c>
      <c r="G14" s="307" t="s">
        <v>582</v>
      </c>
      <c r="H14" s="313" t="s">
        <v>124</v>
      </c>
    </row>
    <row r="15" spans="1:10" x14ac:dyDescent="0.2">
      <c r="B15" s="313" t="s">
        <v>581</v>
      </c>
      <c r="C15" s="313" t="s">
        <v>128</v>
      </c>
      <c r="D15" s="307" t="s">
        <v>211</v>
      </c>
      <c r="E15" s="307" t="s">
        <v>208</v>
      </c>
      <c r="F15" s="307" t="s">
        <v>116</v>
      </c>
      <c r="G15" s="307" t="s">
        <v>582</v>
      </c>
      <c r="H15" s="313" t="s">
        <v>124</v>
      </c>
    </row>
  </sheetData>
  <phoneticPr fontId="19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rgb="FF0000FF"/>
  </sheetPr>
  <dimension ref="A1:Z36"/>
  <sheetViews>
    <sheetView tabSelected="1" zoomScale="115" zoomScaleNormal="115" workbookViewId="0">
      <pane xSplit="6" ySplit="7" topLeftCell="I8" activePane="bottomRight" state="frozen"/>
      <selection pane="topRight" activeCell="J1" sqref="J1"/>
      <selection pane="bottomLeft" activeCell="A8" sqref="A8"/>
      <selection pane="bottomRight" activeCell="J26" sqref="J26"/>
    </sheetView>
  </sheetViews>
  <sheetFormatPr defaultColWidth="9.140625" defaultRowHeight="11.25" customHeight="1" x14ac:dyDescent="0.2"/>
  <cols>
    <col min="1" max="1" width="12.28515625" style="3" customWidth="1"/>
    <col min="2" max="2" width="15.28515625" style="3" customWidth="1"/>
    <col min="3" max="3" width="36.140625" style="3" customWidth="1"/>
    <col min="4" max="4" width="8.5703125" style="3" customWidth="1"/>
    <col min="5" max="5" width="12.28515625" style="3" customWidth="1"/>
    <col min="6" max="6" width="10.140625" style="3" customWidth="1"/>
    <col min="7" max="9" width="9.140625" style="3"/>
    <col min="10" max="10" width="24.85546875" style="3" customWidth="1"/>
    <col min="11" max="17" width="9.140625" style="3"/>
    <col min="18" max="18" width="7.85546875" style="3" customWidth="1"/>
    <col min="19" max="16384" width="9.140625" style="3"/>
  </cols>
  <sheetData>
    <row r="1" spans="1:20" ht="11.25" customHeight="1" x14ac:dyDescent="0.2">
      <c r="A1" s="2"/>
      <c r="B1" s="9"/>
      <c r="G1" s="31"/>
    </row>
    <row r="2" spans="1:20" ht="11.25" customHeight="1" x14ac:dyDescent="0.2">
      <c r="A2"/>
      <c r="G2" s="31"/>
      <c r="H2" s="31"/>
      <c r="I2" s="31"/>
      <c r="J2" s="31"/>
      <c r="K2" s="31"/>
      <c r="L2" s="31"/>
    </row>
    <row r="3" spans="1:20" ht="34.5" customHeight="1" x14ac:dyDescent="0.2">
      <c r="G3" s="92" t="s">
        <v>148</v>
      </c>
      <c r="H3" s="92" t="s">
        <v>146</v>
      </c>
      <c r="I3" s="92" t="s">
        <v>146</v>
      </c>
      <c r="J3" s="92" t="s">
        <v>146</v>
      </c>
      <c r="K3" s="92" t="s">
        <v>146</v>
      </c>
      <c r="L3" s="92" t="s">
        <v>146</v>
      </c>
      <c r="M3" s="92" t="s">
        <v>150</v>
      </c>
      <c r="N3" s="92" t="s">
        <v>192</v>
      </c>
      <c r="O3" s="92" t="s">
        <v>194</v>
      </c>
      <c r="P3" s="92" t="s">
        <v>194</v>
      </c>
      <c r="Q3" s="92" t="s">
        <v>194</v>
      </c>
      <c r="R3" s="3" t="s">
        <v>147</v>
      </c>
    </row>
    <row r="4" spans="1:20" ht="21.75" customHeight="1" x14ac:dyDescent="0.2">
      <c r="E4" s="27"/>
      <c r="F4" s="27"/>
      <c r="G4" s="39" t="s">
        <v>123</v>
      </c>
      <c r="H4" s="39" t="s">
        <v>149</v>
      </c>
      <c r="I4" s="39" t="s">
        <v>149</v>
      </c>
      <c r="J4" s="39" t="s">
        <v>149</v>
      </c>
      <c r="K4" s="39" t="s">
        <v>149</v>
      </c>
      <c r="L4" s="39" t="s">
        <v>149</v>
      </c>
      <c r="M4" s="39" t="s">
        <v>151</v>
      </c>
      <c r="N4" s="39" t="s">
        <v>193</v>
      </c>
      <c r="O4" s="39" t="s">
        <v>195</v>
      </c>
      <c r="P4" s="39" t="s">
        <v>195</v>
      </c>
      <c r="Q4" s="39" t="s">
        <v>195</v>
      </c>
      <c r="R4" s="90" t="s">
        <v>145</v>
      </c>
    </row>
    <row r="5" spans="1:20" ht="16.5" customHeight="1" x14ac:dyDescent="0.2">
      <c r="G5" s="39" t="s">
        <v>27</v>
      </c>
      <c r="H5" s="39">
        <v>2017</v>
      </c>
      <c r="I5" s="39"/>
      <c r="J5" s="39"/>
      <c r="K5" s="39"/>
      <c r="L5" s="39"/>
      <c r="O5" s="3" t="str">
        <f>EB_Exist!A9</f>
        <v>CO2SPIFC</v>
      </c>
      <c r="P5" s="3" t="str">
        <f>EB_Exist!A26</f>
        <v>CO2SPIFM</v>
      </c>
      <c r="Q5" s="3" t="str">
        <f>EB_Exist!A10</f>
        <v>CH4S</v>
      </c>
    </row>
    <row r="6" spans="1:20" ht="17.25" customHeight="1" x14ac:dyDescent="0.2">
      <c r="F6" s="316" t="s">
        <v>591</v>
      </c>
      <c r="G6" s="39" t="s">
        <v>124</v>
      </c>
      <c r="H6" s="39"/>
      <c r="I6" s="39"/>
      <c r="J6" s="39"/>
      <c r="K6" s="39"/>
      <c r="L6" s="39"/>
      <c r="O6" s="31" t="s">
        <v>124</v>
      </c>
      <c r="P6" s="31" t="s">
        <v>124</v>
      </c>
      <c r="Q6" s="31" t="s">
        <v>124</v>
      </c>
    </row>
    <row r="7" spans="1:20" ht="21.75" customHeight="1" x14ac:dyDescent="0.2">
      <c r="B7" s="2" t="s">
        <v>552</v>
      </c>
      <c r="C7" s="2" t="s">
        <v>592</v>
      </c>
      <c r="D7" s="6" t="s">
        <v>583</v>
      </c>
      <c r="E7" s="315" t="s">
        <v>567</v>
      </c>
      <c r="F7" s="315" t="s">
        <v>568</v>
      </c>
      <c r="G7" s="39" t="s">
        <v>123</v>
      </c>
      <c r="H7" s="314" t="s">
        <v>584</v>
      </c>
      <c r="I7" s="314" t="s">
        <v>585</v>
      </c>
      <c r="J7" s="314" t="s">
        <v>586</v>
      </c>
      <c r="K7" s="314" t="s">
        <v>587</v>
      </c>
      <c r="L7" s="314" t="s">
        <v>588</v>
      </c>
      <c r="M7" s="31" t="str">
        <f t="shared" ref="M7" si="0">IFERROR(REPLACE(M4,SEARCH("-",M4),1,"~"),M4)</f>
        <v>NCAP_FOM</v>
      </c>
      <c r="N7" s="39" t="s">
        <v>193</v>
      </c>
      <c r="O7" s="92" t="str">
        <f>"ENV_ACT~"&amp;O5</f>
        <v>ENV_ACT~CO2SPIFC</v>
      </c>
      <c r="P7" s="92" t="str">
        <f>"ENV_ACT~"&amp;P5</f>
        <v>ENV_ACT~CO2SPIFM</v>
      </c>
      <c r="Q7" s="92" t="str">
        <f>"ENV_ACT~"&amp;Q5</f>
        <v>ENV_ACT~CH4S</v>
      </c>
      <c r="R7" s="31" t="s">
        <v>145</v>
      </c>
      <c r="S7" s="3" t="s">
        <v>219</v>
      </c>
      <c r="T7" s="3" t="s">
        <v>599</v>
      </c>
    </row>
    <row r="8" spans="1:20" x14ac:dyDescent="0.2">
      <c r="B8" s="3" t="str">
        <f>Processes_BASE!B9</f>
        <v>XINDBIO</v>
      </c>
      <c r="C8" s="3" t="str">
        <f>Processes_BASE!C9</f>
        <v>Industry Biochar</v>
      </c>
      <c r="D8" s="127" t="s">
        <v>122</v>
      </c>
      <c r="E8" s="99" t="s">
        <v>590</v>
      </c>
      <c r="F8" s="99" t="str">
        <f>Commodities_BASE!B14</f>
        <v>IFACHA</v>
      </c>
      <c r="G8" s="30">
        <v>0.35</v>
      </c>
      <c r="H8" s="30"/>
      <c r="I8" s="30"/>
      <c r="J8" s="30"/>
      <c r="K8" s="30"/>
      <c r="L8" s="30"/>
      <c r="N8" s="3">
        <v>43</v>
      </c>
    </row>
    <row r="9" spans="1:20" s="26" customFormat="1" ht="11.25" customHeight="1" x14ac:dyDescent="0.2">
      <c r="A9" s="3"/>
      <c r="B9" s="31" t="str">
        <f>Processes_BASE!B10</f>
        <v>IFCEAF-E</v>
      </c>
      <c r="C9" s="31" t="str">
        <f>Processes_BASE!C10</f>
        <v>FerroChrome existing</v>
      </c>
      <c r="D9" s="31" t="str">
        <f>Processes_BASE!D10</f>
        <v>PJ,PJa</v>
      </c>
      <c r="E9" s="99" t="str">
        <f>RES_Cr!D2</f>
        <v>IISCKE</v>
      </c>
      <c r="F9" s="99"/>
      <c r="G9" s="93"/>
      <c r="M9" s="89"/>
      <c r="N9" s="89"/>
      <c r="R9" s="94">
        <f>EB_Exist!K6/EB_Exist!F5</f>
        <v>20.407577497129733</v>
      </c>
    </row>
    <row r="10" spans="1:20" s="26" customFormat="1" ht="11.25" customHeight="1" x14ac:dyDescent="0.2">
      <c r="A10" s="3"/>
      <c r="E10" s="99" t="str">
        <f>RES_Cr!E2</f>
        <v>INDCOA</v>
      </c>
      <c r="F10" s="99"/>
      <c r="G10" s="93"/>
      <c r="H10" s="93"/>
      <c r="I10" s="93"/>
      <c r="J10" s="93"/>
      <c r="K10" s="93"/>
      <c r="L10" s="93"/>
      <c r="M10" s="3"/>
      <c r="N10" s="3"/>
      <c r="O10" s="3"/>
      <c r="P10" s="3"/>
      <c r="Q10" s="3"/>
      <c r="R10" s="131">
        <f>EB_Exist!K7/EB_Exist!F5</f>
        <v>4.0379205223880605</v>
      </c>
    </row>
    <row r="11" spans="1:20" s="26" customFormat="1" ht="11.25" customHeight="1" x14ac:dyDescent="0.2">
      <c r="A11" s="3"/>
      <c r="E11" s="98" t="str">
        <f>RES_Cr!F2</f>
        <v>IFAELC</v>
      </c>
      <c r="G11" s="93"/>
      <c r="H11" s="93"/>
      <c r="I11" s="93"/>
      <c r="J11" s="93"/>
      <c r="K11" s="93"/>
      <c r="L11" s="93"/>
      <c r="M11" s="3"/>
      <c r="N11" s="3"/>
      <c r="O11" s="3"/>
      <c r="P11" s="3"/>
      <c r="Q11" s="3"/>
      <c r="R11" s="131">
        <f>EB_Exist!K8/EB_Exist!F5</f>
        <v>12.360988518943744</v>
      </c>
    </row>
    <row r="12" spans="1:20" s="26" customFormat="1" ht="11.25" customHeight="1" x14ac:dyDescent="0.2">
      <c r="A12" s="3"/>
      <c r="B12" s="3"/>
      <c r="C12" s="3"/>
      <c r="D12" s="3"/>
      <c r="E12" s="99"/>
      <c r="F12" s="98" t="str">
        <f>RES_Cr!T2</f>
        <v>IFACR</v>
      </c>
      <c r="G12" s="93"/>
      <c r="H12" s="93">
        <f>EB_Exist!K5</f>
        <v>4.8570000000000002</v>
      </c>
      <c r="I12" s="93">
        <f>H12</f>
        <v>4.8570000000000002</v>
      </c>
      <c r="J12" s="93">
        <v>2</v>
      </c>
      <c r="K12" s="93">
        <v>0.5</v>
      </c>
      <c r="L12" s="93">
        <v>0</v>
      </c>
      <c r="M12" s="3"/>
      <c r="N12" s="3"/>
      <c r="O12" s="89">
        <f>EB_Exist!F9</f>
        <v>3225</v>
      </c>
      <c r="P12" s="89"/>
      <c r="Q12" s="126">
        <f>EB_Exist!F10</f>
        <v>0</v>
      </c>
      <c r="T12" s="26">
        <v>1</v>
      </c>
    </row>
    <row r="13" spans="1:20" s="26" customFormat="1" ht="11.25" customHeight="1" x14ac:dyDescent="0.25">
      <c r="A13" s="3"/>
      <c r="B13" s="31" t="str">
        <f>RES_Cr!R15</f>
        <v>IFCEAF-N</v>
      </c>
      <c r="C13" s="31" t="str">
        <f>RES_Cr!R12</f>
        <v>FerrChrome New</v>
      </c>
      <c r="D13" s="31" t="str">
        <f>Processes_BASE!D11</f>
        <v>PJ,PJa</v>
      </c>
      <c r="E13" s="99" t="str">
        <f>RES_Cr!D2</f>
        <v>IISCKE</v>
      </c>
      <c r="F13" s="98"/>
      <c r="G13" s="93"/>
      <c r="H13" s="93"/>
      <c r="I13" s="93"/>
      <c r="J13" s="93"/>
      <c r="K13" s="93"/>
      <c r="L13" s="93"/>
      <c r="M13" s="3"/>
      <c r="N13" s="3"/>
      <c r="O13" s="3"/>
      <c r="P13" s="3"/>
      <c r="Q13" s="3"/>
      <c r="R13" s="128">
        <v>4.4800000000000004</v>
      </c>
    </row>
    <row r="14" spans="1:20" s="26" customFormat="1" ht="11.25" customHeight="1" x14ac:dyDescent="0.25">
      <c r="A14" s="3"/>
      <c r="B14" s="3"/>
      <c r="C14" s="3"/>
      <c r="D14" s="3"/>
      <c r="E14" s="99" t="str">
        <f>RES_Cr!E2</f>
        <v>INDCOA</v>
      </c>
      <c r="F14" s="98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128">
        <v>3.89</v>
      </c>
    </row>
    <row r="15" spans="1:20" s="26" customFormat="1" ht="11.25" customHeight="1" x14ac:dyDescent="0.25">
      <c r="A15" s="3"/>
      <c r="B15" s="3"/>
      <c r="C15" s="3"/>
      <c r="D15" s="3"/>
      <c r="E15" s="99" t="str">
        <f>RES_Cr!F2</f>
        <v>IFAELC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128">
        <v>8.64</v>
      </c>
    </row>
    <row r="16" spans="1:20" s="26" customFormat="1" ht="11.25" customHeight="1" x14ac:dyDescent="0.25">
      <c r="A16" s="3"/>
      <c r="B16" s="3"/>
      <c r="C16" s="3"/>
      <c r="D16" s="3"/>
      <c r="E16" s="99" t="str">
        <f>RES_Cr!G2</f>
        <v>IFACHA</v>
      </c>
      <c r="F16" s="38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128">
        <v>7.72</v>
      </c>
    </row>
    <row r="17" spans="2:26" ht="11.25" customHeight="1" x14ac:dyDescent="0.25">
      <c r="F17" s="99" t="str">
        <f>RES_Cr!T2</f>
        <v>IFACR</v>
      </c>
      <c r="M17" s="129">
        <f>2%*N17</f>
        <v>201.44</v>
      </c>
      <c r="N17" s="129">
        <v>10072</v>
      </c>
      <c r="O17" s="129">
        <v>2102</v>
      </c>
      <c r="P17" s="129"/>
      <c r="Q17" s="129">
        <f>Q12*0.8</f>
        <v>0</v>
      </c>
      <c r="S17" s="26">
        <v>2031</v>
      </c>
      <c r="T17" s="3">
        <v>1</v>
      </c>
    </row>
    <row r="18" spans="2:26" ht="11.25" customHeight="1" x14ac:dyDescent="0.25">
      <c r="B18" s="31" t="str">
        <f>RES_Cr!R22</f>
        <v>IFCEAFB-N</v>
      </c>
      <c r="C18" s="31" t="str">
        <f>RES_Cr!R18</f>
        <v>FerroChrome with biomass</v>
      </c>
      <c r="D18" s="31" t="str">
        <f>D13</f>
        <v>PJ,PJa</v>
      </c>
      <c r="E18" s="99" t="str">
        <f>E13</f>
        <v>IISCKE</v>
      </c>
      <c r="F18" s="98"/>
      <c r="G18" s="93"/>
      <c r="H18" s="93"/>
      <c r="I18" s="93"/>
      <c r="J18" s="93"/>
      <c r="K18" s="93"/>
      <c r="L18" s="93"/>
      <c r="R18" s="128">
        <v>1.55</v>
      </c>
    </row>
    <row r="19" spans="2:26" ht="11.25" customHeight="1" x14ac:dyDescent="0.25">
      <c r="E19" s="99" t="str">
        <f t="shared" ref="E19:E21" si="1">E14</f>
        <v>INDCOA</v>
      </c>
      <c r="F19" s="98"/>
      <c r="R19" s="128">
        <v>2.33</v>
      </c>
    </row>
    <row r="20" spans="2:26" ht="11.25" customHeight="1" x14ac:dyDescent="0.25">
      <c r="E20" s="99" t="str">
        <f t="shared" si="1"/>
        <v>IFAELC</v>
      </c>
      <c r="F20" s="26"/>
      <c r="R20" s="128">
        <v>8.64</v>
      </c>
    </row>
    <row r="21" spans="2:26" ht="11.25" customHeight="1" x14ac:dyDescent="0.25">
      <c r="E21" s="99" t="str">
        <f t="shared" si="1"/>
        <v>IFACHA</v>
      </c>
      <c r="F21" s="38"/>
      <c r="R21" s="128">
        <v>13</v>
      </c>
    </row>
    <row r="22" spans="2:26" ht="11.25" customHeight="1" x14ac:dyDescent="0.25">
      <c r="F22" s="99" t="str">
        <f>F17</f>
        <v>IFACR</v>
      </c>
      <c r="M22" s="129">
        <f>2%*N22</f>
        <v>221.58</v>
      </c>
      <c r="N22" s="129">
        <v>11079</v>
      </c>
      <c r="O22" s="129">
        <v>933</v>
      </c>
      <c r="P22" s="129"/>
      <c r="Q22" s="129">
        <f>Q17*0.8</f>
        <v>0</v>
      </c>
      <c r="S22" s="26">
        <v>2031</v>
      </c>
      <c r="T22" s="3">
        <v>1</v>
      </c>
    </row>
    <row r="23" spans="2:26" ht="11.25" customHeight="1" x14ac:dyDescent="0.2">
      <c r="B23" s="31" t="str">
        <f>Processes_BASE!B13</f>
        <v>IFMEAF-E</v>
      </c>
      <c r="C23" s="31" t="str">
        <f>Processes_BASE!C13</f>
        <v>FerroMn existing</v>
      </c>
      <c r="D23" s="31" t="str">
        <f>Processes_BASE!D13</f>
        <v>PJ,PJa</v>
      </c>
      <c r="E23" s="99" t="str">
        <f>RES_Mn!D2</f>
        <v>IISCKE</v>
      </c>
      <c r="F23" s="99"/>
      <c r="G23" s="93"/>
      <c r="H23" s="26"/>
      <c r="I23" s="26"/>
      <c r="J23" s="26"/>
      <c r="K23" s="26"/>
      <c r="L23" s="26"/>
      <c r="M23" s="89"/>
      <c r="N23" s="89"/>
      <c r="O23" s="26"/>
      <c r="P23" s="26"/>
      <c r="Q23" s="26"/>
      <c r="R23" s="94">
        <f>EB_Exist!K23/EB_Exist!F22</f>
        <v>9.8455813953488391</v>
      </c>
      <c r="S23" s="26"/>
      <c r="T23" s="26"/>
      <c r="U23" s="26"/>
      <c r="V23" s="26"/>
      <c r="W23" s="26"/>
      <c r="X23" s="26"/>
      <c r="Y23" s="26"/>
      <c r="Z23" s="26"/>
    </row>
    <row r="24" spans="2:26" ht="11.25" customHeight="1" x14ac:dyDescent="0.2">
      <c r="B24" s="26"/>
      <c r="C24" s="26"/>
      <c r="D24" s="26"/>
      <c r="E24" s="99" t="str">
        <f>RES_Mn!E2</f>
        <v>INDCOA</v>
      </c>
      <c r="F24" s="99"/>
      <c r="G24" s="93"/>
      <c r="H24" s="93"/>
      <c r="I24" s="93"/>
      <c r="J24" s="93"/>
      <c r="K24" s="93"/>
      <c r="L24" s="93"/>
      <c r="R24" s="131">
        <f>EB_Exist!K24/EB_Exist!F22</f>
        <v>3.2818604651162797</v>
      </c>
      <c r="S24" s="26"/>
      <c r="T24" s="26"/>
      <c r="U24" s="26"/>
      <c r="V24" s="26"/>
      <c r="W24" s="26"/>
      <c r="X24" s="26"/>
      <c r="Y24" s="26"/>
      <c r="Z24" s="26"/>
    </row>
    <row r="25" spans="2:26" ht="11.25" customHeight="1" x14ac:dyDescent="0.2">
      <c r="B25" s="26"/>
      <c r="C25" s="26"/>
      <c r="D25" s="26"/>
      <c r="E25" s="98" t="str">
        <f>RES_Mn!F2</f>
        <v>IFAELC</v>
      </c>
      <c r="F25" s="26"/>
      <c r="G25" s="93"/>
      <c r="H25" s="93"/>
      <c r="I25" s="93"/>
      <c r="J25" s="93"/>
      <c r="K25" s="93"/>
      <c r="L25" s="93"/>
      <c r="Q25" s="26"/>
      <c r="R25" s="131">
        <f>EB_Exist!K25/EB_Exist!F22</f>
        <v>12.96</v>
      </c>
      <c r="S25" s="26"/>
      <c r="T25" s="26"/>
      <c r="U25" s="26"/>
      <c r="V25" s="26"/>
      <c r="W25" s="26"/>
      <c r="X25" s="26"/>
      <c r="Y25" s="26"/>
      <c r="Z25" s="26"/>
    </row>
    <row r="26" spans="2:26" ht="11.25" customHeight="1" x14ac:dyDescent="0.2">
      <c r="E26" s="99"/>
      <c r="F26" s="98" t="str">
        <f>RES_Mn!O2</f>
        <v>IFAMN</v>
      </c>
      <c r="G26" s="93"/>
      <c r="H26" s="93">
        <f>EB_Exist!K22*0.9</f>
        <v>0.68490000000000006</v>
      </c>
      <c r="I26" s="93">
        <f>H26</f>
        <v>0.68490000000000006</v>
      </c>
      <c r="J26" s="93">
        <v>0.3</v>
      </c>
      <c r="K26" s="93">
        <v>0.1</v>
      </c>
      <c r="L26" s="93">
        <v>0</v>
      </c>
      <c r="P26" s="89">
        <f>EB_Exist!F26</f>
        <v>3225</v>
      </c>
      <c r="Q26" s="126">
        <f>EB_Exist!F27</f>
        <v>0</v>
      </c>
      <c r="R26" s="26"/>
      <c r="T26" s="26">
        <v>1</v>
      </c>
      <c r="U26" s="26"/>
      <c r="V26" s="26"/>
      <c r="W26" s="26"/>
      <c r="X26" s="26"/>
      <c r="Y26" s="26"/>
      <c r="Z26" s="26"/>
    </row>
    <row r="27" spans="2:26" ht="11.25" customHeight="1" x14ac:dyDescent="0.25">
      <c r="B27" s="31" t="str">
        <f>RES_Mn!M15</f>
        <v>IFMEAF-N</v>
      </c>
      <c r="C27" s="31" t="str">
        <f>RES_Mn!M12</f>
        <v>FerroMn New</v>
      </c>
      <c r="D27" s="31" t="str">
        <f>Processes_BASE!D14</f>
        <v>PJ,PJa</v>
      </c>
      <c r="E27" s="99" t="str">
        <f>RES_Mn!D2</f>
        <v>IISCKE</v>
      </c>
      <c r="F27" s="98"/>
      <c r="G27" s="93"/>
      <c r="H27" s="93"/>
      <c r="I27" s="93"/>
      <c r="J27" s="93"/>
      <c r="K27" s="93"/>
      <c r="L27" s="93"/>
      <c r="R27" s="128">
        <f>R23/2</f>
        <v>4.9227906976744196</v>
      </c>
      <c r="T27" s="26"/>
      <c r="U27" s="26"/>
      <c r="V27" s="26"/>
      <c r="W27" s="26"/>
      <c r="X27" s="26"/>
      <c r="Y27" s="26"/>
      <c r="Z27" s="26"/>
    </row>
    <row r="28" spans="2:26" ht="11.25" customHeight="1" x14ac:dyDescent="0.25">
      <c r="E28" s="99" t="str">
        <f>RES_Mn!E2</f>
        <v>INDCOA</v>
      </c>
      <c r="F28" s="98"/>
      <c r="R28" s="258">
        <f>R24</f>
        <v>3.2818604651162797</v>
      </c>
      <c r="S28" s="26"/>
      <c r="T28" s="26"/>
      <c r="U28" s="26"/>
      <c r="V28" s="26"/>
      <c r="W28" s="26"/>
      <c r="X28" s="26"/>
      <c r="Y28" s="26"/>
      <c r="Z28" s="26"/>
    </row>
    <row r="29" spans="2:26" ht="11.25" customHeight="1" x14ac:dyDescent="0.25">
      <c r="E29" s="99" t="str">
        <f>RES_Mn!F2</f>
        <v>IFAELC</v>
      </c>
      <c r="F29" s="26"/>
      <c r="R29" s="128">
        <f>EB_Exist!U55</f>
        <v>10.08</v>
      </c>
      <c r="S29" s="26"/>
      <c r="T29" s="26"/>
      <c r="U29" s="26"/>
      <c r="V29" s="26"/>
      <c r="W29" s="26"/>
      <c r="X29" s="26"/>
      <c r="Y29" s="26"/>
      <c r="Z29" s="26"/>
    </row>
    <row r="30" spans="2:26" ht="11.25" customHeight="1" x14ac:dyDescent="0.25">
      <c r="E30" s="99" t="str">
        <f>RES_Mn!G2</f>
        <v>IFACHA</v>
      </c>
      <c r="F30" s="38"/>
      <c r="R30" s="128">
        <f>R27*1.1</f>
        <v>5.415069767441862</v>
      </c>
      <c r="S30" s="26"/>
      <c r="T30" s="26"/>
      <c r="U30" s="26"/>
      <c r="V30" s="26"/>
      <c r="W30" s="26"/>
      <c r="X30" s="26"/>
      <c r="Y30" s="26"/>
      <c r="Z30" s="26"/>
    </row>
    <row r="31" spans="2:26" ht="11.25" customHeight="1" x14ac:dyDescent="0.25">
      <c r="F31" s="99" t="str">
        <f>RES_Mn!O2</f>
        <v>IFAMN</v>
      </c>
      <c r="M31" s="129">
        <f>2%*N31</f>
        <v>201.44</v>
      </c>
      <c r="N31" s="129">
        <v>10072</v>
      </c>
      <c r="O31" s="129"/>
      <c r="P31" s="129">
        <v>2102</v>
      </c>
      <c r="Q31" s="129">
        <f>Q26*0.8</f>
        <v>0</v>
      </c>
      <c r="S31" s="26">
        <v>2031</v>
      </c>
      <c r="T31" s="3">
        <v>1</v>
      </c>
    </row>
    <row r="32" spans="2:26" ht="11.25" customHeight="1" x14ac:dyDescent="0.25">
      <c r="B32" s="31" t="str">
        <f>RES_Mn!M22</f>
        <v>IFMEAFB-N</v>
      </c>
      <c r="C32" s="31" t="str">
        <f>RES_Mn!M18</f>
        <v>FerroMn with biomass</v>
      </c>
      <c r="D32" s="31" t="str">
        <f>D27</f>
        <v>PJ,PJa</v>
      </c>
      <c r="E32" s="99" t="str">
        <f>E27</f>
        <v>IISCKE</v>
      </c>
      <c r="F32" s="98"/>
      <c r="G32" s="93"/>
      <c r="H32" s="93"/>
      <c r="I32" s="93"/>
      <c r="J32" s="93"/>
      <c r="K32" s="93"/>
      <c r="L32" s="93"/>
      <c r="R32" s="128">
        <f>R23*0.25</f>
        <v>2.4613953488372098</v>
      </c>
    </row>
    <row r="33" spans="5:20" ht="11.25" customHeight="1" x14ac:dyDescent="0.25">
      <c r="E33" s="99" t="str">
        <f>E28</f>
        <v>INDCOA</v>
      </c>
      <c r="F33" s="98"/>
      <c r="R33" s="258">
        <f>R24</f>
        <v>3.2818604651162797</v>
      </c>
    </row>
    <row r="34" spans="5:20" ht="11.25" customHeight="1" x14ac:dyDescent="0.25">
      <c r="E34" s="99" t="str">
        <f>E29</f>
        <v>IFAELC</v>
      </c>
      <c r="F34" s="26"/>
      <c r="R34" s="128">
        <f>R29</f>
        <v>10.08</v>
      </c>
    </row>
    <row r="35" spans="5:20" ht="11.25" customHeight="1" x14ac:dyDescent="0.25">
      <c r="E35" s="99" t="str">
        <f>E30</f>
        <v>IFACHA</v>
      </c>
      <c r="F35" s="38"/>
      <c r="R35" s="128">
        <f>R23*0.75*1.1</f>
        <v>8.1226046511627938</v>
      </c>
    </row>
    <row r="36" spans="5:20" ht="11.25" customHeight="1" x14ac:dyDescent="0.25">
      <c r="F36" s="99" t="str">
        <f>F31</f>
        <v>IFAMN</v>
      </c>
      <c r="M36" s="129">
        <f>2%*N36</f>
        <v>221.58</v>
      </c>
      <c r="N36" s="129">
        <v>11079</v>
      </c>
      <c r="O36" s="129"/>
      <c r="P36" s="129">
        <v>933</v>
      </c>
      <c r="Q36" s="129">
        <f>Q31*0.8</f>
        <v>0</v>
      </c>
      <c r="S36" s="26">
        <v>2031</v>
      </c>
      <c r="T36" s="3">
        <v>1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N27"/>
  <sheetViews>
    <sheetView workbookViewId="0">
      <selection activeCell="G36" sqref="G36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14" ht="18" thickBot="1" x14ac:dyDescent="0.35">
      <c r="B3" s="70" t="s">
        <v>152</v>
      </c>
      <c r="C3" s="70"/>
      <c r="D3" s="70"/>
      <c r="E3" s="67" t="s">
        <v>155</v>
      </c>
      <c r="I3" s="80" t="s">
        <v>230</v>
      </c>
      <c r="J3" s="75"/>
      <c r="K3" s="75"/>
      <c r="L3" s="75"/>
    </row>
    <row r="4" spans="2:14" ht="13.5" thickTop="1" x14ac:dyDescent="0.2"/>
    <row r="5" spans="2:14" x14ac:dyDescent="0.2">
      <c r="B5" s="67" t="s">
        <v>153</v>
      </c>
      <c r="C5" s="67" t="s">
        <v>15</v>
      </c>
      <c r="D5" s="67" t="s">
        <v>156</v>
      </c>
      <c r="I5" t="s">
        <v>231</v>
      </c>
      <c r="J5" t="b">
        <v>0</v>
      </c>
    </row>
    <row r="6" spans="2:14" ht="15" x14ac:dyDescent="0.25">
      <c r="B6" s="67" t="s">
        <v>154</v>
      </c>
      <c r="C6" s="67" t="s">
        <v>157</v>
      </c>
      <c r="E6" s="95">
        <v>1</v>
      </c>
      <c r="I6" t="s">
        <v>232</v>
      </c>
      <c r="J6" t="s">
        <v>233</v>
      </c>
    </row>
    <row r="7" spans="2:14" x14ac:dyDescent="0.2">
      <c r="D7" t="str">
        <f ca="1">Commodities_BASE!A2</f>
        <v>Commodities_BASE</v>
      </c>
      <c r="E7" s="96">
        <f t="shared" ref="E7:E11" si="0">$E$6</f>
        <v>1</v>
      </c>
    </row>
    <row r="8" spans="2:14" x14ac:dyDescent="0.2">
      <c r="D8" t="str">
        <f ca="1">CommData_BASE!A2</f>
        <v>CommData_BASE</v>
      </c>
      <c r="E8" s="96">
        <f t="shared" si="0"/>
        <v>1</v>
      </c>
      <c r="M8" s="67" t="s">
        <v>236</v>
      </c>
    </row>
    <row r="9" spans="2:14" x14ac:dyDescent="0.2">
      <c r="D9" t="str">
        <f ca="1">Processes_BASE!A2</f>
        <v>Processes_BASE</v>
      </c>
      <c r="E9" s="96">
        <f t="shared" si="0"/>
        <v>1</v>
      </c>
      <c r="I9" t="s">
        <v>233</v>
      </c>
      <c r="J9" t="s">
        <v>235</v>
      </c>
      <c r="M9" s="133">
        <v>0.05</v>
      </c>
      <c r="N9" s="67" t="s">
        <v>237</v>
      </c>
    </row>
    <row r="10" spans="2:14" x14ac:dyDescent="0.2">
      <c r="D10" t="str">
        <f ca="1">'ProcData_F_Mn_Cr - PAMS'!A2</f>
        <v>ProcData_F_Mn_Cr - PAMS</v>
      </c>
      <c r="E10" s="96">
        <f>IF(FA_PAMS_index=TRUE,1,0)</f>
        <v>0</v>
      </c>
      <c r="G10" s="67" t="s">
        <v>519</v>
      </c>
      <c r="I10" t="s">
        <v>234</v>
      </c>
      <c r="J10" t="s">
        <v>235</v>
      </c>
      <c r="M10" s="134">
        <v>2.5000000000000001E-2</v>
      </c>
      <c r="N10" s="67" t="s">
        <v>237</v>
      </c>
    </row>
    <row r="11" spans="2:14" x14ac:dyDescent="0.2">
      <c r="D11">
        <f>'Process Input'!A2</f>
        <v>0</v>
      </c>
      <c r="E11" s="96">
        <f t="shared" si="0"/>
        <v>1</v>
      </c>
      <c r="M11">
        <f>INDEX(M9:M10,MATCH(J6,I9:I10,0))</f>
        <v>0.05</v>
      </c>
    </row>
    <row r="12" spans="2:14" x14ac:dyDescent="0.2">
      <c r="E12" s="96"/>
    </row>
    <row r="13" spans="2:14" x14ac:dyDescent="0.2">
      <c r="E13" s="96"/>
    </row>
    <row r="14" spans="2:14" x14ac:dyDescent="0.2">
      <c r="E14" s="96"/>
    </row>
    <row r="15" spans="2:14" x14ac:dyDescent="0.2">
      <c r="E15" s="96"/>
    </row>
    <row r="16" spans="2:14" x14ac:dyDescent="0.2">
      <c r="E16" s="96"/>
    </row>
    <row r="17" spans="5:5" x14ac:dyDescent="0.2">
      <c r="E17" s="96"/>
    </row>
    <row r="18" spans="5:5" x14ac:dyDescent="0.2">
      <c r="E18" s="96"/>
    </row>
    <row r="19" spans="5:5" x14ac:dyDescent="0.2">
      <c r="E19" s="96"/>
    </row>
    <row r="20" spans="5:5" x14ac:dyDescent="0.2">
      <c r="E20" s="96"/>
    </row>
    <row r="21" spans="5:5" x14ac:dyDescent="0.2">
      <c r="E21" s="96"/>
    </row>
    <row r="22" spans="5:5" x14ac:dyDescent="0.2">
      <c r="E22" s="96"/>
    </row>
    <row r="23" spans="5:5" x14ac:dyDescent="0.2">
      <c r="E23" s="96"/>
    </row>
    <row r="24" spans="5:5" x14ac:dyDescent="0.2">
      <c r="E24" s="96"/>
    </row>
    <row r="25" spans="5:5" x14ac:dyDescent="0.2">
      <c r="E25" s="96"/>
    </row>
    <row r="26" spans="5:5" x14ac:dyDescent="0.2">
      <c r="E26" s="96"/>
    </row>
    <row r="27" spans="5:5" x14ac:dyDescent="0.2">
      <c r="E27" s="96"/>
    </row>
  </sheetData>
  <dataValidations count="1">
    <dataValidation type="list" allowBlank="1" showInputMessage="1" showErrorMessage="1" sqref="J6" xr:uid="{500CD5B8-8189-4BE3-97D6-B1FEF71A1652}">
      <formula1>$I$9:$I$10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O83"/>
  <sheetViews>
    <sheetView zoomScale="115" zoomScaleNormal="115" workbookViewId="0">
      <selection activeCell="R12" sqref="D12:R16"/>
    </sheetView>
  </sheetViews>
  <sheetFormatPr defaultColWidth="9.140625" defaultRowHeight="15" x14ac:dyDescent="0.25"/>
  <cols>
    <col min="1" max="1" width="9.140625" style="40"/>
    <col min="2" max="2" width="9.140625" style="40" customWidth="1"/>
    <col min="3" max="3" width="20.7109375" style="40" customWidth="1"/>
    <col min="4" max="15" width="3.5703125" style="40" customWidth="1"/>
    <col min="16" max="16" width="4" style="40" customWidth="1"/>
    <col min="17" max="17" width="4.5703125" style="40" customWidth="1"/>
    <col min="18" max="18" width="29.85546875" style="40" customWidth="1"/>
    <col min="19" max="19" width="4" style="40" customWidth="1"/>
    <col min="20" max="23" width="3.5703125" style="40" customWidth="1"/>
    <col min="24" max="24" width="3.7109375" style="40" customWidth="1"/>
    <col min="25" max="25" width="3.85546875" style="40" customWidth="1"/>
    <col min="26" max="26" width="4" style="40" customWidth="1"/>
    <col min="27" max="27" width="25.5703125" style="40" customWidth="1"/>
    <col min="28" max="37" width="3.5703125" style="40" customWidth="1"/>
    <col min="38" max="16384" width="9.140625" style="40"/>
  </cols>
  <sheetData>
    <row r="1" spans="3:41" x14ac:dyDescent="0.25">
      <c r="S1" s="40" t="s">
        <v>127</v>
      </c>
      <c r="AB1" s="111" t="s">
        <v>162</v>
      </c>
    </row>
    <row r="2" spans="3:41" ht="84" customHeight="1" x14ac:dyDescent="0.25">
      <c r="C2" s="43"/>
      <c r="D2" s="121" t="s">
        <v>204</v>
      </c>
      <c r="E2" s="318" t="s">
        <v>600</v>
      </c>
      <c r="F2" s="121" t="s">
        <v>202</v>
      </c>
      <c r="G2" s="244" t="s">
        <v>589</v>
      </c>
      <c r="H2" s="112"/>
      <c r="I2" s="244" t="s">
        <v>204</v>
      </c>
      <c r="J2" s="318" t="s">
        <v>600</v>
      </c>
      <c r="K2" s="244" t="s">
        <v>202</v>
      </c>
      <c r="L2" s="244" t="s">
        <v>589</v>
      </c>
      <c r="M2" s="112"/>
      <c r="N2" s="265" t="s">
        <v>212</v>
      </c>
      <c r="O2" s="64"/>
      <c r="P2" s="65"/>
      <c r="Q2" s="66"/>
      <c r="R2" s="43"/>
      <c r="T2" s="132" t="s">
        <v>220</v>
      </c>
      <c r="U2" s="132"/>
      <c r="V2" s="244" t="s">
        <v>473</v>
      </c>
      <c r="W2" s="112"/>
      <c r="AB2" s="112"/>
      <c r="AC2" s="112"/>
      <c r="AD2" s="112"/>
      <c r="AE2" s="68"/>
      <c r="AF2" s="68"/>
      <c r="AG2" s="68"/>
      <c r="AH2" s="68"/>
      <c r="AI2" s="64"/>
      <c r="AJ2" s="101"/>
      <c r="AK2" s="103"/>
    </row>
    <row r="3" spans="3:41" ht="141" customHeight="1" x14ac:dyDescent="0.25">
      <c r="C3" s="43" t="s">
        <v>126</v>
      </c>
      <c r="D3" s="121" t="s">
        <v>205</v>
      </c>
      <c r="E3" s="122" t="s">
        <v>207</v>
      </c>
      <c r="F3" s="121" t="s">
        <v>203</v>
      </c>
      <c r="G3" s="122" t="s">
        <v>208</v>
      </c>
      <c r="H3" s="112"/>
      <c r="I3" s="244" t="s">
        <v>205</v>
      </c>
      <c r="J3" s="244" t="s">
        <v>207</v>
      </c>
      <c r="K3" s="244" t="s">
        <v>203</v>
      </c>
      <c r="L3" s="244" t="s">
        <v>208</v>
      </c>
      <c r="M3" s="112"/>
      <c r="N3" s="112"/>
      <c r="O3" s="64"/>
      <c r="P3" s="65"/>
      <c r="Q3" s="66"/>
      <c r="R3" s="43" t="s">
        <v>125</v>
      </c>
      <c r="T3" s="122" t="s">
        <v>210</v>
      </c>
      <c r="U3" s="122"/>
      <c r="V3" s="244" t="s">
        <v>210</v>
      </c>
      <c r="W3" s="112"/>
      <c r="AB3" s="112"/>
      <c r="AC3" s="112"/>
      <c r="AD3" s="112"/>
      <c r="AE3" s="112"/>
      <c r="AF3" s="112"/>
      <c r="AG3" s="112"/>
      <c r="AH3" s="112"/>
      <c r="AI3" s="64"/>
      <c r="AJ3" s="103"/>
      <c r="AK3" s="109"/>
    </row>
    <row r="4" spans="3:41" x14ac:dyDescent="0.25"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5"/>
      <c r="Q4" s="43"/>
      <c r="T4" s="42"/>
      <c r="U4" s="42"/>
      <c r="V4" s="42"/>
      <c r="W4" s="42"/>
      <c r="AB4" s="42"/>
      <c r="AC4" s="42"/>
      <c r="AD4" s="42"/>
      <c r="AE4" s="42"/>
      <c r="AF4" s="42"/>
      <c r="AG4" s="42"/>
      <c r="AH4" s="42"/>
      <c r="AI4" s="42"/>
      <c r="AJ4" s="42"/>
      <c r="AK4" s="42"/>
    </row>
    <row r="5" spans="3:41" x14ac:dyDescent="0.25">
      <c r="D5" s="42"/>
      <c r="E5" s="46"/>
      <c r="F5" s="49"/>
      <c r="G5" s="46"/>
      <c r="H5" s="46"/>
      <c r="I5" s="46"/>
      <c r="J5" s="46"/>
      <c r="K5" s="46"/>
      <c r="L5" s="46"/>
      <c r="M5" s="46"/>
      <c r="N5" s="46"/>
      <c r="O5" s="49"/>
      <c r="P5" s="53"/>
      <c r="Q5" s="49"/>
      <c r="R5" s="54" t="s">
        <v>213</v>
      </c>
      <c r="S5" s="53"/>
      <c r="T5" s="49"/>
      <c r="U5" s="42"/>
      <c r="V5" s="42"/>
      <c r="W5" s="55"/>
      <c r="AB5" s="42"/>
      <c r="AC5" s="42"/>
      <c r="AD5" s="42"/>
      <c r="AE5" s="42"/>
      <c r="AF5" s="42"/>
      <c r="AG5" s="42"/>
      <c r="AH5" s="42"/>
      <c r="AI5" s="42"/>
      <c r="AJ5" s="42"/>
      <c r="AK5" s="42"/>
      <c r="AN5" s="111"/>
      <c r="AO5" s="63"/>
    </row>
    <row r="6" spans="3:41" x14ac:dyDescent="0.25">
      <c r="C6" s="43"/>
      <c r="D6" s="42"/>
      <c r="E6" s="42"/>
      <c r="F6" s="50"/>
      <c r="G6" s="50"/>
      <c r="H6" s="57"/>
      <c r="I6" s="57"/>
      <c r="J6" s="57"/>
      <c r="K6" s="57"/>
      <c r="L6" s="57"/>
      <c r="M6" s="57"/>
      <c r="N6" s="50"/>
      <c r="O6" s="57"/>
      <c r="P6" s="104"/>
      <c r="Q6" s="57"/>
      <c r="R6" s="62"/>
      <c r="S6" s="52"/>
      <c r="T6" s="51"/>
      <c r="U6" s="42"/>
      <c r="V6" s="42"/>
      <c r="W6" s="44"/>
      <c r="AB6" s="42"/>
      <c r="AC6" s="42"/>
      <c r="AD6" s="42"/>
      <c r="AE6" s="42"/>
      <c r="AF6" s="42"/>
      <c r="AG6" s="42"/>
      <c r="AH6" s="42"/>
      <c r="AI6" s="42"/>
      <c r="AJ6" s="42"/>
      <c r="AK6" s="42"/>
      <c r="AN6" s="111"/>
      <c r="AO6" s="59"/>
    </row>
    <row r="7" spans="3:41" x14ac:dyDescent="0.25">
      <c r="C7" s="43"/>
      <c r="D7" s="42"/>
      <c r="E7" s="42"/>
      <c r="F7" s="42"/>
      <c r="G7" s="50"/>
      <c r="H7" s="57"/>
      <c r="I7" s="57"/>
      <c r="J7" s="57"/>
      <c r="K7" s="57"/>
      <c r="L7" s="57"/>
      <c r="M7" s="57"/>
      <c r="N7" s="50"/>
      <c r="O7" s="57"/>
      <c r="P7" s="104"/>
      <c r="Q7" s="57"/>
      <c r="R7" s="123" t="s">
        <v>209</v>
      </c>
      <c r="T7" s="55"/>
      <c r="U7" s="42"/>
      <c r="W7" s="44"/>
      <c r="AB7" s="42"/>
      <c r="AC7" s="42"/>
      <c r="AD7" s="42"/>
      <c r="AE7" s="42"/>
      <c r="AF7" s="42"/>
      <c r="AG7" s="42"/>
      <c r="AH7" s="42"/>
      <c r="AI7" s="42"/>
      <c r="AJ7" s="42"/>
      <c r="AK7" s="42"/>
      <c r="AN7" s="111"/>
      <c r="AO7" s="61"/>
    </row>
    <row r="8" spans="3:41" x14ac:dyDescent="0.25">
      <c r="C8" s="43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56"/>
      <c r="P8" s="52"/>
      <c r="Q8" s="51"/>
      <c r="R8" s="48"/>
      <c r="S8" s="43"/>
      <c r="T8" s="42"/>
      <c r="U8" s="42"/>
      <c r="V8" s="43"/>
      <c r="W8" s="44"/>
      <c r="AB8" s="42"/>
      <c r="AC8" s="42"/>
      <c r="AD8" s="42"/>
      <c r="AE8" s="44"/>
      <c r="AF8" s="42"/>
      <c r="AG8" s="42"/>
      <c r="AH8" s="42"/>
      <c r="AI8" s="42"/>
      <c r="AJ8" s="42"/>
      <c r="AK8" s="42"/>
      <c r="AN8" s="111"/>
      <c r="AO8" s="58"/>
    </row>
    <row r="9" spans="3:41" x14ac:dyDescent="0.25">
      <c r="C9" s="4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5"/>
      <c r="Q9" s="43"/>
      <c r="R9" s="130" t="s">
        <v>216</v>
      </c>
      <c r="S9" s="43"/>
      <c r="T9" s="42"/>
      <c r="U9" s="42"/>
      <c r="V9" s="42"/>
      <c r="W9" s="44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7"/>
      <c r="AN9" s="111"/>
      <c r="AO9" s="60"/>
    </row>
    <row r="10" spans="3:41" x14ac:dyDescent="0.25">
      <c r="C10" s="43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5"/>
      <c r="Q10" s="43"/>
      <c r="S10" s="43"/>
      <c r="T10" s="42"/>
      <c r="U10" s="42"/>
      <c r="V10" s="42"/>
      <c r="W10" s="44"/>
      <c r="AB10" s="42"/>
      <c r="AC10" s="42"/>
      <c r="AD10" s="42"/>
      <c r="AE10" s="42"/>
      <c r="AF10" s="42"/>
      <c r="AG10" s="42"/>
      <c r="AH10" s="42"/>
      <c r="AI10" s="42"/>
      <c r="AJ10" s="42"/>
      <c r="AK10" s="42"/>
    </row>
    <row r="11" spans="3:41" x14ac:dyDescent="0.25">
      <c r="C11" s="4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5"/>
      <c r="Q11" s="43"/>
      <c r="S11" s="43"/>
      <c r="T11" s="42"/>
      <c r="U11" s="42"/>
      <c r="V11" s="42"/>
      <c r="W11" s="44"/>
      <c r="AB11" s="42"/>
      <c r="AC11" s="42"/>
      <c r="AD11" s="42"/>
      <c r="AE11" s="42"/>
      <c r="AF11" s="42"/>
      <c r="AG11" s="42"/>
      <c r="AH11" s="42"/>
      <c r="AI11" s="42"/>
      <c r="AJ11" s="42"/>
      <c r="AK11" s="42"/>
    </row>
    <row r="12" spans="3:41" x14ac:dyDescent="0.25">
      <c r="C12" s="43"/>
      <c r="D12" s="42"/>
      <c r="E12" s="46"/>
      <c r="F12" s="49"/>
      <c r="G12" s="46"/>
      <c r="H12" s="46"/>
      <c r="I12" s="46"/>
      <c r="J12" s="46"/>
      <c r="K12" s="46"/>
      <c r="L12" s="46"/>
      <c r="M12" s="46"/>
      <c r="N12" s="46"/>
      <c r="O12" s="49"/>
      <c r="P12" s="53"/>
      <c r="Q12" s="49"/>
      <c r="R12" s="54" t="s">
        <v>214</v>
      </c>
      <c r="S12" s="53"/>
      <c r="T12" s="49"/>
      <c r="U12" s="42"/>
      <c r="V12" s="42"/>
      <c r="W12" s="44"/>
      <c r="AB12" s="42"/>
      <c r="AC12" s="42"/>
      <c r="AD12" s="42"/>
      <c r="AE12" s="42"/>
      <c r="AF12" s="42"/>
      <c r="AG12" s="42"/>
      <c r="AH12" s="42"/>
      <c r="AI12" s="42"/>
      <c r="AJ12" s="42"/>
      <c r="AK12" s="42"/>
    </row>
    <row r="13" spans="3:41" x14ac:dyDescent="0.25">
      <c r="C13" s="43"/>
      <c r="D13" s="42"/>
      <c r="E13" s="42"/>
      <c r="F13" s="50"/>
      <c r="G13" s="50"/>
      <c r="H13" s="57"/>
      <c r="I13" s="57"/>
      <c r="J13" s="57"/>
      <c r="K13" s="57"/>
      <c r="L13" s="57"/>
      <c r="M13" s="57"/>
      <c r="N13" s="50"/>
      <c r="O13" s="57"/>
      <c r="P13" s="104"/>
      <c r="Q13" s="57"/>
      <c r="R13" s="62"/>
      <c r="S13" s="52"/>
      <c r="T13" s="51"/>
      <c r="U13" s="42"/>
      <c r="V13" s="42"/>
      <c r="W13" s="44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N13" s="41"/>
    </row>
    <row r="14" spans="3:41" x14ac:dyDescent="0.25">
      <c r="C14" s="43"/>
      <c r="D14" s="42"/>
      <c r="E14" s="42"/>
      <c r="F14" s="42"/>
      <c r="G14" s="50"/>
      <c r="H14" s="57"/>
      <c r="I14" s="57"/>
      <c r="J14" s="57"/>
      <c r="K14" s="57"/>
      <c r="L14" s="57"/>
      <c r="M14" s="57"/>
      <c r="N14" s="50"/>
      <c r="O14" s="57"/>
      <c r="P14" s="104"/>
      <c r="Q14" s="57"/>
      <c r="R14" s="48"/>
      <c r="T14" s="55"/>
      <c r="U14" s="42"/>
      <c r="W14" s="44"/>
      <c r="AB14" s="42"/>
      <c r="AC14" s="42"/>
      <c r="AD14" s="42"/>
      <c r="AE14" s="42"/>
      <c r="AF14" s="42"/>
      <c r="AG14" s="42"/>
      <c r="AH14" s="42"/>
      <c r="AI14" s="42"/>
      <c r="AJ14" s="42"/>
      <c r="AK14" s="42"/>
    </row>
    <row r="15" spans="3:41" x14ac:dyDescent="0.25">
      <c r="C15" s="43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5"/>
      <c r="Q15" s="43"/>
      <c r="R15" s="130" t="s">
        <v>215</v>
      </c>
      <c r="S15" s="43"/>
      <c r="T15" s="42"/>
      <c r="U15" s="42"/>
      <c r="V15" s="43"/>
      <c r="W15" s="44"/>
      <c r="AB15" s="42"/>
      <c r="AC15" s="42"/>
      <c r="AD15" s="42"/>
      <c r="AE15" s="42"/>
      <c r="AF15" s="42"/>
      <c r="AG15" s="42"/>
      <c r="AH15" s="42"/>
      <c r="AI15" s="42"/>
      <c r="AJ15" s="42"/>
      <c r="AK15" s="42"/>
    </row>
    <row r="16" spans="3:41" x14ac:dyDescent="0.25">
      <c r="C16" s="4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5"/>
      <c r="Q16" s="43"/>
      <c r="S16" s="43"/>
      <c r="T16" s="42"/>
      <c r="U16" s="42"/>
      <c r="V16" s="42"/>
      <c r="W16" s="44"/>
      <c r="AB16" s="42"/>
      <c r="AC16" s="42"/>
      <c r="AD16" s="42"/>
      <c r="AE16" s="42"/>
      <c r="AF16" s="42"/>
      <c r="AG16" s="42"/>
      <c r="AH16" s="42"/>
      <c r="AI16" s="42"/>
      <c r="AJ16" s="42"/>
      <c r="AK16" s="42"/>
    </row>
    <row r="17" spans="3:40" x14ac:dyDescent="0.25">
      <c r="C17" s="4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5"/>
      <c r="Q17" s="43"/>
      <c r="S17" s="43"/>
      <c r="T17" s="42"/>
      <c r="U17" s="42"/>
      <c r="V17" s="42"/>
      <c r="W17" s="44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N17" s="41"/>
    </row>
    <row r="18" spans="3:40" x14ac:dyDescent="0.25">
      <c r="C18" s="43"/>
      <c r="D18" s="42"/>
      <c r="E18" s="46"/>
      <c r="F18" s="49"/>
      <c r="G18" s="46"/>
      <c r="H18" s="46"/>
      <c r="I18" s="46"/>
      <c r="J18" s="46"/>
      <c r="K18" s="46"/>
      <c r="L18" s="46"/>
      <c r="M18" s="46"/>
      <c r="N18" s="46"/>
      <c r="O18" s="49"/>
      <c r="P18" s="53"/>
      <c r="Q18" s="49"/>
      <c r="R18" s="54" t="s">
        <v>218</v>
      </c>
      <c r="S18" s="53"/>
      <c r="T18" s="49"/>
      <c r="U18" s="42"/>
      <c r="V18" s="42"/>
      <c r="W18" s="44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N18" s="59"/>
    </row>
    <row r="19" spans="3:40" x14ac:dyDescent="0.25">
      <c r="C19" s="43"/>
      <c r="D19" s="42"/>
      <c r="E19" s="42"/>
      <c r="F19" s="50"/>
      <c r="G19" s="50"/>
      <c r="H19" s="57"/>
      <c r="I19" s="57"/>
      <c r="J19" s="57"/>
      <c r="K19" s="57"/>
      <c r="L19" s="57"/>
      <c r="M19" s="57"/>
      <c r="N19" s="50"/>
      <c r="O19" s="57"/>
      <c r="P19" s="104"/>
      <c r="Q19" s="57"/>
      <c r="R19" s="62"/>
      <c r="S19" s="52"/>
      <c r="T19" s="51"/>
      <c r="U19" s="42"/>
      <c r="V19" s="42"/>
      <c r="W19" s="44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N19" s="59"/>
    </row>
    <row r="20" spans="3:40" x14ac:dyDescent="0.25">
      <c r="C20" s="43"/>
      <c r="D20" s="42"/>
      <c r="E20" s="42"/>
      <c r="F20" s="42"/>
      <c r="G20" s="50"/>
      <c r="H20" s="57"/>
      <c r="I20" s="57"/>
      <c r="J20" s="57"/>
      <c r="K20" s="57"/>
      <c r="L20" s="57"/>
      <c r="M20" s="57"/>
      <c r="N20" s="50"/>
      <c r="O20" s="57"/>
      <c r="P20" s="104"/>
      <c r="Q20" s="57"/>
      <c r="R20" s="48"/>
      <c r="T20" s="55"/>
      <c r="U20" s="42"/>
      <c r="W20" s="44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N20" s="59"/>
    </row>
    <row r="21" spans="3:40" x14ac:dyDescent="0.25">
      <c r="C21" s="43"/>
      <c r="D21" s="42"/>
      <c r="E21" s="42"/>
      <c r="F21" s="42"/>
      <c r="G21" s="42"/>
      <c r="H21" s="50"/>
      <c r="I21" s="57"/>
      <c r="J21" s="57"/>
      <c r="K21" s="57"/>
      <c r="L21" s="57"/>
      <c r="M21" s="57"/>
      <c r="N21" s="57"/>
      <c r="O21" s="57"/>
      <c r="P21" s="104"/>
      <c r="Q21" s="57"/>
      <c r="R21" s="48"/>
      <c r="S21" s="43"/>
      <c r="T21" s="42"/>
      <c r="U21" s="42"/>
      <c r="V21" s="43"/>
      <c r="W21" s="44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N21" s="58"/>
    </row>
    <row r="22" spans="3:40" x14ac:dyDescent="0.25">
      <c r="C22" s="4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5"/>
      <c r="Q22" s="43"/>
      <c r="R22" s="130" t="s">
        <v>217</v>
      </c>
      <c r="S22" s="43"/>
      <c r="T22" s="42"/>
      <c r="U22" s="42"/>
      <c r="V22" s="42"/>
      <c r="W22" s="44"/>
      <c r="AB22" s="42"/>
      <c r="AC22" s="42"/>
      <c r="AD22" s="42"/>
      <c r="AE22" s="42"/>
      <c r="AF22" s="42"/>
      <c r="AG22" s="42"/>
      <c r="AH22" s="42"/>
      <c r="AI22" s="42"/>
      <c r="AJ22" s="42"/>
      <c r="AK22" s="42"/>
    </row>
    <row r="23" spans="3:40" x14ac:dyDescent="0.25">
      <c r="C23" s="43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5"/>
      <c r="Q23" s="43"/>
      <c r="S23" s="43"/>
      <c r="T23" s="42"/>
      <c r="U23" s="42"/>
      <c r="V23" s="42"/>
      <c r="W23" s="44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3:40" x14ac:dyDescent="0.25">
      <c r="C24" s="43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5"/>
      <c r="Q24" s="43"/>
      <c r="T24" s="42"/>
      <c r="U24" s="42"/>
      <c r="V24" s="42"/>
      <c r="W24" s="44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N24" s="58"/>
    </row>
    <row r="25" spans="3:40" x14ac:dyDescent="0.25"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5"/>
      <c r="Q25" s="43"/>
      <c r="S25" s="43"/>
      <c r="T25" s="42"/>
      <c r="U25" s="42"/>
      <c r="V25" s="42"/>
      <c r="W25" s="44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3:40" x14ac:dyDescent="0.25"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5"/>
      <c r="Q26" s="43"/>
      <c r="S26" s="43"/>
      <c r="T26" s="42"/>
      <c r="U26" s="42"/>
      <c r="V26" s="42"/>
      <c r="W26" s="44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3:40" x14ac:dyDescent="0.25"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5"/>
      <c r="Q27" s="43"/>
      <c r="S27" s="43"/>
      <c r="T27" s="42"/>
      <c r="U27" s="42"/>
      <c r="V27" s="42"/>
      <c r="W27" s="44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3:40" x14ac:dyDescent="0.25"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5"/>
      <c r="Q28" s="43"/>
      <c r="S28" s="43"/>
      <c r="T28" s="42"/>
      <c r="U28" s="42"/>
      <c r="V28" s="42"/>
      <c r="W28" s="44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3:40" x14ac:dyDescent="0.25"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5"/>
      <c r="Q29" s="43"/>
      <c r="S29" s="43"/>
      <c r="T29" s="42"/>
      <c r="U29" s="42"/>
      <c r="V29" s="42"/>
      <c r="W29" s="44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3:40" x14ac:dyDescent="0.25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5"/>
      <c r="Q30" s="43"/>
      <c r="S30" s="43"/>
      <c r="T30" s="42"/>
      <c r="U30" s="42"/>
      <c r="V30" s="42"/>
      <c r="W30" s="44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3:40" x14ac:dyDescent="0.25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5"/>
      <c r="Q31" s="43"/>
      <c r="S31" s="43"/>
      <c r="T31" s="42"/>
      <c r="U31" s="42"/>
      <c r="V31" s="42"/>
      <c r="W31" s="44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3:40" x14ac:dyDescent="0.25"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5"/>
      <c r="Q32" s="43"/>
      <c r="S32" s="43"/>
      <c r="T32" s="42"/>
      <c r="U32" s="42"/>
      <c r="V32" s="42"/>
      <c r="W32" s="44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4:37" x14ac:dyDescent="0.25"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5"/>
      <c r="Q33" s="43"/>
      <c r="S33" s="43"/>
      <c r="T33" s="42"/>
      <c r="U33" s="42"/>
      <c r="V33" s="42"/>
      <c r="W33" s="44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4:37" x14ac:dyDescent="0.25"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5"/>
      <c r="Q34" s="43"/>
      <c r="S34" s="43"/>
      <c r="T34" s="42"/>
      <c r="U34" s="42"/>
      <c r="V34" s="42"/>
      <c r="W34" s="44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4:37" x14ac:dyDescent="0.25"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5"/>
      <c r="Q35" s="43"/>
      <c r="S35" s="43"/>
      <c r="T35" s="42"/>
      <c r="U35" s="42"/>
      <c r="V35" s="42"/>
      <c r="W35" s="44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4:37" x14ac:dyDescent="0.25"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5"/>
      <c r="Q36" s="43"/>
      <c r="S36" s="43"/>
      <c r="T36" s="42"/>
      <c r="U36" s="42"/>
      <c r="V36" s="42"/>
      <c r="W36" s="44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4:37" x14ac:dyDescent="0.25"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5"/>
      <c r="Q37" s="43"/>
      <c r="S37" s="43"/>
      <c r="T37" s="42"/>
      <c r="U37" s="42"/>
      <c r="V37" s="42"/>
      <c r="W37" s="44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4:37" x14ac:dyDescent="0.25"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5"/>
      <c r="Q38" s="43"/>
      <c r="S38" s="43"/>
      <c r="T38" s="42"/>
      <c r="U38" s="42"/>
      <c r="V38" s="42"/>
      <c r="W38" s="44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4:37" x14ac:dyDescent="0.25"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5"/>
      <c r="Q39" s="43"/>
      <c r="S39" s="43"/>
      <c r="T39" s="42"/>
      <c r="U39" s="42"/>
      <c r="V39" s="42"/>
      <c r="W39" s="44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4:37" x14ac:dyDescent="0.25"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5"/>
      <c r="Q40" s="43"/>
      <c r="S40" s="43"/>
      <c r="T40" s="42"/>
      <c r="U40" s="42"/>
      <c r="V40" s="42"/>
      <c r="W40" s="44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4:37" x14ac:dyDescent="0.25"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5"/>
      <c r="Q41" s="43"/>
      <c r="S41" s="43"/>
      <c r="T41" s="42"/>
      <c r="U41" s="42"/>
      <c r="V41" s="42"/>
      <c r="W41" s="44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4:37" x14ac:dyDescent="0.25"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5"/>
      <c r="Q42" s="43"/>
      <c r="S42" s="43"/>
      <c r="T42" s="42"/>
      <c r="U42" s="42"/>
      <c r="V42" s="42"/>
      <c r="W42" s="44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4:37" x14ac:dyDescent="0.25"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5"/>
      <c r="Q43" s="43"/>
      <c r="S43" s="43"/>
      <c r="T43" s="42"/>
      <c r="U43" s="42"/>
      <c r="V43" s="42"/>
      <c r="W43" s="44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4:37" x14ac:dyDescent="0.25"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5"/>
      <c r="Q44" s="43"/>
      <c r="S44" s="43"/>
      <c r="T44" s="42"/>
      <c r="U44" s="42"/>
      <c r="V44" s="42"/>
      <c r="W44" s="44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4:37" x14ac:dyDescent="0.25"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5"/>
      <c r="Q45" s="43"/>
      <c r="S45" s="43"/>
      <c r="T45" s="42"/>
      <c r="U45" s="42"/>
      <c r="V45" s="42"/>
      <c r="W45" s="44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  <row r="46" spans="4:37" x14ac:dyDescent="0.25"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5"/>
      <c r="Q46" s="43"/>
      <c r="S46" s="43"/>
      <c r="T46" s="42"/>
      <c r="U46" s="42"/>
      <c r="V46" s="42"/>
      <c r="W46" s="44"/>
      <c r="AB46" s="42"/>
      <c r="AC46" s="42"/>
      <c r="AD46" s="42"/>
      <c r="AE46" s="42"/>
      <c r="AF46" s="42"/>
      <c r="AG46" s="42"/>
      <c r="AH46" s="42"/>
      <c r="AI46" s="42"/>
      <c r="AJ46" s="42"/>
      <c r="AK46" s="42"/>
    </row>
    <row r="47" spans="4:37" x14ac:dyDescent="0.25"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5"/>
      <c r="Q47" s="43"/>
      <c r="S47" s="43"/>
      <c r="T47" s="42"/>
      <c r="U47" s="42"/>
      <c r="V47" s="42"/>
      <c r="W47" s="44"/>
      <c r="AB47" s="42"/>
      <c r="AC47" s="42"/>
      <c r="AD47" s="42"/>
      <c r="AE47" s="42"/>
      <c r="AF47" s="42"/>
      <c r="AG47" s="42"/>
      <c r="AH47" s="42"/>
      <c r="AI47" s="42"/>
      <c r="AJ47" s="42"/>
      <c r="AK47" s="42"/>
    </row>
    <row r="48" spans="4:37" x14ac:dyDescent="0.25"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5"/>
      <c r="Q48" s="43"/>
      <c r="S48" s="43"/>
      <c r="T48" s="42"/>
      <c r="U48" s="42"/>
      <c r="V48" s="42"/>
      <c r="W48" s="44"/>
      <c r="AB48" s="42"/>
      <c r="AC48" s="42"/>
      <c r="AD48" s="42"/>
      <c r="AE48" s="42"/>
      <c r="AF48" s="42"/>
      <c r="AG48" s="42"/>
      <c r="AH48" s="42"/>
      <c r="AI48" s="42"/>
      <c r="AJ48" s="42"/>
      <c r="AK48" s="42"/>
    </row>
    <row r="49" spans="4:37" x14ac:dyDescent="0.25"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5"/>
      <c r="Q49" s="43"/>
      <c r="S49" s="43"/>
      <c r="T49" s="42"/>
      <c r="U49" s="42"/>
      <c r="V49" s="42"/>
      <c r="W49" s="44"/>
      <c r="AB49" s="42"/>
      <c r="AC49" s="42"/>
      <c r="AD49" s="42"/>
      <c r="AE49" s="42"/>
      <c r="AF49" s="42"/>
      <c r="AG49" s="42"/>
      <c r="AH49" s="42"/>
      <c r="AI49" s="42"/>
      <c r="AJ49" s="42"/>
      <c r="AK49" s="42"/>
    </row>
    <row r="50" spans="4:37" x14ac:dyDescent="0.25"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5"/>
      <c r="Q50" s="43"/>
      <c r="S50" s="43"/>
      <c r="T50" s="42"/>
      <c r="U50" s="42"/>
      <c r="V50" s="42"/>
      <c r="W50" s="44"/>
      <c r="AB50" s="42"/>
      <c r="AC50" s="42"/>
      <c r="AD50" s="42"/>
      <c r="AE50" s="42"/>
      <c r="AF50" s="42"/>
      <c r="AG50" s="42"/>
      <c r="AH50" s="42"/>
      <c r="AI50" s="42"/>
      <c r="AJ50" s="42"/>
      <c r="AK50" s="42"/>
    </row>
    <row r="51" spans="4:37" x14ac:dyDescent="0.25"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5"/>
      <c r="Q51" s="43"/>
      <c r="S51" s="43"/>
      <c r="T51" s="42"/>
      <c r="U51" s="42"/>
      <c r="V51" s="42"/>
      <c r="W51" s="44"/>
      <c r="AB51" s="42"/>
      <c r="AC51" s="42"/>
      <c r="AD51" s="42"/>
      <c r="AE51" s="42"/>
      <c r="AF51" s="42"/>
      <c r="AG51" s="42"/>
      <c r="AH51" s="42"/>
      <c r="AI51" s="42"/>
      <c r="AJ51" s="42"/>
      <c r="AK51" s="42"/>
    </row>
    <row r="52" spans="4:37" x14ac:dyDescent="0.25"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5"/>
      <c r="Q52" s="43"/>
      <c r="S52" s="43"/>
      <c r="T52" s="42"/>
      <c r="U52" s="42"/>
      <c r="V52" s="42"/>
      <c r="W52" s="44"/>
      <c r="AB52" s="42"/>
      <c r="AC52" s="42"/>
      <c r="AD52" s="42"/>
      <c r="AE52" s="42"/>
      <c r="AF52" s="42"/>
      <c r="AG52" s="42"/>
      <c r="AH52" s="42"/>
      <c r="AI52" s="42"/>
      <c r="AJ52" s="42"/>
      <c r="AK52" s="42"/>
    </row>
    <row r="53" spans="4:37" x14ac:dyDescent="0.25"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5"/>
      <c r="Q53" s="43"/>
      <c r="S53" s="43"/>
      <c r="T53" s="42"/>
      <c r="U53" s="42"/>
      <c r="V53" s="42"/>
      <c r="W53" s="44"/>
      <c r="AB53" s="42"/>
      <c r="AC53" s="42"/>
      <c r="AD53" s="42"/>
      <c r="AE53" s="42"/>
      <c r="AF53" s="42"/>
      <c r="AG53" s="42"/>
      <c r="AH53" s="42"/>
      <c r="AI53" s="42"/>
      <c r="AJ53" s="42"/>
      <c r="AK53" s="42"/>
    </row>
    <row r="54" spans="4:37" x14ac:dyDescent="0.25"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5"/>
      <c r="Q54" s="43"/>
      <c r="S54" s="43"/>
      <c r="T54" s="42"/>
      <c r="U54" s="42"/>
      <c r="V54" s="42"/>
      <c r="W54" s="44"/>
      <c r="AB54" s="42"/>
      <c r="AC54" s="42"/>
      <c r="AD54" s="42"/>
      <c r="AE54" s="42"/>
      <c r="AF54" s="42"/>
      <c r="AG54" s="42"/>
      <c r="AH54" s="42"/>
      <c r="AI54" s="42"/>
      <c r="AJ54" s="42"/>
      <c r="AK54" s="42"/>
    </row>
    <row r="55" spans="4:37" x14ac:dyDescent="0.25"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5"/>
      <c r="Q55" s="43"/>
      <c r="S55" s="43"/>
      <c r="T55" s="42"/>
      <c r="U55" s="42"/>
      <c r="V55" s="42"/>
      <c r="W55" s="44"/>
      <c r="AB55" s="42"/>
      <c r="AC55" s="42"/>
      <c r="AD55" s="42"/>
      <c r="AE55" s="42"/>
      <c r="AF55" s="42"/>
      <c r="AG55" s="42"/>
      <c r="AH55" s="42"/>
      <c r="AI55" s="42"/>
      <c r="AJ55" s="42"/>
      <c r="AK55" s="42"/>
    </row>
    <row r="56" spans="4:37" x14ac:dyDescent="0.25"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5"/>
      <c r="Q56" s="43"/>
      <c r="S56" s="43"/>
      <c r="T56" s="42"/>
      <c r="U56" s="42"/>
      <c r="V56" s="42"/>
      <c r="W56" s="44"/>
      <c r="AB56" s="42"/>
      <c r="AC56" s="42"/>
      <c r="AD56" s="42"/>
      <c r="AE56" s="42"/>
      <c r="AF56" s="42"/>
      <c r="AG56" s="42"/>
      <c r="AH56" s="42"/>
      <c r="AI56" s="42"/>
      <c r="AJ56" s="42"/>
      <c r="AK56" s="42"/>
    </row>
    <row r="57" spans="4:37" x14ac:dyDescent="0.25"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5"/>
      <c r="Q57" s="43"/>
      <c r="S57" s="43"/>
      <c r="T57" s="42"/>
      <c r="U57" s="42"/>
      <c r="V57" s="42"/>
      <c r="W57" s="44"/>
      <c r="AB57" s="42"/>
      <c r="AC57" s="42"/>
      <c r="AD57" s="42"/>
      <c r="AE57" s="42"/>
      <c r="AF57" s="42"/>
      <c r="AG57" s="42"/>
      <c r="AH57" s="42"/>
      <c r="AI57" s="42"/>
      <c r="AJ57" s="42"/>
      <c r="AK57" s="42"/>
    </row>
    <row r="58" spans="4:37" x14ac:dyDescent="0.25"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5"/>
      <c r="Q58" s="43"/>
      <c r="S58" s="43"/>
      <c r="T58" s="42"/>
      <c r="U58" s="42"/>
      <c r="V58" s="42"/>
      <c r="W58" s="44"/>
      <c r="AB58" s="42"/>
      <c r="AC58" s="42"/>
      <c r="AD58" s="42"/>
      <c r="AE58" s="42"/>
      <c r="AF58" s="42"/>
      <c r="AG58" s="42"/>
      <c r="AH58" s="42"/>
      <c r="AI58" s="42"/>
      <c r="AJ58" s="42"/>
      <c r="AK58" s="42"/>
    </row>
    <row r="59" spans="4:37" x14ac:dyDescent="0.25"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5"/>
      <c r="Q59" s="43"/>
      <c r="S59" s="43"/>
      <c r="T59" s="42"/>
      <c r="U59" s="42"/>
      <c r="V59" s="42"/>
      <c r="W59" s="44"/>
      <c r="AB59" s="42"/>
      <c r="AC59" s="42"/>
      <c r="AD59" s="42"/>
      <c r="AE59" s="42"/>
      <c r="AF59" s="42"/>
      <c r="AG59" s="42"/>
      <c r="AH59" s="42"/>
      <c r="AI59" s="42"/>
      <c r="AJ59" s="42"/>
      <c r="AK59" s="42"/>
    </row>
    <row r="60" spans="4:37" x14ac:dyDescent="0.25"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5"/>
      <c r="Q60" s="43"/>
      <c r="S60" s="43"/>
      <c r="T60" s="42"/>
      <c r="U60" s="42"/>
      <c r="V60" s="42"/>
      <c r="W60" s="44"/>
      <c r="AB60" s="42"/>
      <c r="AC60" s="42"/>
      <c r="AD60" s="42"/>
      <c r="AE60" s="42"/>
      <c r="AF60" s="42"/>
      <c r="AG60" s="42"/>
      <c r="AH60" s="42"/>
      <c r="AI60" s="42"/>
      <c r="AJ60" s="42"/>
      <c r="AK60" s="42"/>
    </row>
    <row r="61" spans="4:37" x14ac:dyDescent="0.25"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5"/>
      <c r="Q61" s="43"/>
      <c r="S61" s="43"/>
      <c r="T61" s="42"/>
      <c r="U61" s="42"/>
      <c r="V61" s="42"/>
      <c r="W61" s="44"/>
      <c r="AB61" s="42"/>
      <c r="AC61" s="42"/>
      <c r="AD61" s="42"/>
      <c r="AE61" s="42"/>
      <c r="AF61" s="42"/>
      <c r="AG61" s="42"/>
      <c r="AH61" s="42"/>
      <c r="AI61" s="42"/>
      <c r="AJ61" s="42"/>
      <c r="AK61" s="42"/>
    </row>
    <row r="62" spans="4:37" x14ac:dyDescent="0.25"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5"/>
      <c r="Q62" s="43"/>
      <c r="S62" s="43"/>
      <c r="T62" s="42"/>
      <c r="U62" s="42"/>
      <c r="V62" s="42"/>
      <c r="W62" s="44"/>
      <c r="AB62" s="42"/>
      <c r="AC62" s="42"/>
      <c r="AD62" s="42"/>
      <c r="AE62" s="42"/>
      <c r="AF62" s="42"/>
      <c r="AG62" s="42"/>
      <c r="AH62" s="42"/>
      <c r="AI62" s="42"/>
      <c r="AJ62" s="42"/>
      <c r="AK62" s="42"/>
    </row>
    <row r="63" spans="4:37" x14ac:dyDescent="0.25"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5"/>
      <c r="Q63" s="43"/>
      <c r="S63" s="43"/>
      <c r="T63" s="42"/>
      <c r="U63" s="42"/>
      <c r="V63" s="42"/>
      <c r="W63" s="44"/>
      <c r="AB63" s="42"/>
      <c r="AC63" s="42"/>
      <c r="AD63" s="42"/>
      <c r="AE63" s="42"/>
      <c r="AF63" s="42"/>
      <c r="AG63" s="42"/>
      <c r="AH63" s="42"/>
      <c r="AI63" s="42"/>
      <c r="AJ63" s="42"/>
      <c r="AK63" s="42"/>
    </row>
    <row r="64" spans="4:37" x14ac:dyDescent="0.25"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5"/>
      <c r="Q64" s="43"/>
      <c r="S64" s="43"/>
      <c r="T64" s="42"/>
      <c r="U64" s="42"/>
      <c r="V64" s="42"/>
      <c r="W64" s="44"/>
      <c r="AB64" s="42"/>
      <c r="AC64" s="42"/>
      <c r="AD64" s="42"/>
      <c r="AE64" s="42"/>
      <c r="AF64" s="42"/>
      <c r="AG64" s="42"/>
      <c r="AH64" s="42"/>
      <c r="AI64" s="42"/>
      <c r="AJ64" s="42"/>
      <c r="AK64" s="42"/>
    </row>
    <row r="65" spans="4:37" x14ac:dyDescent="0.25"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5"/>
      <c r="Q65" s="43"/>
      <c r="S65" s="43"/>
      <c r="T65" s="42"/>
      <c r="U65" s="42"/>
      <c r="V65" s="42"/>
      <c r="W65" s="44"/>
      <c r="AB65" s="42"/>
      <c r="AC65" s="42"/>
      <c r="AD65" s="42"/>
      <c r="AE65" s="42"/>
      <c r="AF65" s="42"/>
      <c r="AG65" s="42"/>
      <c r="AH65" s="42"/>
      <c r="AI65" s="42"/>
      <c r="AJ65" s="42"/>
      <c r="AK65" s="42"/>
    </row>
    <row r="66" spans="4:37" x14ac:dyDescent="0.25"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5"/>
      <c r="Q66" s="43"/>
      <c r="S66" s="43"/>
      <c r="T66" s="42"/>
      <c r="U66" s="42"/>
      <c r="V66" s="42"/>
      <c r="W66" s="44"/>
      <c r="AB66" s="42"/>
      <c r="AC66" s="42"/>
      <c r="AD66" s="42"/>
      <c r="AE66" s="42"/>
      <c r="AF66" s="42"/>
      <c r="AG66" s="42"/>
      <c r="AH66" s="42"/>
      <c r="AI66" s="42"/>
      <c r="AJ66" s="42"/>
      <c r="AK66" s="42"/>
    </row>
    <row r="67" spans="4:37" x14ac:dyDescent="0.25"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5"/>
      <c r="Q67" s="43"/>
      <c r="S67" s="43"/>
      <c r="T67" s="42"/>
      <c r="U67" s="42"/>
      <c r="V67" s="42"/>
      <c r="W67" s="44"/>
      <c r="AB67" s="42"/>
      <c r="AC67" s="42"/>
      <c r="AD67" s="42"/>
      <c r="AE67" s="42"/>
      <c r="AF67" s="42"/>
      <c r="AG67" s="42"/>
      <c r="AH67" s="42"/>
      <c r="AI67" s="42"/>
      <c r="AJ67" s="42"/>
      <c r="AK67" s="42"/>
    </row>
    <row r="68" spans="4:37" x14ac:dyDescent="0.25"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5"/>
      <c r="Q68" s="43"/>
      <c r="S68" s="43"/>
      <c r="T68" s="42"/>
      <c r="U68" s="42"/>
      <c r="V68" s="42"/>
      <c r="W68" s="44"/>
      <c r="AB68" s="42"/>
      <c r="AC68" s="42"/>
      <c r="AD68" s="42"/>
      <c r="AE68" s="42"/>
      <c r="AF68" s="42"/>
      <c r="AG68" s="42"/>
      <c r="AH68" s="42"/>
      <c r="AI68" s="42"/>
      <c r="AJ68" s="42"/>
      <c r="AK68" s="42"/>
    </row>
    <row r="69" spans="4:37" x14ac:dyDescent="0.25"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5"/>
      <c r="Q69" s="43"/>
      <c r="S69" s="43"/>
      <c r="T69" s="42"/>
      <c r="U69" s="42"/>
      <c r="V69" s="42"/>
      <c r="W69" s="44"/>
      <c r="AB69" s="42"/>
      <c r="AC69" s="42"/>
      <c r="AD69" s="42"/>
      <c r="AE69" s="42"/>
      <c r="AF69" s="42"/>
      <c r="AG69" s="42"/>
      <c r="AH69" s="42"/>
      <c r="AI69" s="42"/>
      <c r="AJ69" s="42"/>
      <c r="AK69" s="42"/>
    </row>
    <row r="70" spans="4:37" x14ac:dyDescent="0.25"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5"/>
      <c r="Q70" s="43"/>
      <c r="S70" s="43"/>
      <c r="T70" s="42"/>
      <c r="U70" s="42"/>
      <c r="V70" s="42"/>
      <c r="W70" s="44"/>
      <c r="AB70" s="42"/>
      <c r="AC70" s="42"/>
      <c r="AD70" s="42"/>
      <c r="AE70" s="42"/>
      <c r="AF70" s="42"/>
      <c r="AG70" s="42"/>
      <c r="AH70" s="42"/>
      <c r="AI70" s="42"/>
      <c r="AJ70" s="42"/>
      <c r="AK70" s="42"/>
    </row>
    <row r="71" spans="4:37" x14ac:dyDescent="0.25"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5"/>
      <c r="Q71" s="43"/>
      <c r="S71" s="43"/>
      <c r="T71" s="42"/>
      <c r="U71" s="42"/>
      <c r="V71" s="42"/>
      <c r="W71" s="44"/>
      <c r="AB71" s="42"/>
      <c r="AC71" s="42"/>
      <c r="AD71" s="42"/>
      <c r="AE71" s="42"/>
      <c r="AF71" s="42"/>
      <c r="AG71" s="42"/>
      <c r="AH71" s="42"/>
      <c r="AI71" s="42"/>
      <c r="AJ71" s="42"/>
      <c r="AK71" s="42"/>
    </row>
    <row r="72" spans="4:37" x14ac:dyDescent="0.25"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5"/>
      <c r="Q72" s="43"/>
      <c r="S72" s="43"/>
      <c r="T72" s="42"/>
      <c r="U72" s="42"/>
      <c r="V72" s="42"/>
      <c r="W72" s="44"/>
      <c r="AB72" s="42"/>
      <c r="AC72" s="42"/>
      <c r="AD72" s="42"/>
      <c r="AE72" s="42"/>
      <c r="AF72" s="42"/>
      <c r="AG72" s="42"/>
      <c r="AH72" s="42"/>
      <c r="AI72" s="42"/>
      <c r="AJ72" s="42"/>
      <c r="AK72" s="42"/>
    </row>
    <row r="73" spans="4:37" x14ac:dyDescent="0.25"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5"/>
      <c r="Q73" s="43"/>
      <c r="S73" s="43"/>
      <c r="T73" s="42"/>
      <c r="U73" s="42"/>
      <c r="V73" s="42"/>
      <c r="W73" s="44"/>
      <c r="AB73" s="42"/>
      <c r="AC73" s="42"/>
      <c r="AD73" s="42"/>
      <c r="AE73" s="42"/>
      <c r="AF73" s="42"/>
      <c r="AG73" s="42"/>
      <c r="AH73" s="42"/>
      <c r="AI73" s="42"/>
      <c r="AJ73" s="42"/>
      <c r="AK73" s="42"/>
    </row>
    <row r="74" spans="4:37" x14ac:dyDescent="0.25"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5"/>
      <c r="Q74" s="43"/>
      <c r="S74" s="43"/>
      <c r="T74" s="42"/>
      <c r="U74" s="42"/>
      <c r="V74" s="42"/>
      <c r="W74" s="44"/>
      <c r="AB74" s="42"/>
      <c r="AC74" s="42"/>
      <c r="AD74" s="42"/>
      <c r="AE74" s="42"/>
      <c r="AF74" s="42"/>
      <c r="AG74" s="42"/>
      <c r="AH74" s="42"/>
      <c r="AI74" s="42"/>
      <c r="AJ74" s="42"/>
      <c r="AK74" s="42"/>
    </row>
    <row r="75" spans="4:37" x14ac:dyDescent="0.25"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5"/>
      <c r="Q75" s="43"/>
      <c r="S75" s="43"/>
      <c r="T75" s="42"/>
      <c r="U75" s="42"/>
      <c r="V75" s="42"/>
      <c r="W75" s="44"/>
      <c r="AB75" s="42"/>
      <c r="AC75" s="42"/>
      <c r="AD75" s="42"/>
      <c r="AE75" s="42"/>
      <c r="AF75" s="42"/>
      <c r="AG75" s="42"/>
      <c r="AH75" s="42"/>
      <c r="AI75" s="42"/>
      <c r="AJ75" s="42"/>
      <c r="AK75" s="42"/>
    </row>
    <row r="76" spans="4:37" x14ac:dyDescent="0.25"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5"/>
      <c r="Q76" s="43"/>
      <c r="S76" s="43"/>
      <c r="T76" s="42"/>
      <c r="U76" s="42"/>
      <c r="V76" s="42"/>
      <c r="W76" s="44"/>
      <c r="AB76" s="42"/>
      <c r="AC76" s="42"/>
      <c r="AD76" s="42"/>
      <c r="AE76" s="42"/>
      <c r="AF76" s="42"/>
      <c r="AG76" s="42"/>
      <c r="AH76" s="42"/>
      <c r="AI76" s="42"/>
      <c r="AJ76" s="42"/>
      <c r="AK76" s="42"/>
    </row>
    <row r="77" spans="4:37" x14ac:dyDescent="0.25"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5"/>
      <c r="Q77" s="43"/>
      <c r="S77" s="43"/>
      <c r="T77" s="42"/>
      <c r="U77" s="42"/>
      <c r="V77" s="42"/>
      <c r="W77" s="44"/>
      <c r="AB77" s="42"/>
      <c r="AC77" s="42"/>
      <c r="AD77" s="42"/>
      <c r="AE77" s="42"/>
      <c r="AF77" s="42"/>
      <c r="AG77" s="42"/>
      <c r="AH77" s="42"/>
      <c r="AI77" s="42"/>
      <c r="AJ77" s="42"/>
      <c r="AK77" s="42"/>
    </row>
    <row r="78" spans="4:37" x14ac:dyDescent="0.25"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5"/>
      <c r="Q78" s="43"/>
      <c r="S78" s="43"/>
      <c r="T78" s="42"/>
      <c r="U78" s="42"/>
      <c r="V78" s="42"/>
      <c r="W78" s="44"/>
      <c r="AB78" s="42"/>
      <c r="AC78" s="42"/>
      <c r="AD78" s="42"/>
      <c r="AE78" s="42"/>
      <c r="AF78" s="42"/>
      <c r="AG78" s="42"/>
      <c r="AH78" s="42"/>
      <c r="AI78" s="42"/>
      <c r="AJ78" s="42"/>
      <c r="AK78" s="42"/>
    </row>
    <row r="79" spans="4:37" x14ac:dyDescent="0.25"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5"/>
      <c r="Q79" s="43"/>
      <c r="S79" s="43"/>
      <c r="T79" s="42"/>
      <c r="U79" s="42"/>
      <c r="V79" s="42"/>
      <c r="W79" s="44"/>
      <c r="AB79" s="42"/>
      <c r="AC79" s="42"/>
      <c r="AD79" s="42"/>
      <c r="AE79" s="42"/>
      <c r="AF79" s="42"/>
      <c r="AG79" s="42"/>
      <c r="AH79" s="42"/>
      <c r="AI79" s="42"/>
      <c r="AJ79" s="42"/>
      <c r="AK79" s="42"/>
    </row>
    <row r="80" spans="4:37" x14ac:dyDescent="0.25"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5"/>
      <c r="Q80" s="43"/>
      <c r="S80" s="43"/>
      <c r="T80" s="42"/>
      <c r="U80" s="42"/>
      <c r="V80" s="42"/>
      <c r="W80" s="44"/>
      <c r="AB80" s="42"/>
      <c r="AC80" s="42"/>
      <c r="AD80" s="42"/>
      <c r="AE80" s="42"/>
      <c r="AF80" s="42"/>
      <c r="AG80" s="42"/>
      <c r="AH80" s="42"/>
      <c r="AI80" s="42"/>
      <c r="AJ80" s="42"/>
      <c r="AK80" s="42"/>
    </row>
    <row r="81" spans="4:37" x14ac:dyDescent="0.25"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5"/>
      <c r="Q81" s="43"/>
      <c r="S81" s="43"/>
      <c r="T81" s="42"/>
      <c r="U81" s="42"/>
      <c r="V81" s="42"/>
      <c r="W81" s="44"/>
      <c r="AB81" s="42"/>
      <c r="AC81" s="42"/>
      <c r="AD81" s="42"/>
      <c r="AE81" s="42"/>
      <c r="AF81" s="42"/>
      <c r="AG81" s="42"/>
      <c r="AH81" s="42"/>
      <c r="AI81" s="42"/>
      <c r="AJ81" s="42"/>
      <c r="AK81" s="42"/>
    </row>
    <row r="82" spans="4:37" x14ac:dyDescent="0.25"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5"/>
      <c r="Q82" s="43"/>
      <c r="S82" s="43"/>
      <c r="T82" s="42"/>
      <c r="U82" s="42"/>
      <c r="V82" s="42"/>
      <c r="W82" s="44"/>
      <c r="AB82" s="42"/>
      <c r="AC82" s="42"/>
      <c r="AD82" s="42"/>
      <c r="AE82" s="42"/>
      <c r="AF82" s="42"/>
      <c r="AG82" s="42"/>
      <c r="AH82" s="42"/>
      <c r="AI82" s="42"/>
      <c r="AJ82" s="42"/>
      <c r="AK82" s="42"/>
    </row>
    <row r="83" spans="4:37" x14ac:dyDescent="0.25"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5"/>
      <c r="Q83" s="43"/>
      <c r="S83" s="43"/>
      <c r="T83" s="42"/>
      <c r="U83" s="42"/>
      <c r="V83" s="42"/>
      <c r="W83" s="44"/>
      <c r="AB83" s="42"/>
      <c r="AC83" s="42"/>
      <c r="AD83" s="42"/>
      <c r="AE83" s="42"/>
      <c r="AF83" s="42"/>
      <c r="AG83" s="42"/>
      <c r="AH83" s="42"/>
      <c r="AI83" s="42"/>
      <c r="AJ83" s="42"/>
      <c r="AK83" s="4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7E5E-5DC1-46CC-BBDE-15661EBBEDFD}">
  <sheetPr>
    <tabColor theme="9"/>
  </sheetPr>
  <dimension ref="C1:AE105"/>
  <sheetViews>
    <sheetView zoomScaleNormal="100" workbookViewId="0">
      <selection activeCell="F2" sqref="F2"/>
    </sheetView>
  </sheetViews>
  <sheetFormatPr defaultColWidth="9.140625" defaultRowHeight="15" x14ac:dyDescent="0.25"/>
  <cols>
    <col min="1" max="1" width="9.140625" style="267"/>
    <col min="2" max="2" width="9.140625" style="267" customWidth="1"/>
    <col min="3" max="3" width="20.7109375" style="267" customWidth="1"/>
    <col min="4" max="10" width="3.42578125" style="267" customWidth="1"/>
    <col min="11" max="11" width="4" style="267" customWidth="1"/>
    <col min="12" max="12" width="4.42578125" style="267" customWidth="1"/>
    <col min="13" max="13" width="29.85546875" style="267" customWidth="1"/>
    <col min="14" max="14" width="4" style="267" customWidth="1"/>
    <col min="15" max="16" width="3.42578125" style="267" customWidth="1"/>
    <col min="17" max="17" width="3.7109375" style="267" customWidth="1"/>
    <col min="18" max="18" width="3.85546875" style="267" customWidth="1"/>
    <col min="19" max="19" width="4" style="267" customWidth="1"/>
    <col min="20" max="20" width="25.42578125" style="267" customWidth="1"/>
    <col min="21" max="27" width="3.42578125" style="267" customWidth="1"/>
    <col min="28" max="16384" width="9.140625" style="267"/>
  </cols>
  <sheetData>
    <row r="1" spans="3:31" x14ac:dyDescent="0.25">
      <c r="N1" s="267" t="s">
        <v>127</v>
      </c>
      <c r="U1" s="267" t="s">
        <v>162</v>
      </c>
    </row>
    <row r="2" spans="3:31" ht="84" customHeight="1" x14ac:dyDescent="0.25">
      <c r="C2" s="270"/>
      <c r="D2" s="292" t="s">
        <v>204</v>
      </c>
      <c r="E2" s="319" t="s">
        <v>600</v>
      </c>
      <c r="F2" s="292" t="s">
        <v>202</v>
      </c>
      <c r="G2" s="244" t="s">
        <v>589</v>
      </c>
      <c r="H2" s="292"/>
      <c r="I2" s="292"/>
      <c r="J2" s="292"/>
      <c r="K2" s="294"/>
      <c r="L2" s="293"/>
      <c r="M2" s="270"/>
      <c r="O2" s="292" t="s">
        <v>473</v>
      </c>
      <c r="P2" s="292"/>
      <c r="U2" s="292"/>
      <c r="V2" s="292"/>
      <c r="W2" s="292"/>
      <c r="X2" s="292"/>
      <c r="Y2" s="292"/>
      <c r="Z2" s="292"/>
      <c r="AA2" s="292"/>
    </row>
    <row r="3" spans="3:31" ht="141" customHeight="1" x14ac:dyDescent="0.25">
      <c r="C3" s="270" t="s">
        <v>126</v>
      </c>
      <c r="D3" s="292" t="s">
        <v>205</v>
      </c>
      <c r="E3" s="292" t="s">
        <v>207</v>
      </c>
      <c r="F3" s="292" t="s">
        <v>203</v>
      </c>
      <c r="G3" s="292" t="s">
        <v>208</v>
      </c>
      <c r="H3" s="292"/>
      <c r="I3" s="292"/>
      <c r="J3" s="292"/>
      <c r="K3" s="294"/>
      <c r="L3" s="293"/>
      <c r="M3" s="270" t="s">
        <v>125</v>
      </c>
      <c r="O3" s="292" t="s">
        <v>210</v>
      </c>
      <c r="P3" s="292"/>
      <c r="U3" s="292"/>
      <c r="V3" s="292"/>
      <c r="W3" s="292"/>
      <c r="X3" s="292"/>
      <c r="Y3" s="292"/>
      <c r="Z3" s="292"/>
      <c r="AA3" s="292"/>
    </row>
    <row r="4" spans="3:31" x14ac:dyDescent="0.25">
      <c r="D4" s="268"/>
      <c r="E4" s="268"/>
      <c r="F4" s="268"/>
      <c r="G4" s="268"/>
      <c r="H4" s="268"/>
      <c r="I4" s="268"/>
      <c r="J4" s="268"/>
      <c r="K4" s="271"/>
      <c r="L4" s="270"/>
      <c r="O4" s="268"/>
      <c r="P4" s="268"/>
      <c r="U4" s="268"/>
      <c r="V4" s="268"/>
      <c r="W4" s="268"/>
      <c r="X4" s="268"/>
      <c r="Y4" s="268"/>
      <c r="Z4" s="268"/>
      <c r="AA4" s="268"/>
    </row>
    <row r="5" spans="3:31" x14ac:dyDescent="0.25">
      <c r="D5" s="268"/>
      <c r="E5" s="273"/>
      <c r="F5" s="282"/>
      <c r="G5" s="273"/>
      <c r="H5" s="273"/>
      <c r="I5" s="273"/>
      <c r="J5" s="282"/>
      <c r="K5" s="283"/>
      <c r="L5" s="282"/>
      <c r="M5" s="284" t="s">
        <v>467</v>
      </c>
      <c r="N5" s="283"/>
      <c r="O5" s="282"/>
      <c r="P5" s="291"/>
      <c r="U5" s="268"/>
      <c r="V5" s="268"/>
      <c r="W5" s="268"/>
      <c r="X5" s="268"/>
      <c r="Y5" s="268"/>
      <c r="Z5" s="268"/>
      <c r="AA5" s="268"/>
      <c r="AE5" s="290"/>
    </row>
    <row r="6" spans="3:31" x14ac:dyDescent="0.25">
      <c r="C6" s="270"/>
      <c r="D6" s="268"/>
      <c r="E6" s="268"/>
      <c r="F6" s="277"/>
      <c r="G6" s="277"/>
      <c r="H6" s="275"/>
      <c r="I6" s="277"/>
      <c r="J6" s="275"/>
      <c r="K6" s="276"/>
      <c r="L6" s="275"/>
      <c r="M6" s="281"/>
      <c r="N6" s="280"/>
      <c r="O6" s="279"/>
      <c r="P6" s="269"/>
      <c r="U6" s="268"/>
      <c r="V6" s="268"/>
      <c r="W6" s="268"/>
      <c r="X6" s="268"/>
      <c r="Y6" s="268"/>
      <c r="Z6" s="268"/>
      <c r="AA6" s="268"/>
      <c r="AE6" s="278"/>
    </row>
    <row r="7" spans="3:31" x14ac:dyDescent="0.25">
      <c r="C7" s="270"/>
      <c r="D7" s="268"/>
      <c r="E7" s="268"/>
      <c r="F7" s="268"/>
      <c r="G7" s="277"/>
      <c r="H7" s="275"/>
      <c r="I7" s="277"/>
      <c r="J7" s="275"/>
      <c r="K7" s="276"/>
      <c r="L7" s="275"/>
      <c r="M7" s="269" t="s">
        <v>209</v>
      </c>
      <c r="P7" s="269"/>
      <c r="U7" s="268"/>
      <c r="V7" s="268"/>
      <c r="W7" s="268"/>
      <c r="X7" s="268"/>
      <c r="Y7" s="268"/>
      <c r="Z7" s="268"/>
      <c r="AA7" s="268"/>
      <c r="AE7" s="289"/>
    </row>
    <row r="8" spans="3:31" x14ac:dyDescent="0.25">
      <c r="C8" s="270"/>
      <c r="D8" s="268"/>
      <c r="E8" s="268"/>
      <c r="F8" s="268"/>
      <c r="G8" s="268"/>
      <c r="H8" s="268"/>
      <c r="I8" s="268"/>
      <c r="J8" s="288"/>
      <c r="K8" s="280"/>
      <c r="L8" s="279"/>
      <c r="M8" s="274"/>
      <c r="N8" s="270"/>
      <c r="O8" s="270"/>
      <c r="P8" s="269"/>
      <c r="U8" s="268"/>
      <c r="V8" s="268"/>
      <c r="W8" s="268"/>
      <c r="X8" s="269"/>
      <c r="Y8" s="268"/>
      <c r="Z8" s="268"/>
      <c r="AA8" s="268"/>
      <c r="AE8" s="272"/>
    </row>
    <row r="9" spans="3:31" x14ac:dyDescent="0.25">
      <c r="C9" s="270"/>
      <c r="D9" s="268"/>
      <c r="E9" s="268"/>
      <c r="F9" s="268"/>
      <c r="G9" s="268"/>
      <c r="H9" s="268"/>
      <c r="I9" s="268"/>
      <c r="J9" s="268"/>
      <c r="K9" s="271"/>
      <c r="L9" s="270"/>
      <c r="M9" s="273" t="s">
        <v>468</v>
      </c>
      <c r="N9" s="270"/>
      <c r="O9" s="268"/>
      <c r="P9" s="269"/>
      <c r="U9" s="268"/>
      <c r="V9" s="268"/>
      <c r="W9" s="268"/>
      <c r="X9" s="268"/>
      <c r="Y9" s="268"/>
      <c r="Z9" s="268"/>
      <c r="AA9" s="268"/>
      <c r="AB9" s="287"/>
      <c r="AE9" s="286"/>
    </row>
    <row r="10" spans="3:31" x14ac:dyDescent="0.25">
      <c r="C10" s="270"/>
      <c r="D10" s="268"/>
      <c r="E10" s="268"/>
      <c r="F10" s="268"/>
      <c r="G10" s="268"/>
      <c r="H10" s="268"/>
      <c r="I10" s="268"/>
      <c r="J10" s="268"/>
      <c r="K10" s="271"/>
      <c r="L10" s="270"/>
      <c r="N10" s="270"/>
      <c r="O10" s="268"/>
      <c r="P10" s="269"/>
      <c r="U10" s="268"/>
      <c r="V10" s="268"/>
      <c r="W10" s="268"/>
      <c r="X10" s="268"/>
      <c r="Y10" s="268"/>
      <c r="Z10" s="268"/>
      <c r="AA10" s="268"/>
    </row>
    <row r="11" spans="3:31" x14ac:dyDescent="0.25">
      <c r="C11" s="270"/>
      <c r="D11" s="268"/>
      <c r="E11" s="268"/>
      <c r="F11" s="268"/>
      <c r="G11" s="268"/>
      <c r="H11" s="268"/>
      <c r="I11" s="268"/>
      <c r="J11" s="268"/>
      <c r="K11" s="271"/>
      <c r="L11" s="270"/>
      <c r="N11" s="270"/>
      <c r="O11" s="268"/>
      <c r="P11" s="269"/>
      <c r="U11" s="268"/>
      <c r="V11" s="268"/>
      <c r="W11" s="268"/>
      <c r="X11" s="268"/>
      <c r="Y11" s="268"/>
      <c r="Z11" s="268"/>
      <c r="AA11" s="268"/>
    </row>
    <row r="12" spans="3:31" x14ac:dyDescent="0.25">
      <c r="C12" s="270"/>
      <c r="D12" s="268"/>
      <c r="E12" s="273"/>
      <c r="F12" s="282"/>
      <c r="G12" s="273"/>
      <c r="H12" s="273"/>
      <c r="I12" s="273"/>
      <c r="J12" s="282"/>
      <c r="K12" s="283"/>
      <c r="L12" s="282"/>
      <c r="M12" s="284" t="s">
        <v>469</v>
      </c>
      <c r="N12" s="283"/>
      <c r="O12" s="282"/>
      <c r="P12" s="269"/>
      <c r="U12" s="268"/>
      <c r="V12" s="268"/>
      <c r="W12" s="268"/>
      <c r="X12" s="268"/>
      <c r="Y12" s="268"/>
      <c r="Z12" s="268"/>
      <c r="AA12" s="268"/>
    </row>
    <row r="13" spans="3:31" x14ac:dyDescent="0.25">
      <c r="C13" s="270"/>
      <c r="D13" s="268"/>
      <c r="E13" s="268"/>
      <c r="F13" s="277"/>
      <c r="G13" s="277"/>
      <c r="H13" s="275"/>
      <c r="I13" s="277"/>
      <c r="J13" s="275"/>
      <c r="K13" s="276"/>
      <c r="L13" s="275"/>
      <c r="M13" s="281"/>
      <c r="N13" s="280"/>
      <c r="O13" s="279"/>
      <c r="P13" s="269"/>
      <c r="U13" s="268"/>
      <c r="V13" s="268"/>
      <c r="W13" s="268"/>
      <c r="X13" s="268"/>
      <c r="Y13" s="268"/>
      <c r="Z13" s="268"/>
      <c r="AA13" s="268"/>
      <c r="AD13" s="285"/>
    </row>
    <row r="14" spans="3:31" x14ac:dyDescent="0.25">
      <c r="C14" s="270"/>
      <c r="D14" s="268"/>
      <c r="E14" s="268"/>
      <c r="F14" s="268"/>
      <c r="G14" s="277"/>
      <c r="H14" s="275"/>
      <c r="I14" s="277"/>
      <c r="J14" s="275"/>
      <c r="K14" s="276"/>
      <c r="L14" s="275"/>
      <c r="M14" s="274"/>
      <c r="P14" s="269"/>
      <c r="U14" s="268"/>
      <c r="V14" s="268"/>
      <c r="W14" s="268"/>
      <c r="X14" s="268"/>
      <c r="Y14" s="268"/>
      <c r="Z14" s="268"/>
      <c r="AA14" s="268"/>
    </row>
    <row r="15" spans="3:31" x14ac:dyDescent="0.25">
      <c r="C15" s="270"/>
      <c r="D15" s="268"/>
      <c r="E15" s="268"/>
      <c r="F15" s="268"/>
      <c r="G15" s="268"/>
      <c r="H15" s="268"/>
      <c r="I15" s="268"/>
      <c r="J15" s="268"/>
      <c r="K15" s="271"/>
      <c r="L15" s="270"/>
      <c r="M15" s="273" t="s">
        <v>470</v>
      </c>
      <c r="N15" s="270"/>
      <c r="O15" s="270"/>
      <c r="P15" s="269"/>
      <c r="U15" s="268"/>
      <c r="V15" s="268"/>
      <c r="W15" s="268"/>
      <c r="X15" s="268"/>
      <c r="Y15" s="268"/>
      <c r="Z15" s="268"/>
      <c r="AA15" s="268"/>
    </row>
    <row r="16" spans="3:31" x14ac:dyDescent="0.25">
      <c r="C16" s="270"/>
      <c r="D16" s="268"/>
      <c r="E16" s="268"/>
      <c r="F16" s="268"/>
      <c r="G16" s="268"/>
      <c r="H16" s="268"/>
      <c r="I16" s="268"/>
      <c r="J16" s="268"/>
      <c r="K16" s="271"/>
      <c r="L16" s="270"/>
      <c r="N16" s="270"/>
      <c r="O16" s="268"/>
      <c r="P16" s="269"/>
      <c r="U16" s="268"/>
      <c r="V16" s="268"/>
      <c r="W16" s="268"/>
      <c r="X16" s="268"/>
      <c r="Y16" s="268"/>
      <c r="Z16" s="268"/>
      <c r="AA16" s="268"/>
    </row>
    <row r="17" spans="3:30" x14ac:dyDescent="0.25">
      <c r="C17" s="270"/>
      <c r="D17" s="268"/>
      <c r="E17" s="268"/>
      <c r="F17" s="268"/>
      <c r="G17" s="268"/>
      <c r="H17" s="268"/>
      <c r="I17" s="268"/>
      <c r="J17" s="268"/>
      <c r="K17" s="271"/>
      <c r="L17" s="270"/>
      <c r="N17" s="270"/>
      <c r="O17" s="268"/>
      <c r="P17" s="269"/>
      <c r="U17" s="268"/>
      <c r="V17" s="268"/>
      <c r="W17" s="268"/>
      <c r="X17" s="268"/>
      <c r="Y17" s="268"/>
      <c r="Z17" s="268"/>
      <c r="AA17" s="268"/>
      <c r="AD17" s="285"/>
    </row>
    <row r="18" spans="3:30" x14ac:dyDescent="0.25">
      <c r="C18" s="270"/>
      <c r="D18" s="268"/>
      <c r="E18" s="273"/>
      <c r="F18" s="282"/>
      <c r="G18" s="273"/>
      <c r="H18" s="273"/>
      <c r="I18" s="273"/>
      <c r="J18" s="282"/>
      <c r="K18" s="283"/>
      <c r="L18" s="282"/>
      <c r="M18" s="284" t="s">
        <v>471</v>
      </c>
      <c r="N18" s="283"/>
      <c r="O18" s="282"/>
      <c r="P18" s="269"/>
      <c r="U18" s="268"/>
      <c r="V18" s="268"/>
      <c r="W18" s="268"/>
      <c r="X18" s="268"/>
      <c r="Y18" s="268"/>
      <c r="Z18" s="268"/>
      <c r="AA18" s="268"/>
      <c r="AD18" s="278"/>
    </row>
    <row r="19" spans="3:30" x14ac:dyDescent="0.25">
      <c r="C19" s="270"/>
      <c r="D19" s="268"/>
      <c r="E19" s="268"/>
      <c r="F19" s="277"/>
      <c r="G19" s="277"/>
      <c r="H19" s="275"/>
      <c r="I19" s="277"/>
      <c r="J19" s="275"/>
      <c r="K19" s="276"/>
      <c r="L19" s="275"/>
      <c r="M19" s="281"/>
      <c r="N19" s="280"/>
      <c r="O19" s="279"/>
      <c r="P19" s="269"/>
      <c r="U19" s="268"/>
      <c r="V19" s="268"/>
      <c r="W19" s="268"/>
      <c r="X19" s="268"/>
      <c r="Y19" s="268"/>
      <c r="Z19" s="268"/>
      <c r="AA19" s="268"/>
      <c r="AD19" s="278"/>
    </row>
    <row r="20" spans="3:30" x14ac:dyDescent="0.25">
      <c r="C20" s="270"/>
      <c r="D20" s="268"/>
      <c r="E20" s="268"/>
      <c r="F20" s="268"/>
      <c r="G20" s="277"/>
      <c r="H20" s="275"/>
      <c r="I20" s="277"/>
      <c r="J20" s="275"/>
      <c r="K20" s="276"/>
      <c r="L20" s="275"/>
      <c r="M20" s="274"/>
      <c r="P20" s="269"/>
      <c r="U20" s="268"/>
      <c r="V20" s="268"/>
      <c r="W20" s="268"/>
      <c r="X20" s="268"/>
      <c r="Y20" s="268"/>
      <c r="Z20" s="268"/>
      <c r="AA20" s="268"/>
      <c r="AD20" s="278"/>
    </row>
    <row r="21" spans="3:30" x14ac:dyDescent="0.25">
      <c r="C21" s="270"/>
      <c r="D21" s="268"/>
      <c r="E21" s="268"/>
      <c r="F21" s="268"/>
      <c r="G21" s="268"/>
      <c r="H21" s="277"/>
      <c r="I21" s="275"/>
      <c r="J21" s="275"/>
      <c r="K21" s="276"/>
      <c r="L21" s="275"/>
      <c r="M21" s="274"/>
      <c r="N21" s="270"/>
      <c r="O21" s="270"/>
      <c r="P21" s="269"/>
      <c r="U21" s="268"/>
      <c r="V21" s="268"/>
      <c r="W21" s="268"/>
      <c r="X21" s="268"/>
      <c r="Y21" s="268"/>
      <c r="Z21" s="268"/>
      <c r="AA21" s="268"/>
      <c r="AD21" s="272"/>
    </row>
    <row r="22" spans="3:30" x14ac:dyDescent="0.25">
      <c r="C22" s="270"/>
      <c r="D22" s="268"/>
      <c r="E22" s="268"/>
      <c r="F22" s="268"/>
      <c r="G22" s="268"/>
      <c r="H22" s="268"/>
      <c r="I22" s="268"/>
      <c r="J22" s="268"/>
      <c r="K22" s="271"/>
      <c r="L22" s="270"/>
      <c r="M22" s="273" t="s">
        <v>472</v>
      </c>
      <c r="N22" s="270"/>
      <c r="O22" s="268"/>
      <c r="P22" s="269"/>
      <c r="U22" s="268"/>
      <c r="V22" s="268"/>
      <c r="W22" s="268"/>
      <c r="X22" s="268"/>
      <c r="Y22" s="268"/>
      <c r="Z22" s="268"/>
      <c r="AA22" s="268"/>
    </row>
    <row r="23" spans="3:30" x14ac:dyDescent="0.25">
      <c r="C23" s="270"/>
      <c r="D23" s="268"/>
      <c r="E23" s="268"/>
      <c r="F23" s="268"/>
      <c r="G23" s="268"/>
      <c r="H23" s="268"/>
      <c r="I23" s="268"/>
      <c r="J23" s="268"/>
      <c r="K23" s="271"/>
      <c r="L23" s="270"/>
      <c r="N23" s="270"/>
      <c r="O23" s="268"/>
      <c r="P23" s="269"/>
      <c r="U23" s="268"/>
      <c r="V23" s="268"/>
      <c r="W23" s="268"/>
      <c r="X23" s="268"/>
      <c r="Y23" s="268"/>
      <c r="Z23" s="268"/>
      <c r="AA23" s="268"/>
    </row>
    <row r="24" spans="3:30" x14ac:dyDescent="0.25">
      <c r="C24" s="270"/>
      <c r="D24" s="268"/>
      <c r="E24" s="268"/>
      <c r="F24" s="268"/>
      <c r="G24" s="268"/>
      <c r="H24" s="268"/>
      <c r="I24" s="268"/>
      <c r="J24" s="268"/>
      <c r="K24" s="271"/>
      <c r="L24" s="270"/>
      <c r="N24" s="270"/>
      <c r="O24" s="268"/>
      <c r="P24" s="269"/>
      <c r="U24" s="268"/>
      <c r="V24" s="268"/>
      <c r="W24" s="268"/>
      <c r="X24" s="268"/>
      <c r="Y24" s="268"/>
      <c r="Z24" s="268"/>
      <c r="AA24" s="268"/>
      <c r="AD24" s="272"/>
    </row>
    <row r="25" spans="3:30" x14ac:dyDescent="0.25">
      <c r="C25" s="270"/>
      <c r="D25" s="268"/>
      <c r="E25" s="268"/>
      <c r="F25" s="268"/>
      <c r="G25" s="268"/>
      <c r="H25" s="268"/>
      <c r="I25" s="268"/>
      <c r="J25" s="268"/>
      <c r="K25" s="271"/>
      <c r="L25" s="270"/>
      <c r="N25" s="270"/>
      <c r="O25" s="268"/>
      <c r="P25" s="269"/>
      <c r="U25" s="268"/>
      <c r="V25" s="268"/>
      <c r="W25" s="268"/>
      <c r="X25" s="268"/>
      <c r="Y25" s="268"/>
      <c r="Z25" s="268"/>
      <c r="AA25" s="268"/>
    </row>
    <row r="26" spans="3:30" x14ac:dyDescent="0.25">
      <c r="C26" s="270"/>
      <c r="D26" s="268"/>
      <c r="E26" s="268"/>
      <c r="F26" s="268"/>
      <c r="G26" s="268"/>
      <c r="H26" s="268"/>
      <c r="I26" s="268"/>
      <c r="J26" s="268"/>
      <c r="K26" s="271"/>
      <c r="L26" s="270"/>
      <c r="N26" s="270"/>
      <c r="O26" s="268"/>
      <c r="P26" s="269"/>
      <c r="U26" s="268"/>
      <c r="V26" s="268"/>
      <c r="W26" s="268"/>
      <c r="X26" s="268"/>
      <c r="Y26" s="268"/>
      <c r="Z26" s="268"/>
      <c r="AA26" s="268"/>
    </row>
    <row r="27" spans="3:30" x14ac:dyDescent="0.25">
      <c r="C27" s="270"/>
      <c r="D27" s="268"/>
      <c r="E27" s="268"/>
      <c r="F27" s="268"/>
      <c r="G27" s="268"/>
      <c r="H27" s="268"/>
      <c r="I27" s="268"/>
      <c r="J27" s="268"/>
      <c r="K27" s="271"/>
      <c r="L27" s="270"/>
      <c r="N27" s="270"/>
      <c r="O27" s="268"/>
      <c r="P27" s="269"/>
      <c r="U27" s="268"/>
      <c r="V27" s="268"/>
      <c r="W27" s="268"/>
      <c r="X27" s="268"/>
      <c r="Y27" s="268"/>
      <c r="Z27" s="268"/>
      <c r="AA27" s="268"/>
    </row>
    <row r="28" spans="3:30" x14ac:dyDescent="0.25">
      <c r="C28" s="270"/>
      <c r="D28" s="268"/>
      <c r="E28" s="268"/>
      <c r="F28" s="268"/>
      <c r="G28" s="268"/>
      <c r="H28" s="268"/>
      <c r="I28" s="268"/>
      <c r="J28" s="268"/>
      <c r="K28" s="271"/>
      <c r="L28" s="270"/>
      <c r="N28" s="270"/>
      <c r="O28" s="268"/>
      <c r="P28" s="269"/>
      <c r="U28" s="268"/>
      <c r="V28" s="268"/>
      <c r="W28" s="268"/>
      <c r="X28" s="268"/>
      <c r="Y28" s="268"/>
      <c r="Z28" s="268"/>
      <c r="AA28" s="268"/>
    </row>
    <row r="29" spans="3:30" x14ac:dyDescent="0.25">
      <c r="C29" s="270"/>
      <c r="D29" s="268"/>
      <c r="E29" s="268"/>
      <c r="F29" s="268"/>
      <c r="G29" s="268"/>
      <c r="H29" s="268"/>
      <c r="I29" s="268"/>
      <c r="J29" s="268"/>
      <c r="K29" s="271"/>
      <c r="L29" s="270"/>
      <c r="N29" s="270"/>
      <c r="O29" s="268"/>
      <c r="P29" s="269"/>
      <c r="U29" s="268"/>
      <c r="V29" s="268"/>
      <c r="W29" s="268"/>
      <c r="X29" s="268"/>
      <c r="Y29" s="268"/>
      <c r="Z29" s="268"/>
      <c r="AA29" s="268"/>
    </row>
    <row r="30" spans="3:30" x14ac:dyDescent="0.25">
      <c r="C30" s="270"/>
      <c r="D30" s="268"/>
      <c r="E30" s="268"/>
      <c r="F30" s="268"/>
      <c r="G30" s="268"/>
      <c r="H30" s="268"/>
      <c r="I30" s="268"/>
      <c r="J30" s="268"/>
      <c r="K30" s="271"/>
      <c r="L30" s="270"/>
      <c r="N30" s="270"/>
      <c r="O30" s="268"/>
      <c r="P30" s="269"/>
      <c r="U30" s="268"/>
      <c r="V30" s="268"/>
      <c r="W30" s="268"/>
      <c r="X30" s="268"/>
      <c r="Y30" s="268"/>
      <c r="Z30" s="268"/>
      <c r="AA30" s="268"/>
    </row>
    <row r="31" spans="3:30" x14ac:dyDescent="0.25">
      <c r="C31" s="270"/>
      <c r="D31" s="268"/>
      <c r="E31" s="268"/>
      <c r="F31" s="268"/>
      <c r="G31" s="268"/>
      <c r="H31" s="268"/>
      <c r="I31" s="268"/>
      <c r="J31" s="268"/>
      <c r="K31" s="271"/>
      <c r="L31" s="270"/>
      <c r="N31" s="270"/>
      <c r="O31" s="268"/>
      <c r="P31" s="269"/>
      <c r="U31" s="268"/>
      <c r="V31" s="268"/>
      <c r="W31" s="268"/>
      <c r="X31" s="268"/>
      <c r="Y31" s="268"/>
      <c r="Z31" s="268"/>
      <c r="AA31" s="268"/>
    </row>
    <row r="32" spans="3:30" x14ac:dyDescent="0.25">
      <c r="C32" s="270"/>
      <c r="D32" s="268"/>
      <c r="E32" s="268"/>
      <c r="F32" s="268"/>
      <c r="G32" s="268"/>
      <c r="H32" s="268"/>
      <c r="I32" s="268"/>
      <c r="J32" s="268"/>
      <c r="K32" s="271"/>
      <c r="L32" s="270"/>
      <c r="N32" s="270"/>
      <c r="O32" s="268"/>
      <c r="P32" s="269"/>
      <c r="U32" s="268"/>
      <c r="V32" s="268"/>
      <c r="W32" s="268"/>
      <c r="X32" s="268"/>
      <c r="Y32" s="268"/>
      <c r="Z32" s="268"/>
      <c r="AA32" s="268"/>
    </row>
    <row r="33" spans="3:27" x14ac:dyDescent="0.25">
      <c r="C33" s="270"/>
      <c r="D33" s="268"/>
      <c r="E33" s="268"/>
      <c r="F33" s="268"/>
      <c r="G33" s="268"/>
      <c r="H33" s="268"/>
      <c r="I33" s="268"/>
      <c r="J33" s="268"/>
      <c r="K33" s="271"/>
      <c r="L33" s="270"/>
      <c r="N33" s="270"/>
      <c r="O33" s="268"/>
      <c r="P33" s="269"/>
      <c r="U33" s="268"/>
      <c r="V33" s="268"/>
      <c r="W33" s="268"/>
      <c r="X33" s="268"/>
      <c r="Y33" s="268"/>
      <c r="Z33" s="268"/>
      <c r="AA33" s="268"/>
    </row>
    <row r="34" spans="3:27" x14ac:dyDescent="0.25">
      <c r="C34" s="270"/>
      <c r="D34" s="268"/>
      <c r="E34" s="268"/>
      <c r="F34" s="268"/>
      <c r="G34" s="268"/>
      <c r="H34" s="268"/>
      <c r="I34" s="268"/>
      <c r="J34" s="268"/>
      <c r="K34" s="271"/>
      <c r="L34" s="270"/>
      <c r="N34" s="270"/>
      <c r="O34" s="268"/>
      <c r="P34" s="269"/>
      <c r="U34" s="268"/>
      <c r="V34" s="268"/>
      <c r="W34" s="268"/>
      <c r="X34" s="268"/>
      <c r="Y34" s="268"/>
      <c r="Z34" s="268"/>
      <c r="AA34" s="268"/>
    </row>
    <row r="35" spans="3:27" x14ac:dyDescent="0.25">
      <c r="C35" s="270"/>
      <c r="D35" s="268"/>
      <c r="E35" s="268"/>
      <c r="F35" s="268"/>
      <c r="G35" s="268"/>
      <c r="H35" s="268"/>
      <c r="I35" s="268"/>
      <c r="J35" s="268"/>
      <c r="K35" s="271"/>
      <c r="L35" s="270"/>
      <c r="N35" s="270"/>
      <c r="O35" s="268"/>
      <c r="P35" s="269"/>
      <c r="U35" s="268"/>
      <c r="V35" s="268"/>
      <c r="W35" s="268"/>
      <c r="X35" s="268"/>
      <c r="Y35" s="268"/>
      <c r="Z35" s="268"/>
      <c r="AA35" s="268"/>
    </row>
    <row r="36" spans="3:27" x14ac:dyDescent="0.25">
      <c r="C36" s="270"/>
      <c r="D36" s="268"/>
      <c r="E36" s="268"/>
      <c r="F36" s="268"/>
      <c r="G36" s="268"/>
      <c r="H36" s="268"/>
      <c r="I36" s="268"/>
      <c r="J36" s="268"/>
      <c r="K36" s="271"/>
      <c r="L36" s="270"/>
      <c r="N36" s="270"/>
      <c r="O36" s="268"/>
      <c r="P36" s="269"/>
      <c r="U36" s="268"/>
      <c r="V36" s="268"/>
      <c r="W36" s="268"/>
      <c r="X36" s="268"/>
      <c r="Y36" s="268"/>
      <c r="Z36" s="268"/>
      <c r="AA36" s="268"/>
    </row>
    <row r="37" spans="3:27" x14ac:dyDescent="0.25">
      <c r="C37" s="270"/>
      <c r="D37" s="268"/>
      <c r="E37" s="268"/>
      <c r="F37" s="268"/>
      <c r="G37" s="268"/>
      <c r="H37" s="268"/>
      <c r="I37" s="268"/>
      <c r="J37" s="268"/>
      <c r="K37" s="271"/>
      <c r="L37" s="270"/>
      <c r="N37" s="270"/>
      <c r="O37" s="268"/>
      <c r="P37" s="269"/>
      <c r="U37" s="268"/>
      <c r="V37" s="268"/>
      <c r="W37" s="268"/>
      <c r="X37" s="268"/>
      <c r="Y37" s="268"/>
      <c r="Z37" s="268"/>
      <c r="AA37" s="268"/>
    </row>
    <row r="38" spans="3:27" x14ac:dyDescent="0.25">
      <c r="D38" s="268"/>
      <c r="E38" s="268"/>
      <c r="F38" s="268"/>
      <c r="G38" s="268"/>
      <c r="H38" s="268"/>
      <c r="I38" s="268"/>
      <c r="J38" s="268"/>
      <c r="K38" s="271"/>
      <c r="L38" s="270"/>
      <c r="N38" s="270"/>
      <c r="O38" s="268"/>
      <c r="P38" s="269"/>
      <c r="U38" s="268"/>
      <c r="V38" s="268"/>
      <c r="W38" s="268"/>
      <c r="X38" s="268"/>
      <c r="Y38" s="268"/>
      <c r="Z38" s="268"/>
      <c r="AA38" s="268"/>
    </row>
    <row r="39" spans="3:27" x14ac:dyDescent="0.25">
      <c r="D39" s="268"/>
      <c r="E39" s="268"/>
      <c r="F39" s="268"/>
      <c r="G39" s="268"/>
      <c r="H39" s="268"/>
      <c r="I39" s="268"/>
      <c r="J39" s="268"/>
      <c r="K39" s="271"/>
      <c r="L39" s="270"/>
      <c r="N39" s="270"/>
      <c r="O39" s="268"/>
      <c r="P39" s="269"/>
      <c r="U39" s="268"/>
      <c r="V39" s="268"/>
      <c r="W39" s="268"/>
      <c r="X39" s="268"/>
      <c r="Y39" s="268"/>
      <c r="Z39" s="268"/>
      <c r="AA39" s="268"/>
    </row>
    <row r="40" spans="3:27" x14ac:dyDescent="0.25">
      <c r="D40" s="268"/>
      <c r="E40" s="268"/>
      <c r="F40" s="268"/>
      <c r="G40" s="268"/>
      <c r="H40" s="268"/>
      <c r="I40" s="268"/>
      <c r="J40" s="268"/>
      <c r="K40" s="271"/>
      <c r="L40" s="270"/>
      <c r="N40" s="270"/>
      <c r="O40" s="268"/>
      <c r="P40" s="269"/>
      <c r="U40" s="268"/>
      <c r="V40" s="268"/>
      <c r="W40" s="268"/>
      <c r="X40" s="268"/>
      <c r="Y40" s="268"/>
      <c r="Z40" s="268"/>
      <c r="AA40" s="268"/>
    </row>
    <row r="41" spans="3:27" x14ac:dyDescent="0.25">
      <c r="D41" s="268"/>
      <c r="E41" s="268"/>
      <c r="F41" s="268"/>
      <c r="G41" s="268"/>
      <c r="H41" s="268"/>
      <c r="I41" s="268"/>
      <c r="J41" s="268"/>
      <c r="K41" s="271"/>
      <c r="L41" s="270"/>
      <c r="N41" s="270"/>
      <c r="O41" s="268"/>
      <c r="P41" s="269"/>
      <c r="U41" s="268"/>
      <c r="V41" s="268"/>
      <c r="W41" s="268"/>
      <c r="X41" s="268"/>
      <c r="Y41" s="268"/>
      <c r="Z41" s="268"/>
      <c r="AA41" s="268"/>
    </row>
    <row r="42" spans="3:27" x14ac:dyDescent="0.25">
      <c r="D42" s="268"/>
      <c r="E42" s="268"/>
      <c r="F42" s="268"/>
      <c r="G42" s="268"/>
      <c r="H42" s="268"/>
      <c r="I42" s="268"/>
      <c r="J42" s="268"/>
      <c r="K42" s="271"/>
      <c r="L42" s="270"/>
      <c r="N42" s="270"/>
      <c r="O42" s="268"/>
      <c r="P42" s="269"/>
      <c r="U42" s="268"/>
      <c r="V42" s="268"/>
      <c r="W42" s="268"/>
      <c r="X42" s="268"/>
      <c r="Y42" s="268"/>
      <c r="Z42" s="268"/>
      <c r="AA42" s="268"/>
    </row>
    <row r="43" spans="3:27" x14ac:dyDescent="0.25">
      <c r="D43" s="268"/>
      <c r="E43" s="268"/>
      <c r="F43" s="268"/>
      <c r="G43" s="268"/>
      <c r="H43" s="268"/>
      <c r="I43" s="268"/>
      <c r="J43" s="268"/>
      <c r="K43" s="271"/>
      <c r="L43" s="270"/>
      <c r="N43" s="270"/>
      <c r="O43" s="268"/>
      <c r="P43" s="269"/>
      <c r="U43" s="268"/>
      <c r="V43" s="268"/>
      <c r="W43" s="268"/>
      <c r="X43" s="268"/>
      <c r="Y43" s="268"/>
      <c r="Z43" s="268"/>
      <c r="AA43" s="268"/>
    </row>
    <row r="44" spans="3:27" x14ac:dyDescent="0.25">
      <c r="D44" s="268"/>
      <c r="E44" s="268"/>
      <c r="F44" s="268"/>
      <c r="G44" s="268"/>
      <c r="H44" s="268"/>
      <c r="I44" s="268"/>
      <c r="J44" s="268"/>
      <c r="K44" s="271"/>
      <c r="L44" s="270"/>
      <c r="N44" s="270"/>
      <c r="O44" s="268"/>
      <c r="P44" s="269"/>
      <c r="U44" s="268"/>
      <c r="V44" s="268"/>
      <c r="W44" s="268"/>
      <c r="X44" s="268"/>
      <c r="Y44" s="268"/>
      <c r="Z44" s="268"/>
      <c r="AA44" s="268"/>
    </row>
    <row r="45" spans="3:27" x14ac:dyDescent="0.25">
      <c r="D45" s="268"/>
      <c r="E45" s="268"/>
      <c r="F45" s="268"/>
      <c r="G45" s="268"/>
      <c r="H45" s="268"/>
      <c r="I45" s="268"/>
      <c r="J45" s="268"/>
      <c r="K45" s="271"/>
      <c r="L45" s="270"/>
      <c r="N45" s="270"/>
      <c r="O45" s="268"/>
      <c r="P45" s="269"/>
      <c r="U45" s="268"/>
      <c r="V45" s="268"/>
      <c r="W45" s="268"/>
      <c r="X45" s="268"/>
      <c r="Y45" s="268"/>
      <c r="Z45" s="268"/>
      <c r="AA45" s="268"/>
    </row>
    <row r="46" spans="3:27" x14ac:dyDescent="0.25">
      <c r="D46" s="268"/>
      <c r="E46" s="268"/>
      <c r="F46" s="268"/>
      <c r="G46" s="268"/>
      <c r="H46" s="268"/>
      <c r="I46" s="268"/>
      <c r="J46" s="268"/>
      <c r="K46" s="271"/>
      <c r="L46" s="270"/>
      <c r="N46" s="270"/>
      <c r="O46" s="268"/>
      <c r="P46" s="269"/>
      <c r="U46" s="268"/>
      <c r="V46" s="268"/>
      <c r="W46" s="268"/>
      <c r="X46" s="268"/>
      <c r="Y46" s="268"/>
      <c r="Z46" s="268"/>
      <c r="AA46" s="268"/>
    </row>
    <row r="47" spans="3:27" x14ac:dyDescent="0.25">
      <c r="D47" s="268"/>
      <c r="E47" s="268"/>
      <c r="F47" s="268"/>
      <c r="G47" s="268"/>
      <c r="H47" s="268"/>
      <c r="I47" s="268"/>
      <c r="J47" s="268"/>
      <c r="K47" s="271"/>
      <c r="L47" s="270"/>
      <c r="N47" s="270"/>
      <c r="O47" s="268"/>
      <c r="P47" s="269"/>
      <c r="U47" s="268"/>
      <c r="V47" s="268"/>
      <c r="W47" s="268"/>
      <c r="X47" s="268"/>
      <c r="Y47" s="268"/>
      <c r="Z47" s="268"/>
      <c r="AA47" s="268"/>
    </row>
    <row r="48" spans="3:27" x14ac:dyDescent="0.25">
      <c r="D48" s="268"/>
      <c r="E48" s="268"/>
      <c r="F48" s="268"/>
      <c r="G48" s="268"/>
      <c r="H48" s="268"/>
      <c r="I48" s="268"/>
      <c r="J48" s="268"/>
      <c r="K48" s="271"/>
      <c r="L48" s="270"/>
      <c r="N48" s="270"/>
      <c r="O48" s="268"/>
      <c r="P48" s="269"/>
      <c r="U48" s="268"/>
      <c r="V48" s="268"/>
      <c r="W48" s="268"/>
      <c r="X48" s="268"/>
      <c r="Y48" s="268"/>
      <c r="Z48" s="268"/>
      <c r="AA48" s="268"/>
    </row>
    <row r="49" spans="4:27" x14ac:dyDescent="0.25">
      <c r="D49" s="268"/>
      <c r="E49" s="268"/>
      <c r="F49" s="268"/>
      <c r="G49" s="268"/>
      <c r="H49" s="268"/>
      <c r="I49" s="268"/>
      <c r="J49" s="268"/>
      <c r="K49" s="271"/>
      <c r="L49" s="270"/>
      <c r="N49" s="270"/>
      <c r="O49" s="268"/>
      <c r="P49" s="269"/>
      <c r="U49" s="268"/>
      <c r="V49" s="268"/>
      <c r="W49" s="268"/>
      <c r="X49" s="268"/>
      <c r="Y49" s="268"/>
      <c r="Z49" s="268"/>
      <c r="AA49" s="268"/>
    </row>
    <row r="50" spans="4:27" x14ac:dyDescent="0.25">
      <c r="D50" s="268"/>
      <c r="E50" s="268"/>
      <c r="F50" s="268"/>
      <c r="G50" s="268"/>
      <c r="H50" s="268"/>
      <c r="I50" s="268"/>
      <c r="J50" s="268"/>
      <c r="K50" s="271"/>
      <c r="L50" s="270"/>
      <c r="N50" s="270"/>
      <c r="O50" s="268"/>
      <c r="P50" s="269"/>
      <c r="U50" s="268"/>
      <c r="V50" s="268"/>
      <c r="W50" s="268"/>
      <c r="X50" s="268"/>
      <c r="Y50" s="268"/>
      <c r="Z50" s="268"/>
      <c r="AA50" s="268"/>
    </row>
    <row r="51" spans="4:27" x14ac:dyDescent="0.25">
      <c r="D51" s="268"/>
      <c r="E51" s="268"/>
      <c r="F51" s="268"/>
      <c r="G51" s="268"/>
      <c r="H51" s="268"/>
      <c r="I51" s="268"/>
      <c r="J51" s="268"/>
      <c r="K51" s="271"/>
      <c r="L51" s="270"/>
      <c r="N51" s="270"/>
      <c r="O51" s="268"/>
      <c r="P51" s="269"/>
      <c r="U51" s="268"/>
      <c r="V51" s="268"/>
      <c r="W51" s="268"/>
      <c r="X51" s="268"/>
      <c r="Y51" s="268"/>
      <c r="Z51" s="268"/>
      <c r="AA51" s="268"/>
    </row>
    <row r="52" spans="4:27" x14ac:dyDescent="0.25">
      <c r="D52" s="268"/>
      <c r="E52" s="268"/>
      <c r="F52" s="268"/>
      <c r="G52" s="268"/>
      <c r="H52" s="268"/>
      <c r="I52" s="268"/>
      <c r="J52" s="268"/>
      <c r="K52" s="271"/>
      <c r="L52" s="270"/>
      <c r="N52" s="270"/>
      <c r="O52" s="268"/>
      <c r="P52" s="269"/>
      <c r="U52" s="268"/>
      <c r="V52" s="268"/>
      <c r="W52" s="268"/>
      <c r="X52" s="268"/>
      <c r="Y52" s="268"/>
      <c r="Z52" s="268"/>
      <c r="AA52" s="268"/>
    </row>
    <row r="53" spans="4:27" x14ac:dyDescent="0.25">
      <c r="D53" s="268"/>
      <c r="E53" s="268"/>
      <c r="F53" s="268"/>
      <c r="G53" s="268"/>
      <c r="H53" s="268"/>
      <c r="I53" s="268"/>
      <c r="J53" s="268"/>
      <c r="K53" s="271"/>
      <c r="L53" s="270"/>
      <c r="N53" s="270"/>
      <c r="O53" s="268"/>
      <c r="P53" s="269"/>
      <c r="U53" s="268"/>
      <c r="V53" s="268"/>
      <c r="W53" s="268"/>
      <c r="X53" s="268"/>
      <c r="Y53" s="268"/>
      <c r="Z53" s="268"/>
      <c r="AA53" s="268"/>
    </row>
    <row r="54" spans="4:27" x14ac:dyDescent="0.25">
      <c r="D54" s="268"/>
      <c r="E54" s="268"/>
      <c r="F54" s="268"/>
      <c r="G54" s="268"/>
      <c r="H54" s="268"/>
      <c r="I54" s="268"/>
      <c r="J54" s="268"/>
      <c r="K54" s="271"/>
      <c r="L54" s="270"/>
      <c r="N54" s="270"/>
      <c r="O54" s="268"/>
      <c r="P54" s="269"/>
      <c r="U54" s="268"/>
      <c r="V54" s="268"/>
      <c r="W54" s="268"/>
      <c r="X54" s="268"/>
      <c r="Y54" s="268"/>
      <c r="Z54" s="268"/>
      <c r="AA54" s="268"/>
    </row>
    <row r="55" spans="4:27" x14ac:dyDescent="0.25">
      <c r="D55" s="268"/>
      <c r="E55" s="268"/>
      <c r="F55" s="268"/>
      <c r="G55" s="268"/>
      <c r="H55" s="268"/>
      <c r="I55" s="268"/>
      <c r="J55" s="268"/>
      <c r="K55" s="271"/>
      <c r="L55" s="270"/>
      <c r="N55" s="270"/>
      <c r="O55" s="268"/>
      <c r="P55" s="269"/>
      <c r="U55" s="268"/>
      <c r="V55" s="268"/>
      <c r="W55" s="268"/>
      <c r="X55" s="268"/>
      <c r="Y55" s="268"/>
      <c r="Z55" s="268"/>
      <c r="AA55" s="268"/>
    </row>
    <row r="56" spans="4:27" x14ac:dyDescent="0.25">
      <c r="D56" s="268"/>
      <c r="E56" s="268"/>
      <c r="F56" s="268"/>
      <c r="G56" s="268"/>
      <c r="H56" s="268"/>
      <c r="I56" s="268"/>
      <c r="J56" s="268"/>
      <c r="K56" s="271"/>
      <c r="L56" s="270"/>
      <c r="N56" s="270"/>
      <c r="O56" s="268"/>
      <c r="P56" s="269"/>
      <c r="U56" s="268"/>
      <c r="V56" s="268"/>
      <c r="W56" s="268"/>
      <c r="X56" s="268"/>
      <c r="Y56" s="268"/>
      <c r="Z56" s="268"/>
      <c r="AA56" s="268"/>
    </row>
    <row r="57" spans="4:27" x14ac:dyDescent="0.25">
      <c r="D57" s="268"/>
      <c r="E57" s="268"/>
      <c r="F57" s="268"/>
      <c r="G57" s="268"/>
      <c r="H57" s="268"/>
      <c r="I57" s="268"/>
      <c r="J57" s="268"/>
      <c r="K57" s="271"/>
      <c r="L57" s="270"/>
      <c r="N57" s="270"/>
      <c r="O57" s="268"/>
      <c r="P57" s="269"/>
      <c r="U57" s="268"/>
      <c r="V57" s="268"/>
      <c r="W57" s="268"/>
      <c r="X57" s="268"/>
      <c r="Y57" s="268"/>
      <c r="Z57" s="268"/>
      <c r="AA57" s="268"/>
    </row>
    <row r="58" spans="4:27" x14ac:dyDescent="0.25">
      <c r="D58" s="268"/>
      <c r="E58" s="268"/>
      <c r="F58" s="268"/>
      <c r="G58" s="268"/>
      <c r="H58" s="268"/>
      <c r="I58" s="268"/>
      <c r="J58" s="268"/>
      <c r="K58" s="271"/>
      <c r="L58" s="270"/>
      <c r="N58" s="270"/>
      <c r="O58" s="268"/>
      <c r="P58" s="269"/>
      <c r="U58" s="268"/>
      <c r="V58" s="268"/>
      <c r="W58" s="268"/>
      <c r="X58" s="268"/>
      <c r="Y58" s="268"/>
      <c r="Z58" s="268"/>
      <c r="AA58" s="268"/>
    </row>
    <row r="59" spans="4:27" x14ac:dyDescent="0.25">
      <c r="D59" s="268"/>
      <c r="E59" s="268"/>
      <c r="F59" s="268"/>
      <c r="G59" s="268"/>
      <c r="H59" s="268"/>
      <c r="I59" s="268"/>
      <c r="J59" s="268"/>
      <c r="K59" s="271"/>
      <c r="L59" s="270"/>
      <c r="N59" s="270"/>
      <c r="O59" s="268"/>
      <c r="P59" s="269"/>
      <c r="U59" s="268"/>
      <c r="V59" s="268"/>
      <c r="W59" s="268"/>
      <c r="X59" s="268"/>
      <c r="Y59" s="268"/>
      <c r="Z59" s="268"/>
      <c r="AA59" s="268"/>
    </row>
    <row r="60" spans="4:27" x14ac:dyDescent="0.25">
      <c r="D60" s="268"/>
      <c r="E60" s="268"/>
      <c r="F60" s="268"/>
      <c r="G60" s="268"/>
      <c r="H60" s="268"/>
      <c r="I60" s="268"/>
      <c r="J60" s="268"/>
      <c r="K60" s="271"/>
      <c r="L60" s="270"/>
      <c r="N60" s="270"/>
      <c r="O60" s="268"/>
      <c r="P60" s="269"/>
      <c r="U60" s="268"/>
      <c r="V60" s="268"/>
      <c r="W60" s="268"/>
      <c r="X60" s="268"/>
      <c r="Y60" s="268"/>
      <c r="Z60" s="268"/>
      <c r="AA60" s="268"/>
    </row>
    <row r="61" spans="4:27" x14ac:dyDescent="0.25">
      <c r="D61" s="268"/>
      <c r="E61" s="268"/>
      <c r="F61" s="268"/>
      <c r="G61" s="268"/>
      <c r="H61" s="268"/>
      <c r="I61" s="268"/>
      <c r="J61" s="268"/>
      <c r="K61" s="271"/>
      <c r="L61" s="270"/>
      <c r="N61" s="270"/>
      <c r="O61" s="268"/>
      <c r="P61" s="269"/>
      <c r="U61" s="268"/>
      <c r="V61" s="268"/>
      <c r="W61" s="268"/>
      <c r="X61" s="268"/>
      <c r="Y61" s="268"/>
      <c r="Z61" s="268"/>
      <c r="AA61" s="268"/>
    </row>
    <row r="62" spans="4:27" x14ac:dyDescent="0.25">
      <c r="D62" s="268"/>
      <c r="E62" s="268"/>
      <c r="F62" s="268"/>
      <c r="G62" s="268"/>
      <c r="H62" s="268"/>
      <c r="I62" s="268"/>
      <c r="J62" s="268"/>
      <c r="K62" s="271"/>
      <c r="L62" s="270"/>
      <c r="N62" s="270"/>
      <c r="O62" s="268"/>
      <c r="P62" s="269"/>
      <c r="U62" s="268"/>
      <c r="V62" s="268"/>
      <c r="W62" s="268"/>
      <c r="X62" s="268"/>
      <c r="Y62" s="268"/>
      <c r="Z62" s="268"/>
      <c r="AA62" s="268"/>
    </row>
    <row r="63" spans="4:27" x14ac:dyDescent="0.25">
      <c r="D63" s="268"/>
      <c r="E63" s="268"/>
      <c r="F63" s="268"/>
      <c r="G63" s="268"/>
      <c r="H63" s="268"/>
      <c r="I63" s="268"/>
      <c r="J63" s="268"/>
      <c r="K63" s="271"/>
      <c r="L63" s="270"/>
      <c r="N63" s="270"/>
      <c r="O63" s="268"/>
      <c r="P63" s="269"/>
      <c r="U63" s="268"/>
      <c r="V63" s="268"/>
      <c r="W63" s="268"/>
      <c r="X63" s="268"/>
      <c r="Y63" s="268"/>
      <c r="Z63" s="268"/>
      <c r="AA63" s="268"/>
    </row>
    <row r="64" spans="4:27" x14ac:dyDescent="0.25">
      <c r="D64" s="268"/>
      <c r="E64" s="268"/>
      <c r="F64" s="268"/>
      <c r="G64" s="268"/>
      <c r="H64" s="268"/>
      <c r="I64" s="268"/>
      <c r="J64" s="268"/>
      <c r="K64" s="271"/>
      <c r="L64" s="270"/>
      <c r="N64" s="270"/>
      <c r="O64" s="268"/>
      <c r="P64" s="269"/>
      <c r="U64" s="268"/>
      <c r="V64" s="268"/>
      <c r="W64" s="268"/>
      <c r="X64" s="268"/>
      <c r="Y64" s="268"/>
      <c r="Z64" s="268"/>
      <c r="AA64" s="268"/>
    </row>
    <row r="65" spans="4:27" x14ac:dyDescent="0.25">
      <c r="D65" s="268"/>
      <c r="E65" s="268"/>
      <c r="F65" s="268"/>
      <c r="G65" s="268"/>
      <c r="H65" s="268"/>
      <c r="I65" s="268"/>
      <c r="J65" s="268"/>
      <c r="K65" s="271"/>
      <c r="L65" s="270"/>
      <c r="N65" s="270"/>
      <c r="O65" s="268"/>
      <c r="P65" s="269"/>
      <c r="U65" s="268"/>
      <c r="V65" s="268"/>
      <c r="W65" s="268"/>
      <c r="X65" s="268"/>
      <c r="Y65" s="268"/>
      <c r="Z65" s="268"/>
      <c r="AA65" s="268"/>
    </row>
    <row r="66" spans="4:27" x14ac:dyDescent="0.25">
      <c r="D66" s="268"/>
      <c r="E66" s="268"/>
      <c r="F66" s="268"/>
      <c r="G66" s="268"/>
      <c r="H66" s="268"/>
      <c r="I66" s="268"/>
      <c r="J66" s="268"/>
      <c r="K66" s="271"/>
      <c r="L66" s="270"/>
      <c r="N66" s="270"/>
      <c r="O66" s="268"/>
      <c r="P66" s="269"/>
      <c r="U66" s="268"/>
      <c r="V66" s="268"/>
      <c r="W66" s="268"/>
      <c r="X66" s="268"/>
      <c r="Y66" s="268"/>
      <c r="Z66" s="268"/>
      <c r="AA66" s="268"/>
    </row>
    <row r="67" spans="4:27" x14ac:dyDescent="0.25">
      <c r="D67" s="268"/>
      <c r="E67" s="268"/>
      <c r="F67" s="268"/>
      <c r="G67" s="268"/>
      <c r="H67" s="268"/>
      <c r="I67" s="268"/>
      <c r="J67" s="268"/>
      <c r="K67" s="271"/>
      <c r="L67" s="270"/>
      <c r="N67" s="270"/>
      <c r="O67" s="268"/>
      <c r="P67" s="269"/>
      <c r="U67" s="268"/>
      <c r="V67" s="268"/>
      <c r="W67" s="268"/>
      <c r="X67" s="268"/>
      <c r="Y67" s="268"/>
      <c r="Z67" s="268"/>
      <c r="AA67" s="268"/>
    </row>
    <row r="68" spans="4:27" x14ac:dyDescent="0.25">
      <c r="D68" s="268"/>
      <c r="E68" s="268"/>
      <c r="F68" s="268"/>
      <c r="G68" s="268"/>
      <c r="H68" s="268"/>
      <c r="I68" s="268"/>
      <c r="J68" s="268"/>
      <c r="K68" s="271"/>
      <c r="L68" s="270"/>
      <c r="N68" s="270"/>
      <c r="O68" s="268"/>
      <c r="P68" s="269"/>
      <c r="U68" s="268"/>
      <c r="V68" s="268"/>
      <c r="W68" s="268"/>
      <c r="X68" s="268"/>
      <c r="Y68" s="268"/>
      <c r="Z68" s="268"/>
      <c r="AA68" s="268"/>
    </row>
    <row r="69" spans="4:27" x14ac:dyDescent="0.25">
      <c r="D69" s="268"/>
      <c r="E69" s="268"/>
      <c r="F69" s="268"/>
      <c r="G69" s="268"/>
      <c r="H69" s="268"/>
      <c r="I69" s="268"/>
      <c r="J69" s="268"/>
      <c r="K69" s="271"/>
      <c r="L69" s="270"/>
      <c r="N69" s="270"/>
      <c r="O69" s="268"/>
      <c r="P69" s="269"/>
      <c r="U69" s="268"/>
      <c r="V69" s="268"/>
      <c r="W69" s="268"/>
      <c r="X69" s="268"/>
      <c r="Y69" s="268"/>
      <c r="Z69" s="268"/>
      <c r="AA69" s="268"/>
    </row>
    <row r="70" spans="4:27" x14ac:dyDescent="0.25">
      <c r="D70" s="268"/>
      <c r="E70" s="268"/>
      <c r="F70" s="268"/>
      <c r="G70" s="268"/>
      <c r="H70" s="268"/>
      <c r="I70" s="268"/>
      <c r="J70" s="268"/>
      <c r="K70" s="271"/>
      <c r="L70" s="270"/>
      <c r="N70" s="270"/>
      <c r="O70" s="268"/>
      <c r="P70" s="269"/>
      <c r="U70" s="268"/>
      <c r="V70" s="268"/>
      <c r="W70" s="268"/>
      <c r="X70" s="268"/>
      <c r="Y70" s="268"/>
      <c r="Z70" s="268"/>
      <c r="AA70" s="268"/>
    </row>
    <row r="71" spans="4:27" x14ac:dyDescent="0.25">
      <c r="D71" s="268"/>
      <c r="E71" s="268"/>
      <c r="F71" s="268"/>
      <c r="G71" s="268"/>
      <c r="H71" s="268"/>
      <c r="I71" s="268"/>
      <c r="J71" s="268"/>
      <c r="K71" s="271"/>
      <c r="L71" s="270"/>
      <c r="N71" s="270"/>
      <c r="O71" s="268"/>
      <c r="P71" s="269"/>
      <c r="U71" s="268"/>
      <c r="V71" s="268"/>
      <c r="W71" s="268"/>
      <c r="X71" s="268"/>
      <c r="Y71" s="268"/>
      <c r="Z71" s="268"/>
      <c r="AA71" s="268"/>
    </row>
    <row r="72" spans="4:27" x14ac:dyDescent="0.25">
      <c r="D72" s="268"/>
      <c r="E72" s="268"/>
      <c r="F72" s="268"/>
      <c r="G72" s="268"/>
      <c r="H72" s="268"/>
      <c r="I72" s="268"/>
      <c r="J72" s="268"/>
      <c r="K72" s="271"/>
      <c r="L72" s="270"/>
      <c r="N72" s="270"/>
      <c r="O72" s="268"/>
      <c r="P72" s="269"/>
      <c r="U72" s="268"/>
      <c r="V72" s="268"/>
      <c r="W72" s="268"/>
      <c r="X72" s="268"/>
      <c r="Y72" s="268"/>
      <c r="Z72" s="268"/>
      <c r="AA72" s="268"/>
    </row>
    <row r="73" spans="4:27" x14ac:dyDescent="0.25">
      <c r="D73" s="268"/>
      <c r="E73" s="268"/>
      <c r="F73" s="268"/>
      <c r="G73" s="268"/>
      <c r="H73" s="268"/>
      <c r="I73" s="268"/>
      <c r="J73" s="268"/>
      <c r="K73" s="271"/>
      <c r="L73" s="270"/>
      <c r="N73" s="270"/>
      <c r="O73" s="268"/>
      <c r="P73" s="269"/>
      <c r="U73" s="268"/>
      <c r="V73" s="268"/>
      <c r="W73" s="268"/>
      <c r="X73" s="268"/>
      <c r="Y73" s="268"/>
      <c r="Z73" s="268"/>
      <c r="AA73" s="268"/>
    </row>
    <row r="74" spans="4:27" x14ac:dyDescent="0.25">
      <c r="D74" s="268"/>
      <c r="E74" s="268"/>
      <c r="F74" s="268"/>
      <c r="G74" s="268"/>
      <c r="H74" s="268"/>
      <c r="I74" s="268"/>
      <c r="J74" s="268"/>
      <c r="K74" s="271"/>
      <c r="L74" s="270"/>
      <c r="N74" s="270"/>
      <c r="O74" s="268"/>
      <c r="P74" s="269"/>
      <c r="U74" s="268"/>
      <c r="V74" s="268"/>
      <c r="W74" s="268"/>
      <c r="X74" s="268"/>
      <c r="Y74" s="268"/>
      <c r="Z74" s="268"/>
      <c r="AA74" s="268"/>
    </row>
    <row r="75" spans="4:27" x14ac:dyDescent="0.25">
      <c r="D75" s="268"/>
      <c r="E75" s="268"/>
      <c r="F75" s="268"/>
      <c r="G75" s="268"/>
      <c r="H75" s="268"/>
      <c r="I75" s="268"/>
      <c r="J75" s="268"/>
      <c r="K75" s="271"/>
      <c r="L75" s="270"/>
      <c r="N75" s="270"/>
      <c r="O75" s="268"/>
      <c r="P75" s="269"/>
      <c r="U75" s="268"/>
      <c r="V75" s="268"/>
      <c r="W75" s="268"/>
      <c r="X75" s="268"/>
      <c r="Y75" s="268"/>
      <c r="Z75" s="268"/>
      <c r="AA75" s="268"/>
    </row>
    <row r="76" spans="4:27" x14ac:dyDescent="0.25">
      <c r="D76" s="268"/>
      <c r="E76" s="268"/>
      <c r="F76" s="268"/>
      <c r="G76" s="268"/>
      <c r="H76" s="268"/>
      <c r="I76" s="268"/>
      <c r="J76" s="268"/>
      <c r="K76" s="271"/>
      <c r="L76" s="270"/>
      <c r="N76" s="270"/>
      <c r="O76" s="268"/>
      <c r="P76" s="269"/>
      <c r="U76" s="268"/>
      <c r="V76" s="268"/>
      <c r="W76" s="268"/>
      <c r="X76" s="268"/>
      <c r="Y76" s="268"/>
      <c r="Z76" s="268"/>
      <c r="AA76" s="268"/>
    </row>
    <row r="77" spans="4:27" x14ac:dyDescent="0.25">
      <c r="D77" s="268"/>
      <c r="E77" s="268"/>
      <c r="F77" s="268"/>
      <c r="G77" s="268"/>
      <c r="H77" s="268"/>
      <c r="I77" s="268"/>
      <c r="J77" s="268"/>
      <c r="K77" s="271"/>
      <c r="L77" s="270"/>
      <c r="N77" s="270"/>
      <c r="O77" s="268"/>
      <c r="P77" s="269"/>
      <c r="U77" s="268"/>
      <c r="V77" s="268"/>
      <c r="W77" s="268"/>
      <c r="X77" s="268"/>
      <c r="Y77" s="268"/>
      <c r="Z77" s="268"/>
      <c r="AA77" s="268"/>
    </row>
    <row r="78" spans="4:27" x14ac:dyDescent="0.25">
      <c r="D78" s="268"/>
      <c r="E78" s="268"/>
      <c r="F78" s="268"/>
      <c r="G78" s="268"/>
      <c r="H78" s="268"/>
      <c r="I78" s="268"/>
      <c r="J78" s="268"/>
      <c r="K78" s="271"/>
      <c r="L78" s="270"/>
      <c r="N78" s="270"/>
      <c r="O78" s="268"/>
      <c r="P78" s="269"/>
      <c r="U78" s="268"/>
      <c r="V78" s="268"/>
      <c r="W78" s="268"/>
      <c r="X78" s="268"/>
      <c r="Y78" s="268"/>
      <c r="Z78" s="268"/>
      <c r="AA78" s="268"/>
    </row>
    <row r="79" spans="4:27" x14ac:dyDescent="0.25">
      <c r="D79" s="268"/>
      <c r="E79" s="268"/>
      <c r="F79" s="268"/>
      <c r="G79" s="268"/>
      <c r="H79" s="268"/>
      <c r="I79" s="268"/>
      <c r="J79" s="268"/>
      <c r="K79" s="271"/>
      <c r="L79" s="270"/>
      <c r="N79" s="270"/>
      <c r="O79" s="268"/>
      <c r="P79" s="269"/>
      <c r="U79" s="268"/>
      <c r="V79" s="268"/>
      <c r="W79" s="268"/>
      <c r="X79" s="268"/>
      <c r="Y79" s="268"/>
      <c r="Z79" s="268"/>
      <c r="AA79" s="268"/>
    </row>
    <row r="80" spans="4:27" x14ac:dyDescent="0.25">
      <c r="D80" s="268"/>
      <c r="E80" s="268"/>
      <c r="F80" s="268"/>
      <c r="G80" s="268"/>
      <c r="H80" s="268"/>
      <c r="I80" s="268"/>
      <c r="J80" s="268"/>
      <c r="K80" s="271"/>
      <c r="L80" s="270"/>
      <c r="N80" s="270"/>
      <c r="O80" s="268"/>
      <c r="P80" s="269"/>
      <c r="U80" s="268"/>
      <c r="V80" s="268"/>
      <c r="W80" s="268"/>
      <c r="X80" s="268"/>
      <c r="Y80" s="268"/>
      <c r="Z80" s="268"/>
      <c r="AA80" s="268"/>
    </row>
    <row r="81" spans="4:27" x14ac:dyDescent="0.25">
      <c r="D81" s="268"/>
      <c r="E81" s="268"/>
      <c r="F81" s="268"/>
      <c r="G81" s="268"/>
      <c r="H81" s="268"/>
      <c r="I81" s="268"/>
      <c r="J81" s="268"/>
      <c r="K81" s="271"/>
      <c r="L81" s="270"/>
      <c r="N81" s="270"/>
      <c r="O81" s="268"/>
      <c r="P81" s="269"/>
      <c r="U81" s="268"/>
      <c r="V81" s="268"/>
      <c r="W81" s="268"/>
      <c r="X81" s="268"/>
      <c r="Y81" s="268"/>
      <c r="Z81" s="268"/>
      <c r="AA81" s="268"/>
    </row>
    <row r="82" spans="4:27" x14ac:dyDescent="0.25">
      <c r="D82" s="268"/>
      <c r="E82" s="268"/>
      <c r="F82" s="268"/>
      <c r="G82" s="268"/>
      <c r="H82" s="268"/>
      <c r="I82" s="268"/>
      <c r="J82" s="268"/>
      <c r="K82" s="271"/>
      <c r="L82" s="270"/>
      <c r="N82" s="270"/>
      <c r="O82" s="268"/>
      <c r="P82" s="269"/>
      <c r="U82" s="268"/>
      <c r="V82" s="268"/>
      <c r="W82" s="268"/>
      <c r="X82" s="268"/>
      <c r="Y82" s="268"/>
      <c r="Z82" s="268"/>
      <c r="AA82" s="268"/>
    </row>
    <row r="83" spans="4:27" x14ac:dyDescent="0.25">
      <c r="D83" s="268"/>
      <c r="E83" s="268"/>
      <c r="F83" s="268"/>
      <c r="G83" s="268"/>
      <c r="H83" s="268"/>
      <c r="I83" s="268"/>
      <c r="J83" s="268"/>
      <c r="K83" s="271"/>
      <c r="L83" s="270"/>
      <c r="N83" s="270"/>
      <c r="O83" s="268"/>
      <c r="P83" s="269"/>
      <c r="U83" s="268"/>
      <c r="V83" s="268"/>
      <c r="W83" s="268"/>
      <c r="X83" s="268"/>
      <c r="Y83" s="268"/>
      <c r="Z83" s="268"/>
      <c r="AA83" s="268"/>
    </row>
    <row r="84" spans="4:27" x14ac:dyDescent="0.25">
      <c r="D84" s="268"/>
      <c r="E84" s="268"/>
      <c r="F84" s="268"/>
      <c r="G84" s="268"/>
      <c r="H84" s="268"/>
      <c r="I84" s="268"/>
      <c r="J84" s="268"/>
      <c r="K84" s="271"/>
      <c r="L84" s="270"/>
      <c r="N84" s="270"/>
      <c r="O84" s="268"/>
      <c r="P84" s="269"/>
      <c r="U84" s="268"/>
      <c r="V84" s="268"/>
      <c r="W84" s="268"/>
      <c r="X84" s="268"/>
      <c r="Y84" s="268"/>
      <c r="Z84" s="268"/>
      <c r="AA84" s="268"/>
    </row>
    <row r="85" spans="4:27" x14ac:dyDescent="0.25">
      <c r="D85" s="268"/>
      <c r="E85" s="268"/>
      <c r="F85" s="268"/>
      <c r="G85" s="268"/>
      <c r="H85" s="268"/>
      <c r="I85" s="268"/>
      <c r="J85" s="268"/>
      <c r="K85" s="271"/>
      <c r="L85" s="270"/>
      <c r="N85" s="270"/>
      <c r="O85" s="268"/>
      <c r="P85" s="269"/>
      <c r="U85" s="268"/>
      <c r="V85" s="268"/>
      <c r="W85" s="268"/>
      <c r="X85" s="268"/>
      <c r="Y85" s="268"/>
      <c r="Z85" s="268"/>
      <c r="AA85" s="268"/>
    </row>
    <row r="86" spans="4:27" x14ac:dyDescent="0.25">
      <c r="D86" s="268"/>
      <c r="E86" s="268"/>
      <c r="F86" s="268"/>
      <c r="G86" s="268"/>
      <c r="H86" s="268"/>
      <c r="I86" s="268"/>
      <c r="J86" s="268"/>
      <c r="K86" s="271"/>
      <c r="L86" s="270"/>
      <c r="N86" s="270"/>
      <c r="O86" s="268"/>
      <c r="P86" s="269"/>
      <c r="U86" s="268"/>
      <c r="V86" s="268"/>
      <c r="W86" s="268"/>
      <c r="X86" s="268"/>
      <c r="Y86" s="268"/>
      <c r="Z86" s="268"/>
      <c r="AA86" s="268"/>
    </row>
    <row r="87" spans="4:27" x14ac:dyDescent="0.25">
      <c r="D87" s="268"/>
      <c r="E87" s="268"/>
      <c r="F87" s="268"/>
      <c r="G87" s="268"/>
      <c r="H87" s="268"/>
      <c r="I87" s="268"/>
      <c r="J87" s="268"/>
      <c r="K87" s="271"/>
      <c r="L87" s="270"/>
      <c r="N87" s="270"/>
      <c r="O87" s="268"/>
      <c r="P87" s="269"/>
      <c r="U87" s="268"/>
      <c r="V87" s="268"/>
      <c r="W87" s="268"/>
      <c r="X87" s="268"/>
      <c r="Y87" s="268"/>
      <c r="Z87" s="268"/>
      <c r="AA87" s="268"/>
    </row>
    <row r="88" spans="4:27" x14ac:dyDescent="0.25">
      <c r="D88" s="268"/>
      <c r="E88" s="268"/>
      <c r="F88" s="268"/>
      <c r="G88" s="268"/>
      <c r="H88" s="268"/>
      <c r="I88" s="268"/>
      <c r="J88" s="268"/>
      <c r="K88" s="271"/>
      <c r="L88" s="270"/>
      <c r="N88" s="270"/>
      <c r="O88" s="268"/>
      <c r="P88" s="269"/>
      <c r="U88" s="268"/>
      <c r="V88" s="268"/>
      <c r="W88" s="268"/>
      <c r="X88" s="268"/>
      <c r="Y88" s="268"/>
      <c r="Z88" s="268"/>
      <c r="AA88" s="268"/>
    </row>
    <row r="89" spans="4:27" x14ac:dyDescent="0.25">
      <c r="D89" s="268"/>
      <c r="E89" s="268"/>
      <c r="F89" s="268"/>
      <c r="G89" s="268"/>
      <c r="H89" s="268"/>
      <c r="I89" s="268"/>
      <c r="J89" s="268"/>
      <c r="K89" s="271"/>
      <c r="L89" s="270"/>
      <c r="N89" s="270"/>
      <c r="O89" s="268"/>
      <c r="P89" s="269"/>
      <c r="U89" s="268"/>
      <c r="V89" s="268"/>
      <c r="W89" s="268"/>
      <c r="X89" s="268"/>
      <c r="Y89" s="268"/>
      <c r="Z89" s="268"/>
      <c r="AA89" s="268"/>
    </row>
    <row r="90" spans="4:27" x14ac:dyDescent="0.25">
      <c r="D90" s="268"/>
      <c r="E90" s="268"/>
      <c r="F90" s="268"/>
      <c r="G90" s="268"/>
      <c r="H90" s="268"/>
      <c r="I90" s="268"/>
      <c r="J90" s="268"/>
      <c r="K90" s="271"/>
      <c r="L90" s="270"/>
      <c r="N90" s="270"/>
      <c r="O90" s="268"/>
      <c r="P90" s="269"/>
      <c r="U90" s="268"/>
      <c r="V90" s="268"/>
      <c r="W90" s="268"/>
      <c r="X90" s="268"/>
      <c r="Y90" s="268"/>
      <c r="Z90" s="268"/>
      <c r="AA90" s="268"/>
    </row>
    <row r="91" spans="4:27" x14ac:dyDescent="0.25">
      <c r="D91" s="268"/>
      <c r="E91" s="268"/>
      <c r="F91" s="268"/>
      <c r="G91" s="268"/>
      <c r="H91" s="268"/>
      <c r="I91" s="268"/>
      <c r="J91" s="268"/>
      <c r="K91" s="271"/>
      <c r="L91" s="270"/>
      <c r="N91" s="270"/>
      <c r="O91" s="268"/>
      <c r="P91" s="269"/>
      <c r="U91" s="268"/>
      <c r="V91" s="268"/>
      <c r="W91" s="268"/>
      <c r="X91" s="268"/>
      <c r="Y91" s="268"/>
      <c r="Z91" s="268"/>
      <c r="AA91" s="268"/>
    </row>
    <row r="92" spans="4:27" x14ac:dyDescent="0.25">
      <c r="D92" s="268"/>
      <c r="E92" s="268"/>
      <c r="F92" s="268"/>
      <c r="G92" s="268"/>
      <c r="H92" s="268"/>
      <c r="I92" s="268"/>
      <c r="J92" s="268"/>
      <c r="K92" s="271"/>
      <c r="L92" s="270"/>
      <c r="N92" s="270"/>
      <c r="O92" s="268"/>
      <c r="P92" s="269"/>
      <c r="U92" s="268"/>
      <c r="V92" s="268"/>
      <c r="W92" s="268"/>
      <c r="X92" s="268"/>
      <c r="Y92" s="268"/>
      <c r="Z92" s="268"/>
      <c r="AA92" s="268"/>
    </row>
    <row r="93" spans="4:27" x14ac:dyDescent="0.25">
      <c r="D93" s="268"/>
      <c r="E93" s="268"/>
      <c r="F93" s="268"/>
      <c r="G93" s="268"/>
      <c r="H93" s="268"/>
      <c r="I93" s="268"/>
      <c r="J93" s="268"/>
      <c r="K93" s="271"/>
      <c r="L93" s="270"/>
      <c r="N93" s="270"/>
      <c r="O93" s="268"/>
      <c r="P93" s="269"/>
      <c r="U93" s="268"/>
      <c r="V93" s="268"/>
      <c r="W93" s="268"/>
      <c r="X93" s="268"/>
      <c r="Y93" s="268"/>
      <c r="Z93" s="268"/>
      <c r="AA93" s="268"/>
    </row>
    <row r="94" spans="4:27" x14ac:dyDescent="0.25">
      <c r="D94" s="268"/>
      <c r="E94" s="268"/>
      <c r="F94" s="268"/>
      <c r="G94" s="268"/>
      <c r="H94" s="268"/>
      <c r="I94" s="268"/>
      <c r="J94" s="268"/>
      <c r="K94" s="271"/>
      <c r="L94" s="270"/>
      <c r="N94" s="270"/>
      <c r="O94" s="268"/>
      <c r="P94" s="269"/>
      <c r="U94" s="268"/>
      <c r="V94" s="268"/>
      <c r="W94" s="268"/>
      <c r="X94" s="268"/>
      <c r="Y94" s="268"/>
      <c r="Z94" s="268"/>
      <c r="AA94" s="268"/>
    </row>
    <row r="95" spans="4:27" x14ac:dyDescent="0.25">
      <c r="D95" s="268"/>
      <c r="E95" s="268"/>
      <c r="F95" s="268"/>
      <c r="G95" s="268"/>
      <c r="H95" s="268"/>
      <c r="I95" s="268"/>
      <c r="J95" s="268"/>
      <c r="K95" s="271"/>
      <c r="L95" s="270"/>
      <c r="N95" s="270"/>
      <c r="O95" s="268"/>
      <c r="P95" s="269"/>
      <c r="U95" s="268"/>
      <c r="V95" s="268"/>
      <c r="W95" s="268"/>
      <c r="X95" s="268"/>
      <c r="Y95" s="268"/>
      <c r="Z95" s="268"/>
      <c r="AA95" s="268"/>
    </row>
    <row r="96" spans="4:27" x14ac:dyDescent="0.25">
      <c r="D96" s="268"/>
      <c r="E96" s="268"/>
      <c r="F96" s="268"/>
      <c r="G96" s="268"/>
      <c r="H96" s="268"/>
      <c r="I96" s="268"/>
      <c r="J96" s="268"/>
      <c r="K96" s="271"/>
      <c r="L96" s="270"/>
      <c r="N96" s="270"/>
      <c r="O96" s="268"/>
      <c r="P96" s="269"/>
      <c r="U96" s="268"/>
      <c r="V96" s="268"/>
      <c r="W96" s="268"/>
      <c r="X96" s="268"/>
      <c r="Y96" s="268"/>
      <c r="Z96" s="268"/>
      <c r="AA96" s="268"/>
    </row>
    <row r="97" spans="4:27" x14ac:dyDescent="0.25">
      <c r="D97" s="268"/>
      <c r="E97" s="268"/>
      <c r="F97" s="268"/>
      <c r="G97" s="268"/>
      <c r="H97" s="268"/>
      <c r="I97" s="268"/>
      <c r="J97" s="268"/>
      <c r="K97" s="271"/>
      <c r="L97" s="270"/>
      <c r="N97" s="270"/>
      <c r="O97" s="268"/>
      <c r="P97" s="269"/>
      <c r="U97" s="268"/>
      <c r="V97" s="268"/>
      <c r="W97" s="268"/>
      <c r="X97" s="268"/>
      <c r="Y97" s="268"/>
      <c r="Z97" s="268"/>
      <c r="AA97" s="268"/>
    </row>
    <row r="98" spans="4:27" x14ac:dyDescent="0.25">
      <c r="D98" s="268"/>
      <c r="E98" s="268"/>
      <c r="F98" s="268"/>
      <c r="G98" s="268"/>
      <c r="H98" s="268"/>
      <c r="I98" s="268"/>
      <c r="J98" s="268"/>
      <c r="K98" s="271"/>
      <c r="L98" s="270"/>
      <c r="N98" s="270"/>
      <c r="O98" s="268"/>
      <c r="P98" s="269"/>
      <c r="U98" s="268"/>
      <c r="V98" s="268"/>
      <c r="W98" s="268"/>
      <c r="X98" s="268"/>
      <c r="Y98" s="268"/>
      <c r="Z98" s="268"/>
      <c r="AA98" s="268"/>
    </row>
    <row r="99" spans="4:27" x14ac:dyDescent="0.25">
      <c r="D99" s="268"/>
      <c r="E99" s="268"/>
      <c r="F99" s="268"/>
      <c r="G99" s="268"/>
      <c r="H99" s="268"/>
      <c r="I99" s="268"/>
      <c r="J99" s="268"/>
      <c r="K99" s="271"/>
      <c r="L99" s="270"/>
      <c r="N99" s="270"/>
      <c r="O99" s="268"/>
      <c r="P99" s="269"/>
      <c r="U99" s="268"/>
      <c r="V99" s="268"/>
      <c r="W99" s="268"/>
      <c r="X99" s="268"/>
      <c r="Y99" s="268"/>
      <c r="Z99" s="268"/>
      <c r="AA99" s="268"/>
    </row>
    <row r="100" spans="4:27" x14ac:dyDescent="0.25">
      <c r="D100" s="268"/>
      <c r="E100" s="268"/>
      <c r="F100" s="268"/>
      <c r="G100" s="268"/>
      <c r="H100" s="268"/>
      <c r="I100" s="268"/>
      <c r="J100" s="268"/>
      <c r="K100" s="271"/>
      <c r="L100" s="270"/>
      <c r="N100" s="270"/>
      <c r="O100" s="268"/>
      <c r="P100" s="269"/>
      <c r="U100" s="268"/>
      <c r="V100" s="268"/>
      <c r="W100" s="268"/>
      <c r="X100" s="268"/>
      <c r="Y100" s="268"/>
      <c r="Z100" s="268"/>
      <c r="AA100" s="268"/>
    </row>
    <row r="101" spans="4:27" x14ac:dyDescent="0.25">
      <c r="D101" s="268"/>
      <c r="E101" s="268"/>
      <c r="F101" s="268"/>
      <c r="G101" s="268"/>
      <c r="H101" s="268"/>
      <c r="I101" s="268"/>
      <c r="J101" s="268"/>
      <c r="K101" s="271"/>
      <c r="L101" s="270"/>
      <c r="N101" s="270"/>
      <c r="O101" s="268"/>
      <c r="P101" s="269"/>
      <c r="U101" s="268"/>
      <c r="V101" s="268"/>
      <c r="W101" s="268"/>
      <c r="X101" s="268"/>
      <c r="Y101" s="268"/>
      <c r="Z101" s="268"/>
      <c r="AA101" s="268"/>
    </row>
    <row r="102" spans="4:27" x14ac:dyDescent="0.25">
      <c r="D102" s="268"/>
      <c r="E102" s="268"/>
      <c r="F102" s="268"/>
      <c r="G102" s="268"/>
      <c r="H102" s="268"/>
      <c r="I102" s="268"/>
      <c r="J102" s="268"/>
      <c r="K102" s="271"/>
      <c r="L102" s="270"/>
      <c r="N102" s="270"/>
      <c r="O102" s="268"/>
      <c r="P102" s="269"/>
      <c r="U102" s="268"/>
      <c r="V102" s="268"/>
      <c r="W102" s="268"/>
      <c r="X102" s="268"/>
      <c r="Y102" s="268"/>
      <c r="Z102" s="268"/>
      <c r="AA102" s="268"/>
    </row>
    <row r="103" spans="4:27" x14ac:dyDescent="0.25">
      <c r="D103" s="268"/>
      <c r="E103" s="268"/>
      <c r="F103" s="268"/>
      <c r="G103" s="268"/>
      <c r="H103" s="268"/>
      <c r="I103" s="268"/>
      <c r="J103" s="268"/>
      <c r="K103" s="271"/>
      <c r="L103" s="270"/>
      <c r="N103" s="270"/>
      <c r="O103" s="268"/>
      <c r="P103" s="269"/>
      <c r="U103" s="268"/>
      <c r="V103" s="268"/>
      <c r="W103" s="268"/>
      <c r="X103" s="268"/>
      <c r="Y103" s="268"/>
      <c r="Z103" s="268"/>
      <c r="AA103" s="268"/>
    </row>
    <row r="104" spans="4:27" x14ac:dyDescent="0.25">
      <c r="D104" s="268"/>
      <c r="E104" s="268"/>
      <c r="F104" s="268"/>
      <c r="G104" s="268"/>
      <c r="H104" s="268"/>
      <c r="I104" s="268"/>
      <c r="J104" s="268"/>
      <c r="K104" s="271"/>
      <c r="L104" s="270"/>
      <c r="N104" s="270"/>
      <c r="O104" s="268"/>
      <c r="P104" s="269"/>
      <c r="U104" s="268"/>
      <c r="V104" s="268"/>
      <c r="W104" s="268"/>
      <c r="X104" s="268"/>
      <c r="Y104" s="268"/>
      <c r="Z104" s="268"/>
      <c r="AA104" s="268"/>
    </row>
    <row r="105" spans="4:27" x14ac:dyDescent="0.25">
      <c r="D105" s="268"/>
      <c r="E105" s="268"/>
      <c r="F105" s="268"/>
      <c r="G105" s="268"/>
      <c r="H105" s="268"/>
      <c r="I105" s="268"/>
      <c r="J105" s="268"/>
      <c r="K105" s="271"/>
      <c r="L105" s="270"/>
      <c r="N105" s="270"/>
      <c r="O105" s="268"/>
      <c r="P105" s="269"/>
      <c r="U105" s="268"/>
      <c r="V105" s="268"/>
      <c r="W105" s="268"/>
      <c r="X105" s="268"/>
      <c r="Y105" s="268"/>
      <c r="Z105" s="268"/>
      <c r="AA105" s="26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D78"/>
  <sheetViews>
    <sheetView zoomScale="90" zoomScaleNormal="90" workbookViewId="0">
      <selection activeCell="F9" sqref="F9"/>
    </sheetView>
  </sheetViews>
  <sheetFormatPr defaultColWidth="8.85546875" defaultRowHeight="12.75" x14ac:dyDescent="0.2"/>
  <cols>
    <col min="1" max="1" width="18.7109375" customWidth="1"/>
    <col min="2" max="2" width="41.85546875" customWidth="1"/>
    <col min="3" max="3" width="10.5703125" customWidth="1"/>
    <col min="4" max="4" width="20.7109375" customWidth="1"/>
    <col min="5" max="5" width="4.7109375" customWidth="1"/>
    <col min="6" max="6" width="9.140625" customWidth="1"/>
    <col min="7" max="7" width="12" customWidth="1"/>
    <col min="8" max="8" width="11.42578125" style="71" customWidth="1"/>
    <col min="9" max="9" width="23.7109375" customWidth="1"/>
    <col min="10" max="10" width="6.8554687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30" ht="17.25" x14ac:dyDescent="0.3">
      <c r="A1" s="77" t="s">
        <v>161</v>
      </c>
      <c r="B1" s="77"/>
      <c r="D1" s="75"/>
      <c r="E1" s="75"/>
      <c r="F1" s="75"/>
      <c r="G1" s="75"/>
      <c r="H1" s="74"/>
      <c r="I1" s="75"/>
      <c r="J1" s="75"/>
      <c r="K1" s="75"/>
      <c r="L1" s="75"/>
    </row>
    <row r="2" spans="1:30" ht="15.75" thickBot="1" x14ac:dyDescent="0.3">
      <c r="A2" s="78"/>
      <c r="B2" s="72"/>
      <c r="C2" s="102" t="s">
        <v>134</v>
      </c>
      <c r="D2" s="72"/>
      <c r="E2" s="72"/>
      <c r="F2" s="72"/>
      <c r="G2" s="73"/>
      <c r="H2" s="102" t="s">
        <v>136</v>
      </c>
      <c r="I2" s="72"/>
      <c r="J2" s="72"/>
      <c r="K2" s="72"/>
      <c r="L2" s="73"/>
    </row>
    <row r="3" spans="1:30" ht="13.5" thickBot="1" x14ac:dyDescent="0.25">
      <c r="A3" s="79" t="s">
        <v>141</v>
      </c>
      <c r="B3" s="80" t="s">
        <v>129</v>
      </c>
      <c r="C3" s="79" t="s">
        <v>142</v>
      </c>
      <c r="D3" s="80" t="s">
        <v>135</v>
      </c>
      <c r="E3" s="80" t="s">
        <v>137</v>
      </c>
      <c r="F3" s="80" t="s">
        <v>138</v>
      </c>
      <c r="G3" s="81" t="s">
        <v>159</v>
      </c>
      <c r="H3" s="79" t="s">
        <v>142</v>
      </c>
      <c r="I3" s="80" t="s">
        <v>135</v>
      </c>
      <c r="J3" s="80" t="s">
        <v>137</v>
      </c>
      <c r="K3" s="80" t="s">
        <v>138</v>
      </c>
      <c r="L3" s="81" t="s">
        <v>159</v>
      </c>
      <c r="M3" t="s">
        <v>140</v>
      </c>
      <c r="S3" s="67" t="s">
        <v>158</v>
      </c>
    </row>
    <row r="4" spans="1:30" ht="13.5" thickBot="1" x14ac:dyDescent="0.25">
      <c r="A4" s="78" t="str">
        <f>RES_Cr!T2</f>
        <v>IFACR</v>
      </c>
      <c r="B4" s="72" t="str">
        <f>RES_Cr!T3</f>
        <v>Industry - Ferro Alloy Metals production</v>
      </c>
      <c r="C4" s="78" t="str">
        <f>RES_Cr!R9</f>
        <v>IFCEAF-E</v>
      </c>
      <c r="D4" s="72" t="str">
        <f>RES_Cr!R5</f>
        <v>FerroChrome existing</v>
      </c>
      <c r="E4" s="84" t="s">
        <v>131</v>
      </c>
      <c r="F4" s="106"/>
      <c r="G4" s="108" t="s">
        <v>160</v>
      </c>
      <c r="H4" s="78">
        <f>RES_Cr!AA9</f>
        <v>0</v>
      </c>
      <c r="I4" s="72">
        <f>RES_Cr!AA8</f>
        <v>0</v>
      </c>
      <c r="J4" s="84" t="s">
        <v>131</v>
      </c>
      <c r="K4" s="83">
        <f>F4</f>
        <v>0</v>
      </c>
      <c r="L4" s="73"/>
      <c r="Q4" s="113" t="s">
        <v>163</v>
      </c>
      <c r="R4" s="114" t="s">
        <v>164</v>
      </c>
      <c r="S4" s="114" t="s">
        <v>165</v>
      </c>
      <c r="U4" s="113"/>
      <c r="V4" s="114" t="s">
        <v>43</v>
      </c>
      <c r="W4" s="114" t="s">
        <v>170</v>
      </c>
      <c r="X4" s="114" t="s">
        <v>171</v>
      </c>
      <c r="Z4" t="s">
        <v>182</v>
      </c>
      <c r="AA4" s="67" t="s">
        <v>183</v>
      </c>
      <c r="AB4">
        <v>18.600000000000001</v>
      </c>
    </row>
    <row r="5" spans="1:30" ht="13.5" thickBot="1" x14ac:dyDescent="0.25">
      <c r="A5" s="71"/>
      <c r="C5" s="71"/>
      <c r="E5" s="67" t="s">
        <v>116</v>
      </c>
      <c r="F5" s="256">
        <f>P15</f>
        <v>3.484</v>
      </c>
      <c r="G5" s="105"/>
      <c r="J5" s="67" t="s">
        <v>116</v>
      </c>
      <c r="K5" s="256">
        <f>P14</f>
        <v>4.8570000000000002</v>
      </c>
      <c r="L5" s="254"/>
      <c r="Q5" s="115" t="s">
        <v>166</v>
      </c>
      <c r="R5" s="116" t="s">
        <v>167</v>
      </c>
      <c r="S5" s="116">
        <v>28</v>
      </c>
      <c r="U5" s="115" t="s">
        <v>172</v>
      </c>
      <c r="V5" s="116" t="s">
        <v>173</v>
      </c>
      <c r="W5" s="116">
        <v>390</v>
      </c>
      <c r="X5" s="116">
        <v>390</v>
      </c>
      <c r="AA5" s="67" t="s">
        <v>185</v>
      </c>
      <c r="AB5">
        <f>AB4/3.6*1000</f>
        <v>5166.666666666667</v>
      </c>
    </row>
    <row r="6" spans="1:30" ht="15.75" thickBot="1" x14ac:dyDescent="0.3">
      <c r="A6" s="119" t="str">
        <f>RES_Cr!D2</f>
        <v>IISCKE</v>
      </c>
      <c r="B6" s="86" t="str">
        <f>RES_Cr!D3</f>
        <v>Industry - Iron and Steel - Coke</v>
      </c>
      <c r="C6" s="85"/>
      <c r="D6" s="86"/>
      <c r="E6" s="87"/>
      <c r="F6" s="107"/>
      <c r="G6" s="88"/>
      <c r="H6" s="85" t="str">
        <f>C4</f>
        <v>IFCEAF-E</v>
      </c>
      <c r="I6" s="85" t="str">
        <f>D4</f>
        <v>FerroChrome existing</v>
      </c>
      <c r="J6" s="87" t="s">
        <v>116</v>
      </c>
      <c r="K6" s="120">
        <f>M17</f>
        <v>71.099999999999994</v>
      </c>
      <c r="L6" s="88"/>
      <c r="M6" s="67"/>
      <c r="Q6" s="115" t="s">
        <v>168</v>
      </c>
      <c r="R6" s="116" t="s">
        <v>169</v>
      </c>
      <c r="S6" s="116">
        <v>38</v>
      </c>
      <c r="U6" s="115" t="s">
        <v>174</v>
      </c>
      <c r="V6" s="116" t="s">
        <v>117</v>
      </c>
      <c r="W6" s="116">
        <v>35</v>
      </c>
      <c r="X6" s="116">
        <v>100</v>
      </c>
      <c r="Z6" s="67" t="s">
        <v>184</v>
      </c>
      <c r="AA6" s="67" t="s">
        <v>183</v>
      </c>
      <c r="AB6">
        <v>120</v>
      </c>
    </row>
    <row r="7" spans="1:30" ht="15.75" thickBot="1" x14ac:dyDescent="0.3">
      <c r="A7" s="119" t="str">
        <f>RES_Cr!E2</f>
        <v>INDCOA</v>
      </c>
      <c r="B7" s="86" t="str">
        <f>RES_Cr!F3</f>
        <v>Industry-FA-Electricity</v>
      </c>
      <c r="C7" s="78"/>
      <c r="D7" s="72"/>
      <c r="E7" s="84"/>
      <c r="F7" s="110"/>
      <c r="G7" s="73"/>
      <c r="H7" s="78" t="str">
        <f>RES_Cr!R9</f>
        <v>IFCEAF-E</v>
      </c>
      <c r="I7" s="72" t="str">
        <f>RES_Cr!R5</f>
        <v>FerroChrome existing</v>
      </c>
      <c r="J7" s="84" t="s">
        <v>116</v>
      </c>
      <c r="K7" s="120">
        <f>M16</f>
        <v>14.068115100000002</v>
      </c>
      <c r="L7" s="91"/>
      <c r="Q7" s="115" t="s">
        <v>143</v>
      </c>
      <c r="R7" s="116" t="s">
        <v>169</v>
      </c>
      <c r="S7" s="116">
        <v>45</v>
      </c>
      <c r="U7" s="115" t="s">
        <v>175</v>
      </c>
      <c r="V7" s="116" t="s">
        <v>176</v>
      </c>
      <c r="W7" s="116">
        <v>33.44</v>
      </c>
      <c r="X7" s="116">
        <v>11.7</v>
      </c>
      <c r="AB7" s="67" t="s">
        <v>198</v>
      </c>
    </row>
    <row r="8" spans="1:30" ht="15.75" thickBot="1" x14ac:dyDescent="0.3">
      <c r="A8" s="119" t="str">
        <f>RES_Cr!F2</f>
        <v>IFAELC</v>
      </c>
      <c r="B8" s="86" t="str">
        <f>RES_Cr!F3</f>
        <v>Industry-FA-Electricity</v>
      </c>
      <c r="C8" s="74"/>
      <c r="D8" s="75"/>
      <c r="E8" s="75"/>
      <c r="F8" s="75"/>
      <c r="G8" s="76"/>
      <c r="H8" s="74" t="str">
        <f>H6</f>
        <v>IFCEAF-E</v>
      </c>
      <c r="I8" s="75" t="str">
        <f>I6</f>
        <v>FerroChrome existing</v>
      </c>
      <c r="J8" s="82" t="s">
        <v>116</v>
      </c>
      <c r="K8" s="120">
        <f>M15*3.6/1000</f>
        <v>43.065684000000005</v>
      </c>
      <c r="L8" s="76"/>
      <c r="M8" s="67"/>
      <c r="Q8" s="117" t="s">
        <v>180</v>
      </c>
      <c r="U8" s="115" t="s">
        <v>177</v>
      </c>
      <c r="V8" s="116" t="s">
        <v>178</v>
      </c>
      <c r="W8" s="116">
        <v>211.01</v>
      </c>
      <c r="X8" s="116">
        <v>189.27</v>
      </c>
      <c r="AB8" t="s">
        <v>188</v>
      </c>
      <c r="AC8" t="s">
        <v>189</v>
      </c>
      <c r="AD8">
        <f>X8/1000</f>
        <v>0.18927000000000002</v>
      </c>
    </row>
    <row r="9" spans="1:30" ht="13.5" thickBot="1" x14ac:dyDescent="0.25">
      <c r="A9" s="67" t="s">
        <v>228</v>
      </c>
      <c r="B9" t="str">
        <f>Commodities_BASE!C18</f>
        <v>Process Emissions FerroChrome South Africa</v>
      </c>
      <c r="C9" s="72" t="str">
        <f>C4</f>
        <v>IFCEAF-E</v>
      </c>
      <c r="D9" s="72" t="str">
        <f>D4</f>
        <v>FerroChrome existing</v>
      </c>
      <c r="E9" s="72" t="s">
        <v>139</v>
      </c>
      <c r="F9" s="125">
        <v>3225</v>
      </c>
      <c r="G9" s="73"/>
      <c r="H9" s="78"/>
      <c r="I9" s="72"/>
      <c r="K9" s="72"/>
      <c r="L9" s="72"/>
      <c r="M9" s="67"/>
      <c r="U9" s="115" t="s">
        <v>179</v>
      </c>
      <c r="V9" s="116" t="s">
        <v>117</v>
      </c>
      <c r="W9" s="116">
        <v>73.400000000000006</v>
      </c>
      <c r="X9" s="116">
        <v>81.8</v>
      </c>
      <c r="AC9" t="s">
        <v>191</v>
      </c>
      <c r="AD9" s="257" t="e">
        <f>#REF!/AB4</f>
        <v>#REF!</v>
      </c>
    </row>
    <row r="10" spans="1:30" x14ac:dyDescent="0.2">
      <c r="A10" t="s">
        <v>186</v>
      </c>
      <c r="B10" t="str">
        <f>Commodities_BASE!C20</f>
        <v>CH4S South Africa</v>
      </c>
      <c r="C10" t="str">
        <f>C9</f>
        <v>IFCEAF-E</v>
      </c>
      <c r="D10" t="str">
        <f>D9</f>
        <v>FerroChrome existing</v>
      </c>
      <c r="E10" t="s">
        <v>139</v>
      </c>
      <c r="F10">
        <v>0</v>
      </c>
      <c r="M10" s="67"/>
      <c r="U10" s="118" t="s">
        <v>181</v>
      </c>
      <c r="AC10" s="67" t="s">
        <v>199</v>
      </c>
      <c r="AD10" s="257" t="e">
        <f>1/AD9</f>
        <v>#REF!</v>
      </c>
    </row>
    <row r="11" spans="1:30" x14ac:dyDescent="0.2">
      <c r="AC11" s="67" t="s">
        <v>201</v>
      </c>
      <c r="AD11">
        <f>X5/3600</f>
        <v>0.10833333333333334</v>
      </c>
    </row>
    <row r="12" spans="1:30" x14ac:dyDescent="0.2">
      <c r="M12" s="67"/>
      <c r="AC12" s="67" t="s">
        <v>200</v>
      </c>
      <c r="AD12">
        <f>AD11/AB4</f>
        <v>5.8243727598566303E-3</v>
      </c>
    </row>
    <row r="13" spans="1:30" x14ac:dyDescent="0.2">
      <c r="K13" s="67" t="s">
        <v>225</v>
      </c>
    </row>
    <row r="14" spans="1:30" x14ac:dyDescent="0.2">
      <c r="P14">
        <v>4.8570000000000002</v>
      </c>
      <c r="Q14" s="67" t="s">
        <v>226</v>
      </c>
    </row>
    <row r="15" spans="1:30" x14ac:dyDescent="0.2">
      <c r="K15" t="s">
        <v>221</v>
      </c>
      <c r="M15">
        <v>11962.69</v>
      </c>
      <c r="N15" t="s">
        <v>222</v>
      </c>
      <c r="P15">
        <v>3.484</v>
      </c>
      <c r="Q15" s="67" t="s">
        <v>227</v>
      </c>
      <c r="AB15" s="67" t="s">
        <v>197</v>
      </c>
    </row>
    <row r="16" spans="1:30" x14ac:dyDescent="0.2">
      <c r="K16" t="s">
        <v>223</v>
      </c>
      <c r="M16" s="67">
        <v>14.068115100000002</v>
      </c>
      <c r="N16" t="s">
        <v>116</v>
      </c>
      <c r="AB16" t="s">
        <v>188</v>
      </c>
      <c r="AC16" t="s">
        <v>189</v>
      </c>
      <c r="AD16">
        <f>W8/1000</f>
        <v>0.21101</v>
      </c>
    </row>
    <row r="17" spans="1:30" x14ac:dyDescent="0.2">
      <c r="K17" t="s">
        <v>224</v>
      </c>
      <c r="M17">
        <v>71.099999999999994</v>
      </c>
      <c r="N17" t="s">
        <v>116</v>
      </c>
      <c r="AC17" t="s">
        <v>190</v>
      </c>
      <c r="AD17">
        <f>AD16*AB6</f>
        <v>25.321200000000001</v>
      </c>
    </row>
    <row r="18" spans="1:30" x14ac:dyDescent="0.2">
      <c r="H18"/>
      <c r="M18" s="67"/>
      <c r="AC18" t="s">
        <v>191</v>
      </c>
      <c r="AD18">
        <f>AD17/AB4</f>
        <v>1.3613548387096774</v>
      </c>
    </row>
    <row r="19" spans="1:30" ht="15.75" thickBot="1" x14ac:dyDescent="0.3">
      <c r="A19" s="78"/>
      <c r="B19" s="72"/>
      <c r="C19" s="102" t="s">
        <v>134</v>
      </c>
      <c r="D19" s="72"/>
      <c r="E19" s="72"/>
      <c r="F19" s="72"/>
      <c r="G19" s="73"/>
      <c r="H19" s="102" t="s">
        <v>136</v>
      </c>
      <c r="I19" s="72"/>
      <c r="J19" s="72"/>
      <c r="K19" s="72"/>
      <c r="L19" s="73"/>
    </row>
    <row r="20" spans="1:30" ht="13.5" thickBot="1" x14ac:dyDescent="0.25">
      <c r="A20" s="79" t="s">
        <v>141</v>
      </c>
      <c r="B20" s="80" t="s">
        <v>129</v>
      </c>
      <c r="C20" s="79" t="s">
        <v>142</v>
      </c>
      <c r="D20" s="80" t="s">
        <v>135</v>
      </c>
      <c r="E20" s="80" t="s">
        <v>137</v>
      </c>
      <c r="F20" s="80" t="s">
        <v>138</v>
      </c>
      <c r="G20" s="81" t="s">
        <v>159</v>
      </c>
      <c r="H20" s="79" t="s">
        <v>142</v>
      </c>
      <c r="I20" s="80" t="s">
        <v>135</v>
      </c>
      <c r="J20" s="80" t="s">
        <v>137</v>
      </c>
      <c r="K20" s="80" t="s">
        <v>138</v>
      </c>
      <c r="L20" s="81" t="s">
        <v>159</v>
      </c>
      <c r="M20" t="s">
        <v>140</v>
      </c>
      <c r="S20" s="67" t="s">
        <v>158</v>
      </c>
    </row>
    <row r="21" spans="1:30" ht="15" customHeight="1" thickBot="1" x14ac:dyDescent="0.25">
      <c r="A21" s="78" t="str">
        <f>RES_Mn!O2</f>
        <v>IFAMN</v>
      </c>
      <c r="B21" s="72" t="str">
        <f>RES_Mn!O3</f>
        <v>Industry - Ferro Alloy Metals production</v>
      </c>
      <c r="C21" s="78" t="str">
        <f>RES_Mn!M9</f>
        <v>IFMEAF-E</v>
      </c>
      <c r="D21" s="72" t="str">
        <f>RES_Mn!M5</f>
        <v>FerroMn existing</v>
      </c>
      <c r="E21" s="84" t="s">
        <v>131</v>
      </c>
      <c r="F21" s="106"/>
      <c r="G21" s="108" t="s">
        <v>160</v>
      </c>
      <c r="H21" s="78">
        <f>RES_Mn!T9</f>
        <v>0</v>
      </c>
      <c r="I21" s="72">
        <f>RES_Mn!T8</f>
        <v>0</v>
      </c>
      <c r="J21" s="84" t="s">
        <v>131</v>
      </c>
      <c r="K21" s="83">
        <f>F21</f>
        <v>0</v>
      </c>
      <c r="L21" s="73"/>
      <c r="Q21" s="113" t="s">
        <v>163</v>
      </c>
      <c r="R21" s="114" t="s">
        <v>164</v>
      </c>
      <c r="S21" s="114" t="s">
        <v>165</v>
      </c>
      <c r="U21" s="113"/>
      <c r="V21" s="114" t="s">
        <v>43</v>
      </c>
      <c r="W21" s="114" t="s">
        <v>170</v>
      </c>
      <c r="X21" s="114" t="s">
        <v>171</v>
      </c>
      <c r="Z21" t="s">
        <v>182</v>
      </c>
      <c r="AA21" s="67" t="s">
        <v>183</v>
      </c>
      <c r="AB21">
        <v>18.600000000000001</v>
      </c>
    </row>
    <row r="22" spans="1:30" ht="13.5" thickBot="1" x14ac:dyDescent="0.25">
      <c r="A22" s="71"/>
      <c r="C22" s="71"/>
      <c r="E22" s="67" t="s">
        <v>116</v>
      </c>
      <c r="F22" s="256">
        <f>O34</f>
        <v>0.4587</v>
      </c>
      <c r="G22" s="105"/>
      <c r="J22" s="67" t="s">
        <v>116</v>
      </c>
      <c r="K22" s="256">
        <f>Q34</f>
        <v>0.76100000000000001</v>
      </c>
      <c r="L22" s="254"/>
      <c r="M22" s="67"/>
      <c r="Q22" s="115" t="s">
        <v>166</v>
      </c>
      <c r="R22" s="116" t="s">
        <v>167</v>
      </c>
      <c r="S22" s="116">
        <v>28</v>
      </c>
      <c r="U22" s="115" t="s">
        <v>172</v>
      </c>
      <c r="V22" s="116" t="s">
        <v>173</v>
      </c>
      <c r="W22" s="116">
        <v>390</v>
      </c>
      <c r="X22" s="116">
        <v>390</v>
      </c>
      <c r="AA22" s="67" t="s">
        <v>185</v>
      </c>
      <c r="AB22">
        <f>AB21/3.6*1000</f>
        <v>5166.666666666667</v>
      </c>
    </row>
    <row r="23" spans="1:30" ht="15.75" thickBot="1" x14ac:dyDescent="0.3">
      <c r="A23" s="119" t="str">
        <f>RES_Mn!D2</f>
        <v>IISCKE</v>
      </c>
      <c r="B23" s="86" t="str">
        <f>RES_Mn!D3</f>
        <v>Industry - Iron and Steel - Coke</v>
      </c>
      <c r="C23" s="85"/>
      <c r="D23" s="86"/>
      <c r="E23" s="87"/>
      <c r="F23" s="107"/>
      <c r="G23" s="88"/>
      <c r="H23" s="85" t="str">
        <f>C21</f>
        <v>IFMEAF-E</v>
      </c>
      <c r="I23" s="85" t="str">
        <f>D21</f>
        <v>FerroMn existing</v>
      </c>
      <c r="J23" s="87" t="s">
        <v>116</v>
      </c>
      <c r="K23" s="120">
        <f>(1-X52)*U52*F22</f>
        <v>4.5161681860465128</v>
      </c>
      <c r="L23" s="88"/>
      <c r="M23" s="67"/>
      <c r="Q23" s="115" t="s">
        <v>168</v>
      </c>
      <c r="R23" s="116" t="s">
        <v>169</v>
      </c>
      <c r="S23" s="116">
        <v>38</v>
      </c>
      <c r="U23" s="115" t="s">
        <v>174</v>
      </c>
      <c r="V23" s="116" t="s">
        <v>117</v>
      </c>
      <c r="W23" s="116">
        <v>35</v>
      </c>
      <c r="X23" s="116">
        <v>100</v>
      </c>
      <c r="Z23" s="67" t="s">
        <v>184</v>
      </c>
      <c r="AA23" s="67" t="s">
        <v>183</v>
      </c>
      <c r="AB23">
        <v>120</v>
      </c>
    </row>
    <row r="24" spans="1:30" ht="15.75" thickBot="1" x14ac:dyDescent="0.3">
      <c r="A24" s="119" t="str">
        <f>RES_Mn!E2</f>
        <v>INDCOA</v>
      </c>
      <c r="B24" s="86" t="str">
        <f>RES_Mn!E3</f>
        <v>Industry - Iron and Steel - Coal</v>
      </c>
      <c r="C24" s="78"/>
      <c r="D24" s="72"/>
      <c r="E24" s="84"/>
      <c r="F24" s="110"/>
      <c r="G24" s="73"/>
      <c r="H24" s="78" t="str">
        <f>RES_Mn!M9</f>
        <v>IFMEAF-E</v>
      </c>
      <c r="I24" s="72" t="str">
        <f>RES_Mn!M5</f>
        <v>FerroMn existing</v>
      </c>
      <c r="J24" s="84" t="s">
        <v>116</v>
      </c>
      <c r="K24" s="120">
        <f>X52*U52*F22</f>
        <v>1.5053893953488375</v>
      </c>
      <c r="L24" s="255"/>
      <c r="Q24" s="115" t="s">
        <v>143</v>
      </c>
      <c r="R24" s="116" t="s">
        <v>169</v>
      </c>
      <c r="S24" s="116">
        <v>45</v>
      </c>
      <c r="U24" s="115" t="s">
        <v>175</v>
      </c>
      <c r="V24" s="116" t="s">
        <v>176</v>
      </c>
      <c r="W24" s="116">
        <v>33.44</v>
      </c>
      <c r="X24" s="116">
        <v>11.7</v>
      </c>
      <c r="AB24" s="67" t="s">
        <v>198</v>
      </c>
    </row>
    <row r="25" spans="1:30" ht="15.75" thickBot="1" x14ac:dyDescent="0.3">
      <c r="A25" s="119" t="str">
        <f>RES_Mn!F2</f>
        <v>IFAELC</v>
      </c>
      <c r="B25" s="86" t="str">
        <f>RES_Mn!F3</f>
        <v>Industry-FA-Electricity</v>
      </c>
      <c r="C25" s="74"/>
      <c r="D25" s="75"/>
      <c r="E25" s="75"/>
      <c r="F25" s="75"/>
      <c r="G25" s="76"/>
      <c r="H25" s="74" t="str">
        <f>H23</f>
        <v>IFMEAF-E</v>
      </c>
      <c r="I25" s="75" t="str">
        <f>I23</f>
        <v>FerroMn existing</v>
      </c>
      <c r="J25" s="82" t="s">
        <v>116</v>
      </c>
      <c r="K25" s="120">
        <f>U50*F22</f>
        <v>5.9447520000000003</v>
      </c>
      <c r="L25" s="76"/>
      <c r="M25" s="67"/>
      <c r="Q25" s="117" t="s">
        <v>180</v>
      </c>
      <c r="U25" s="115" t="s">
        <v>177</v>
      </c>
      <c r="V25" s="116" t="s">
        <v>178</v>
      </c>
      <c r="W25" s="116">
        <v>211.01</v>
      </c>
      <c r="X25" s="116">
        <v>189.27</v>
      </c>
      <c r="AB25" t="s">
        <v>188</v>
      </c>
      <c r="AC25" t="s">
        <v>189</v>
      </c>
      <c r="AD25">
        <f>X25/1000</f>
        <v>0.18927000000000002</v>
      </c>
    </row>
    <row r="26" spans="1:30" ht="13.5" thickBot="1" x14ac:dyDescent="0.25">
      <c r="A26" t="str">
        <f>Commodities_BASE!B19</f>
        <v>CO2SPIFM</v>
      </c>
      <c r="B26" t="str">
        <f>Commodities_BASE!C19</f>
        <v>Process Emissions FerroManganese South Africa</v>
      </c>
      <c r="C26" s="72" t="str">
        <f>C21</f>
        <v>IFMEAF-E</v>
      </c>
      <c r="D26" s="72" t="str">
        <f>D21</f>
        <v>FerroMn existing</v>
      </c>
      <c r="E26" s="72" t="s">
        <v>139</v>
      </c>
      <c r="F26" s="125">
        <v>3225</v>
      </c>
      <c r="G26" s="73"/>
      <c r="H26" s="78"/>
      <c r="I26" s="72"/>
      <c r="K26" s="72"/>
      <c r="L26" s="72"/>
      <c r="M26" s="67" t="s">
        <v>513</v>
      </c>
      <c r="U26" s="115" t="s">
        <v>179</v>
      </c>
      <c r="V26" s="116" t="s">
        <v>117</v>
      </c>
      <c r="W26" s="116">
        <v>73.400000000000006</v>
      </c>
      <c r="X26" s="116">
        <v>81.8</v>
      </c>
      <c r="AC26" t="s">
        <v>191</v>
      </c>
      <c r="AD26" s="257" t="e">
        <f>#REF!/AB21</f>
        <v>#REF!</v>
      </c>
    </row>
    <row r="27" spans="1:30" x14ac:dyDescent="0.2">
      <c r="A27" t="s">
        <v>186</v>
      </c>
      <c r="B27" t="str">
        <f>Commodities_BASE!C20</f>
        <v>CH4S South Africa</v>
      </c>
      <c r="C27" t="str">
        <f>C26</f>
        <v>IFMEAF-E</v>
      </c>
      <c r="D27" t="str">
        <f>D26</f>
        <v>FerroMn existing</v>
      </c>
      <c r="E27" t="s">
        <v>139</v>
      </c>
      <c r="F27">
        <v>0</v>
      </c>
      <c r="M27" s="67"/>
      <c r="U27" s="118" t="s">
        <v>181</v>
      </c>
      <c r="AC27" s="67" t="s">
        <v>199</v>
      </c>
      <c r="AD27" s="257" t="e">
        <f>1/AD26</f>
        <v>#REF!</v>
      </c>
    </row>
    <row r="28" spans="1:30" x14ac:dyDescent="0.2">
      <c r="AC28" s="67" t="s">
        <v>201</v>
      </c>
      <c r="AD28">
        <f>X22/3600</f>
        <v>0.10833333333333334</v>
      </c>
    </row>
    <row r="29" spans="1:30" x14ac:dyDescent="0.2">
      <c r="M29" s="67"/>
      <c r="AC29" s="67" t="s">
        <v>200</v>
      </c>
      <c r="AD29">
        <f>AD28/AB21</f>
        <v>5.8243727598566303E-3</v>
      </c>
    </row>
    <row r="30" spans="1:30" x14ac:dyDescent="0.2">
      <c r="O30" s="67" t="s">
        <v>512</v>
      </c>
    </row>
    <row r="31" spans="1:30" ht="31.5" customHeight="1" x14ac:dyDescent="0.2">
      <c r="O31" s="78"/>
      <c r="P31" s="72"/>
      <c r="Q31" s="72"/>
      <c r="R31" s="72"/>
      <c r="S31" s="72"/>
      <c r="T31" s="73"/>
    </row>
    <row r="32" spans="1:30" x14ac:dyDescent="0.2">
      <c r="O32" s="71">
        <v>2017</v>
      </c>
      <c r="Q32" s="67" t="s">
        <v>511</v>
      </c>
      <c r="T32" s="254"/>
      <c r="AB32" s="67" t="s">
        <v>197</v>
      </c>
    </row>
    <row r="33" spans="13:30" x14ac:dyDescent="0.2">
      <c r="M33" s="67"/>
      <c r="O33" s="71">
        <v>3.7</v>
      </c>
      <c r="P33" s="67" t="s">
        <v>510</v>
      </c>
      <c r="Q33">
        <v>4.8</v>
      </c>
      <c r="T33" s="254"/>
      <c r="AB33" t="s">
        <v>188</v>
      </c>
      <c r="AC33" t="s">
        <v>189</v>
      </c>
      <c r="AD33">
        <f>W25/1000</f>
        <v>0.21101</v>
      </c>
    </row>
    <row r="34" spans="13:30" x14ac:dyDescent="0.2">
      <c r="N34" s="67" t="s">
        <v>509</v>
      </c>
      <c r="O34" s="71">
        <v>0.4587</v>
      </c>
      <c r="P34" s="67" t="s">
        <v>508</v>
      </c>
      <c r="Q34">
        <f>T34/1000</f>
        <v>0.76100000000000001</v>
      </c>
      <c r="R34" s="67" t="s">
        <v>507</v>
      </c>
      <c r="T34" s="254">
        <f>312+116+132+161+40</f>
        <v>761</v>
      </c>
      <c r="AC34" t="s">
        <v>190</v>
      </c>
      <c r="AD34">
        <f>AD33*AB23</f>
        <v>25.321200000000001</v>
      </c>
    </row>
    <row r="35" spans="13:30" x14ac:dyDescent="0.2">
      <c r="M35" s="67"/>
      <c r="O35" s="71">
        <v>0.2</v>
      </c>
      <c r="P35" s="67" t="s">
        <v>506</v>
      </c>
      <c r="Q35">
        <f>O35</f>
        <v>0.2</v>
      </c>
      <c r="T35" s="254"/>
      <c r="AC35" t="s">
        <v>191</v>
      </c>
      <c r="AD35">
        <f>AD34/AB21</f>
        <v>1.3613548387096774</v>
      </c>
    </row>
    <row r="36" spans="13:30" x14ac:dyDescent="0.2">
      <c r="O36" s="71">
        <f>SUM(O33:O35)</f>
        <v>4.3587000000000007</v>
      </c>
      <c r="Q36">
        <f>SUM(Q33:Q35)</f>
        <v>5.7610000000000001</v>
      </c>
      <c r="T36" s="254"/>
      <c r="AC36" s="67" t="s">
        <v>199</v>
      </c>
      <c r="AD36">
        <f>1/AD35</f>
        <v>0.73456234301691858</v>
      </c>
    </row>
    <row r="37" spans="13:30" x14ac:dyDescent="0.2">
      <c r="M37" s="67"/>
      <c r="O37" s="71"/>
      <c r="T37" s="254"/>
    </row>
    <row r="38" spans="13:30" x14ac:dyDescent="0.2">
      <c r="M38" s="67"/>
      <c r="O38" s="74"/>
      <c r="P38" s="75"/>
      <c r="Q38" s="75"/>
      <c r="R38" s="75"/>
      <c r="S38" s="75"/>
      <c r="T38" s="76"/>
    </row>
    <row r="39" spans="13:30" x14ac:dyDescent="0.2">
      <c r="M39" s="67"/>
    </row>
    <row r="40" spans="13:30" x14ac:dyDescent="0.2">
      <c r="M40" s="67"/>
      <c r="O40" s="253" t="s">
        <v>505</v>
      </c>
      <c r="P40" s="247"/>
      <c r="Q40" s="247"/>
      <c r="R40" s="247"/>
      <c r="S40" s="247"/>
      <c r="T40" s="247"/>
      <c r="U40" s="247"/>
      <c r="V40" s="247"/>
      <c r="W40" s="247"/>
    </row>
    <row r="41" spans="13:30" x14ac:dyDescent="0.2">
      <c r="M41" s="67"/>
      <c r="O41" s="247"/>
      <c r="P41" s="247"/>
      <c r="Q41" s="247" t="s">
        <v>504</v>
      </c>
      <c r="R41" s="247" t="s">
        <v>503</v>
      </c>
      <c r="S41" s="247"/>
      <c r="T41" s="247"/>
      <c r="U41" s="247"/>
      <c r="V41" s="247"/>
      <c r="W41" s="247"/>
    </row>
    <row r="42" spans="13:30" x14ac:dyDescent="0.2">
      <c r="M42" s="67"/>
      <c r="O42" s="247" t="s">
        <v>502</v>
      </c>
      <c r="P42" s="247" t="s">
        <v>501</v>
      </c>
      <c r="Q42" s="247">
        <v>480</v>
      </c>
      <c r="R42" s="247">
        <v>312</v>
      </c>
      <c r="S42" s="247" t="s">
        <v>497</v>
      </c>
      <c r="T42" s="248" t="s">
        <v>500</v>
      </c>
      <c r="U42" s="247"/>
      <c r="V42" s="247"/>
      <c r="W42" s="247"/>
    </row>
    <row r="43" spans="13:30" x14ac:dyDescent="0.2">
      <c r="M43" s="67"/>
      <c r="O43" s="247"/>
      <c r="P43" s="247" t="s">
        <v>499</v>
      </c>
      <c r="Q43" s="247">
        <v>240</v>
      </c>
      <c r="R43" s="247">
        <v>116</v>
      </c>
      <c r="S43" s="247" t="s">
        <v>497</v>
      </c>
      <c r="T43" s="248" t="s">
        <v>495</v>
      </c>
      <c r="U43" s="247"/>
      <c r="V43" s="247"/>
      <c r="W43" s="247"/>
    </row>
    <row r="44" spans="13:30" x14ac:dyDescent="0.2">
      <c r="M44" s="67"/>
      <c r="O44" s="247"/>
      <c r="P44" s="247" t="s">
        <v>498</v>
      </c>
      <c r="Q44" s="247">
        <v>270</v>
      </c>
      <c r="R44" s="247">
        <v>132</v>
      </c>
      <c r="S44" s="247" t="s">
        <v>497</v>
      </c>
      <c r="T44" s="248" t="s">
        <v>495</v>
      </c>
      <c r="U44" s="247"/>
      <c r="V44" s="247"/>
      <c r="W44" s="247"/>
    </row>
    <row r="45" spans="13:30" x14ac:dyDescent="0.2">
      <c r="M45" s="67"/>
      <c r="O45" s="247"/>
      <c r="P45" s="247" t="s">
        <v>496</v>
      </c>
      <c r="Q45" s="247">
        <v>180</v>
      </c>
      <c r="R45" s="247">
        <v>161</v>
      </c>
      <c r="S45" s="247" t="s">
        <v>482</v>
      </c>
      <c r="T45" s="248" t="s">
        <v>495</v>
      </c>
      <c r="U45" s="247"/>
      <c r="V45" s="247"/>
      <c r="W45" s="247"/>
    </row>
    <row r="46" spans="13:30" x14ac:dyDescent="0.2">
      <c r="M46" s="67"/>
      <c r="O46" s="247"/>
      <c r="P46" s="247" t="s">
        <v>494</v>
      </c>
      <c r="Q46" s="247">
        <v>40</v>
      </c>
      <c r="R46" s="247">
        <v>40</v>
      </c>
      <c r="S46" s="247" t="s">
        <v>482</v>
      </c>
      <c r="T46" s="247" t="s">
        <v>493</v>
      </c>
      <c r="U46" s="247"/>
      <c r="V46" s="247"/>
      <c r="W46" s="247"/>
    </row>
    <row r="47" spans="13:30" x14ac:dyDescent="0.2">
      <c r="M47" s="67"/>
      <c r="O47" s="247"/>
      <c r="P47" s="247"/>
      <c r="Q47" s="247"/>
      <c r="R47" s="247"/>
      <c r="S47" s="247"/>
      <c r="T47" s="247"/>
      <c r="U47" s="247"/>
      <c r="V47" s="247"/>
      <c r="W47" s="247"/>
    </row>
    <row r="48" spans="13:30" x14ac:dyDescent="0.2">
      <c r="M48" s="67"/>
      <c r="O48" s="247"/>
      <c r="P48" s="247"/>
      <c r="Q48" s="247"/>
      <c r="R48" s="247"/>
      <c r="S48" s="247"/>
      <c r="T48" s="247"/>
      <c r="U48" s="247"/>
      <c r="V48" s="247"/>
      <c r="W48" s="247"/>
    </row>
    <row r="49" spans="13:24" x14ac:dyDescent="0.2">
      <c r="M49" s="67"/>
      <c r="O49" s="252"/>
      <c r="P49" s="252"/>
      <c r="Q49" s="252"/>
      <c r="R49" s="251" t="s">
        <v>492</v>
      </c>
      <c r="S49" s="251" t="s">
        <v>491</v>
      </c>
      <c r="T49" s="251" t="s">
        <v>490</v>
      </c>
      <c r="U49" s="248" t="s">
        <v>489</v>
      </c>
      <c r="V49" s="251" t="s">
        <v>488</v>
      </c>
      <c r="W49" s="251" t="s">
        <v>487</v>
      </c>
      <c r="X49" s="250" t="s">
        <v>486</v>
      </c>
    </row>
    <row r="50" spans="13:24" x14ac:dyDescent="0.2">
      <c r="M50" s="67"/>
      <c r="O50" s="248" t="s">
        <v>483</v>
      </c>
      <c r="P50" s="248" t="s">
        <v>485</v>
      </c>
      <c r="Q50" s="248" t="s">
        <v>484</v>
      </c>
      <c r="R50" s="247">
        <v>2.1520000000000001</v>
      </c>
      <c r="S50" s="247">
        <v>3.395</v>
      </c>
      <c r="T50" s="247">
        <v>3.6</v>
      </c>
      <c r="U50" s="247">
        <f>T50*3.6</f>
        <v>12.96</v>
      </c>
      <c r="V50" s="247">
        <f>T50*O34*1000</f>
        <v>1651.3200000000002</v>
      </c>
      <c r="W50" s="247">
        <f>V50*3.6/1000</f>
        <v>5.9447520000000003</v>
      </c>
      <c r="X50" s="247"/>
    </row>
    <row r="51" spans="13:24" x14ac:dyDescent="0.2">
      <c r="M51" s="67"/>
      <c r="O51" s="248" t="s">
        <v>483</v>
      </c>
      <c r="P51" s="248" t="s">
        <v>482</v>
      </c>
      <c r="Q51" s="247"/>
      <c r="R51" s="247"/>
      <c r="S51" s="247"/>
      <c r="T51" s="247">
        <v>4.8</v>
      </c>
      <c r="U51" s="247"/>
      <c r="V51" s="247"/>
      <c r="W51" s="247"/>
      <c r="X51" s="247"/>
    </row>
    <row r="52" spans="13:24" x14ac:dyDescent="0.2">
      <c r="M52" s="67"/>
      <c r="O52" s="248" t="s">
        <v>481</v>
      </c>
      <c r="P52" s="247"/>
      <c r="Q52" s="247"/>
      <c r="R52" s="247"/>
      <c r="S52" s="247"/>
      <c r="T52" s="247"/>
      <c r="U52" s="247">
        <f>2.8*3.6*0.56/0.43</f>
        <v>13.127441860465119</v>
      </c>
      <c r="V52" s="247"/>
      <c r="W52" s="247">
        <f>W50*0.56/0.43</f>
        <v>7.7420026046511641</v>
      </c>
      <c r="X52" s="249">
        <v>0.25</v>
      </c>
    </row>
    <row r="53" spans="13:24" x14ac:dyDescent="0.2">
      <c r="M53" s="67"/>
      <c r="O53" s="247"/>
      <c r="P53" s="247"/>
      <c r="Q53" s="247"/>
      <c r="R53" s="247"/>
      <c r="S53" s="247"/>
      <c r="T53" s="247"/>
      <c r="U53" s="247"/>
      <c r="V53" s="247"/>
      <c r="W53" s="247"/>
    </row>
    <row r="54" spans="13:24" x14ac:dyDescent="0.2">
      <c r="M54" s="67"/>
      <c r="O54" s="247"/>
      <c r="P54" s="247"/>
      <c r="Q54" s="247"/>
      <c r="R54" s="247"/>
      <c r="S54" s="247"/>
      <c r="T54" s="247"/>
      <c r="U54" s="247"/>
      <c r="V54" s="247"/>
      <c r="W54" s="247"/>
    </row>
    <row r="55" spans="13:24" x14ac:dyDescent="0.2">
      <c r="M55" s="67"/>
      <c r="O55" s="248" t="s">
        <v>480</v>
      </c>
      <c r="P55" s="247"/>
      <c r="Q55" s="247"/>
      <c r="R55" s="247"/>
      <c r="S55" s="247"/>
      <c r="T55" s="247">
        <v>2.8</v>
      </c>
      <c r="U55" s="247">
        <f>T55*3.6</f>
        <v>10.08</v>
      </c>
      <c r="V55" s="248" t="s">
        <v>479</v>
      </c>
      <c r="W55" s="247"/>
    </row>
    <row r="56" spans="13:24" x14ac:dyDescent="0.2">
      <c r="M56" s="67"/>
    </row>
    <row r="57" spans="13:24" x14ac:dyDescent="0.2">
      <c r="M57" s="67"/>
    </row>
    <row r="58" spans="13:24" x14ac:dyDescent="0.2">
      <c r="M58" s="67"/>
      <c r="O58" s="246" t="s">
        <v>317</v>
      </c>
      <c r="P58" s="246" t="s">
        <v>475</v>
      </c>
      <c r="Q58" s="245"/>
      <c r="R58" s="245">
        <v>84.69</v>
      </c>
      <c r="S58" s="246" t="s">
        <v>478</v>
      </c>
      <c r="T58" s="245"/>
      <c r="U58" s="245"/>
      <c r="V58" s="245"/>
      <c r="W58" s="245"/>
    </row>
    <row r="59" spans="13:24" x14ac:dyDescent="0.2">
      <c r="M59" s="67"/>
      <c r="O59" s="246" t="s">
        <v>143</v>
      </c>
      <c r="P59" s="246" t="s">
        <v>475</v>
      </c>
      <c r="Q59" s="245"/>
      <c r="R59" s="245">
        <v>47.74</v>
      </c>
      <c r="S59" s="246" t="s">
        <v>477</v>
      </c>
      <c r="T59" s="245"/>
      <c r="U59" s="245"/>
      <c r="V59" s="245"/>
      <c r="W59" s="245"/>
    </row>
    <row r="60" spans="13:24" x14ac:dyDescent="0.2">
      <c r="M60" s="67"/>
      <c r="O60" s="246" t="s">
        <v>476</v>
      </c>
      <c r="P60" s="246" t="s">
        <v>475</v>
      </c>
      <c r="Q60" s="245"/>
      <c r="R60" s="245">
        <v>79</v>
      </c>
      <c r="S60" s="246" t="s">
        <v>474</v>
      </c>
      <c r="T60" s="245"/>
      <c r="U60" s="245"/>
      <c r="V60" s="245"/>
      <c r="W60" s="245"/>
    </row>
    <row r="61" spans="13:24" x14ac:dyDescent="0.2">
      <c r="M61" s="67"/>
    </row>
    <row r="62" spans="13:24" x14ac:dyDescent="0.2">
      <c r="M62" s="67"/>
    </row>
    <row r="63" spans="13:24" x14ac:dyDescent="0.2">
      <c r="M63" s="67"/>
    </row>
    <row r="64" spans="13:24" x14ac:dyDescent="0.2">
      <c r="M64" s="67"/>
    </row>
    <row r="65" spans="6:13" x14ac:dyDescent="0.2">
      <c r="M65" s="67"/>
    </row>
    <row r="66" spans="6:13" x14ac:dyDescent="0.2">
      <c r="M66" s="67"/>
    </row>
    <row r="67" spans="6:13" x14ac:dyDescent="0.2">
      <c r="M67" s="67"/>
    </row>
    <row r="68" spans="6:13" x14ac:dyDescent="0.2">
      <c r="M68" s="67"/>
    </row>
    <row r="69" spans="6:13" x14ac:dyDescent="0.2">
      <c r="M69" s="67"/>
    </row>
    <row r="70" spans="6:13" x14ac:dyDescent="0.2">
      <c r="M70" s="67"/>
    </row>
    <row r="71" spans="6:13" x14ac:dyDescent="0.2">
      <c r="M71" s="67"/>
    </row>
    <row r="72" spans="6:13" x14ac:dyDescent="0.2">
      <c r="M72" s="67"/>
    </row>
    <row r="73" spans="6:13" x14ac:dyDescent="0.2">
      <c r="F73" s="124"/>
      <c r="I73" s="124"/>
      <c r="J73" s="124"/>
      <c r="K73" s="124"/>
    </row>
    <row r="74" spans="6:13" x14ac:dyDescent="0.2">
      <c r="F74" s="124"/>
      <c r="I74" s="124"/>
      <c r="J74" s="124"/>
      <c r="K74" s="124"/>
    </row>
    <row r="75" spans="6:13" x14ac:dyDescent="0.2">
      <c r="F75" s="124"/>
      <c r="I75" s="124"/>
      <c r="J75" s="124"/>
      <c r="K75" s="124"/>
    </row>
    <row r="76" spans="6:13" x14ac:dyDescent="0.2">
      <c r="F76" s="124"/>
      <c r="I76" s="124"/>
      <c r="J76" s="124"/>
      <c r="K76" s="124"/>
    </row>
    <row r="78" spans="6:13" x14ac:dyDescent="0.2">
      <c r="I78" s="124"/>
      <c r="J78" s="124"/>
      <c r="K78" s="12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5703125" style="3" customWidth="1"/>
    <col min="2" max="2" width="42.5703125" style="3" customWidth="1"/>
    <col min="3" max="3" width="28.5703125" style="3" customWidth="1"/>
    <col min="4" max="4" width="21.7109375" style="3" customWidth="1"/>
    <col min="5" max="16384" width="9.140625" style="3"/>
  </cols>
  <sheetData>
    <row r="1" spans="1:4" x14ac:dyDescent="0.2">
      <c r="A1" s="2" t="s">
        <v>100</v>
      </c>
      <c r="B1" s="3" t="s">
        <v>101</v>
      </c>
    </row>
    <row r="3" spans="1:4" ht="18" customHeight="1" x14ac:dyDescent="0.2"/>
    <row r="7" spans="1:4" x14ac:dyDescent="0.2">
      <c r="A7" s="2" t="s">
        <v>16</v>
      </c>
      <c r="B7" s="2" t="s">
        <v>15</v>
      </c>
      <c r="C7" s="2" t="s">
        <v>1</v>
      </c>
      <c r="D7" s="2" t="s">
        <v>0</v>
      </c>
    </row>
    <row r="8" spans="1:4" x14ac:dyDescent="0.2">
      <c r="A8" s="5" t="s">
        <v>17</v>
      </c>
      <c r="B8" s="5" t="s">
        <v>18</v>
      </c>
      <c r="C8" s="5" t="s">
        <v>19</v>
      </c>
    </row>
    <row r="9" spans="1:4" x14ac:dyDescent="0.2">
      <c r="A9" s="2" t="s">
        <v>96</v>
      </c>
    </row>
    <row r="10" spans="1:4" x14ac:dyDescent="0.2">
      <c r="A10" s="3" t="s">
        <v>95</v>
      </c>
      <c r="B10" s="3" t="s">
        <v>95</v>
      </c>
      <c r="C10" s="5" t="s">
        <v>97</v>
      </c>
    </row>
    <row r="11" spans="1:4" x14ac:dyDescent="0.2">
      <c r="A11" s="3" t="s">
        <v>98</v>
      </c>
      <c r="B11" s="3" t="s">
        <v>98</v>
      </c>
      <c r="C11" s="5" t="s">
        <v>97</v>
      </c>
    </row>
    <row r="13" spans="1:4" x14ac:dyDescent="0.2">
      <c r="A13" s="2" t="s">
        <v>102</v>
      </c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About and Log</vt:lpstr>
      <vt:lpstr>SEC_Comm</vt:lpstr>
      <vt:lpstr>SEC_Processes</vt:lpstr>
      <vt:lpstr>Process Input</vt:lpstr>
      <vt:lpstr>Index</vt:lpstr>
      <vt:lpstr>RES_Cr</vt:lpstr>
      <vt:lpstr>RES_Mn</vt:lpstr>
      <vt:lpstr>EB_Exist</vt:lpstr>
      <vt:lpstr>Commodities_BASE</vt:lpstr>
      <vt:lpstr>CommData_BASE</vt:lpstr>
      <vt:lpstr>Processes_BASE</vt:lpstr>
      <vt:lpstr>ProcData_F_Mn_Cr - PAMS</vt:lpstr>
      <vt:lpstr>NetZero work</vt:lpstr>
      <vt:lpstr>Production and Capacity</vt:lpstr>
      <vt:lpstr>RES of chrome industry with EE</vt:lpstr>
      <vt:lpstr>FA_PAMS_index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Bryce Mc Call</cp:lastModifiedBy>
  <cp:lastPrinted>2005-06-23T04:07:43Z</cp:lastPrinted>
  <dcterms:created xsi:type="dcterms:W3CDTF">2005-05-01T12:39:10Z</dcterms:created>
  <dcterms:modified xsi:type="dcterms:W3CDTF">2023-09-13T07:50:05Z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