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ate1904="1" showInkAnnotation="0"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9B73A52D-18DB-4126-9A4E-67072B0436AC}" xr6:coauthVersionLast="47" xr6:coauthVersionMax="47" xr10:uidLastSave="{00000000-0000-0000-0000-000000000000}"/>
  <bookViews>
    <workbookView xWindow="-120" yWindow="-120" windowWidth="38640" windowHeight="21240" tabRatio="853" activeTab="9" xr2:uid="{43DCB660-3C9F-4D21-841F-0AAFE0E93A09}"/>
  </bookViews>
  <sheets>
    <sheet name="Index" sheetId="99" r:id="rId1"/>
    <sheet name="ChangeLog" sheetId="92" r:id="rId2"/>
    <sheet name="NameConv" sheetId="65" r:id="rId3"/>
    <sheet name="Industry description" sheetId="14" r:id="rId4"/>
    <sheet name="SIC codes" sheetId="111" r:id="rId5"/>
    <sheet name="2012 SATIM EB" sheetId="115" r:id="rId6"/>
    <sheet name="2017 SATIM EB" sheetId="143" r:id="rId7"/>
    <sheet name="Methodology" sheetId="144" r:id="rId8"/>
    <sheet name="IND" sheetId="112" r:id="rId9"/>
    <sheet name="IND2017" sheetId="142" r:id="rId10"/>
    <sheet name="PAMS central control panel" sheetId="134" r:id="rId11"/>
    <sheet name="ITEM_Comm (jm)" sheetId="148" r:id="rId12"/>
    <sheet name="AFA" sheetId="79" r:id="rId13"/>
  </sheets>
  <externalReferences>
    <externalReference r:id="rId14"/>
    <externalReference r:id="rId15"/>
    <externalReference r:id="rId16"/>
    <externalReference r:id="rId17"/>
    <externalReference r:id="rId18"/>
    <externalReference r:id="rId19"/>
  </externalReferences>
  <definedNames>
    <definedName name="_AMO_RefreshMultipleList" hidden="1">"'296899469 426988102 362274166 589584065 285770244'"</definedName>
    <definedName name="_AMO_XmlVersion" hidden="1">"'1'"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switch" localSheetId="9">'IND2017'!$M$13</definedName>
    <definedName name="ALswitch">IND!$M$13</definedName>
    <definedName name="eps">NameConv!$F$37</definedName>
    <definedName name="HTML_CodePage" hidden="1">1252</definedName>
    <definedName name="HTML_Description" hidden="1">""</definedName>
    <definedName name="HTML_Email" hidden="1">""</definedName>
    <definedName name="HTML_Header" hidden="1">"Local sales"</definedName>
    <definedName name="HTML_LastUpdate" hidden="1">"2003/02/17"</definedName>
    <definedName name="HTML_LineAfter" hidden="1">FALSE</definedName>
    <definedName name="HTML_LineBefore" hidden="1">FALSE</definedName>
    <definedName name="HTML_Name" hidden="1">"Susan Botha"</definedName>
    <definedName name="HTML_OBDlg2" hidden="1">TRUE</definedName>
    <definedName name="HTML_OBDlg4" hidden="1">TRUE</definedName>
    <definedName name="HTML_OS" hidden="1">0</definedName>
    <definedName name="HTML_PathFile" hidden="1">"J:\Info Services\Economic Committee\Website\MyHTML.htm"</definedName>
    <definedName name="HTML_Title" hidden="1">"STATISTICS website"</definedName>
    <definedName name="impswitch_al">Index!$E$19</definedName>
    <definedName name="impswitch_fa">Index!$E$18</definedName>
    <definedName name="impswitch_is">Index!$E$17</definedName>
    <definedName name="impswitch_NMM">Index!$E$20</definedName>
    <definedName name="impswitch_others">Index!$E$22</definedName>
    <definedName name="impswitch_pp">Index!$E$21</definedName>
    <definedName name="ind_EE_techs">'PAMS central control panel'!$I$14</definedName>
    <definedName name="Pal_Workbook_GUID" hidden="1">"E2D7SR7Q3BDXUD24G1M1SK63"</definedName>
    <definedName name="pamsindex">'PAMS central control panel'!$C$2</definedName>
    <definedName name="PAMSlevel">'PAMS central control panel'!$D$10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wastePAM">'PAMS central control panel'!$C$3</definedName>
    <definedName name="zar.2010">Index!$B$11</definedName>
    <definedName name="zar.year">Index!$B$10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4" i="142" l="1"/>
  <c r="L124" i="142"/>
  <c r="AW102" i="142"/>
  <c r="AW103" i="142"/>
  <c r="AW104" i="142"/>
  <c r="C180" i="142"/>
  <c r="C158" i="142"/>
  <c r="C139" i="142"/>
  <c r="C116" i="142"/>
  <c r="C92" i="142"/>
  <c r="J16" i="134" l="1"/>
  <c r="I16" i="134"/>
  <c r="J14" i="134"/>
  <c r="I14" i="134"/>
  <c r="J15" i="134"/>
  <c r="I15" i="134" a="1"/>
  <c r="I15" i="134" s="1"/>
  <c r="J18" i="134"/>
  <c r="I18" i="134"/>
  <c r="J17" i="134"/>
  <c r="I17" i="134" a="1"/>
  <c r="I17" i="134" s="1"/>
  <c r="J19" i="134"/>
  <c r="I19" i="134"/>
  <c r="AW188" i="142"/>
  <c r="AY187" i="142"/>
  <c r="AW187" i="142"/>
  <c r="AW186" i="142"/>
  <c r="AW185" i="142"/>
  <c r="AW184" i="142"/>
  <c r="AW183" i="142"/>
  <c r="AW182" i="142"/>
  <c r="AW181" i="142"/>
  <c r="AW180" i="142"/>
  <c r="AW179" i="142"/>
  <c r="AW178" i="142"/>
  <c r="AY177" i="142"/>
  <c r="AW177" i="142"/>
  <c r="AW176" i="142"/>
  <c r="AY176" i="142" s="1"/>
  <c r="AY175" i="142"/>
  <c r="AW175" i="142"/>
  <c r="AW174" i="142"/>
  <c r="AY174" i="142" s="1"/>
  <c r="AW173" i="142"/>
  <c r="AY173" i="142" s="1"/>
  <c r="AW172" i="142"/>
  <c r="AY172" i="142" s="1"/>
  <c r="AY171" i="142"/>
  <c r="AW171" i="142"/>
  <c r="AW170" i="142"/>
  <c r="AY170" i="142" s="1"/>
  <c r="AY169" i="142"/>
  <c r="AW169" i="142"/>
  <c r="AW168" i="142"/>
  <c r="AW167" i="142"/>
  <c r="AW166" i="142"/>
  <c r="AW165" i="142"/>
  <c r="AW164" i="142"/>
  <c r="AW163" i="142"/>
  <c r="AW162" i="142"/>
  <c r="AW161" i="142"/>
  <c r="AW160" i="142"/>
  <c r="AW159" i="142"/>
  <c r="AW158" i="142"/>
  <c r="AW157" i="142"/>
  <c r="AW156" i="142"/>
  <c r="AW155" i="142"/>
  <c r="AY155" i="142" s="1"/>
  <c r="AW154" i="142"/>
  <c r="AY154" i="142" s="1"/>
  <c r="AY153" i="142"/>
  <c r="AW153" i="142"/>
  <c r="AW152" i="142"/>
  <c r="AY152" i="142" s="1"/>
  <c r="AY151" i="142"/>
  <c r="AW151" i="142"/>
  <c r="AW150" i="142"/>
  <c r="AY150" i="142" s="1"/>
  <c r="AW149" i="142"/>
  <c r="AY149" i="142" s="1"/>
  <c r="AW148" i="142"/>
  <c r="AY148" i="142" s="1"/>
  <c r="AY147" i="142"/>
  <c r="AW147" i="142"/>
  <c r="AW146" i="142"/>
  <c r="AW145" i="142"/>
  <c r="AW144" i="142"/>
  <c r="AW143" i="142"/>
  <c r="AW142" i="142"/>
  <c r="AW141" i="142"/>
  <c r="AW140" i="142"/>
  <c r="AW139" i="142"/>
  <c r="AW138" i="142"/>
  <c r="AW137" i="142"/>
  <c r="AW136" i="142"/>
  <c r="AY136" i="142" s="1"/>
  <c r="AY135" i="142"/>
  <c r="AW135" i="142"/>
  <c r="AW134" i="142"/>
  <c r="AY134" i="142" s="1"/>
  <c r="AY133" i="142"/>
  <c r="AW133" i="142"/>
  <c r="AW132" i="142"/>
  <c r="AY132" i="142" s="1"/>
  <c r="AW131" i="142"/>
  <c r="AY131" i="142" s="1"/>
  <c r="AW130" i="142"/>
  <c r="AY130" i="142" s="1"/>
  <c r="AY129" i="142"/>
  <c r="AW129" i="142"/>
  <c r="AW128" i="142"/>
  <c r="AY128" i="142" s="1"/>
  <c r="AW127" i="142"/>
  <c r="AW126" i="142"/>
  <c r="AW125" i="142"/>
  <c r="AW124" i="142"/>
  <c r="AY124" i="142" s="1"/>
  <c r="AW123" i="142"/>
  <c r="AW122" i="142"/>
  <c r="AW121" i="142"/>
  <c r="AW120" i="142"/>
  <c r="AW119" i="142"/>
  <c r="AW118" i="142"/>
  <c r="AW117" i="142"/>
  <c r="AW116" i="142"/>
  <c r="AY115" i="142"/>
  <c r="AW115" i="142"/>
  <c r="AW114" i="142"/>
  <c r="AW113" i="142"/>
  <c r="AY113" i="142" s="1"/>
  <c r="AW112" i="142"/>
  <c r="AY112" i="142" s="1"/>
  <c r="AY111" i="142"/>
  <c r="AW111" i="142"/>
  <c r="AW110" i="142"/>
  <c r="AY110" i="142" s="1"/>
  <c r="AY109" i="142"/>
  <c r="AW109" i="142"/>
  <c r="AW108" i="142"/>
  <c r="AY108" i="142" s="1"/>
  <c r="AW107" i="142"/>
  <c r="AY107" i="142" s="1"/>
  <c r="AW106" i="142"/>
  <c r="AY106" i="142" s="1"/>
  <c r="AY105" i="142"/>
  <c r="AW105" i="142"/>
  <c r="AW84" i="142"/>
  <c r="AY84" i="142" s="1"/>
  <c r="AW85" i="142"/>
  <c r="AY85" i="142"/>
  <c r="AW86" i="142"/>
  <c r="AY86" i="142"/>
  <c r="AW87" i="142"/>
  <c r="AY87" i="142" s="1"/>
  <c r="AW88" i="142"/>
  <c r="AY88" i="142"/>
  <c r="AW89" i="142"/>
  <c r="AY89" i="142" s="1"/>
  <c r="AW90" i="142"/>
  <c r="AW91" i="142"/>
  <c r="AW92" i="142"/>
  <c r="AW93" i="142"/>
  <c r="AW94" i="142"/>
  <c r="AW95" i="142"/>
  <c r="AW96" i="142"/>
  <c r="AW97" i="142"/>
  <c r="AW98" i="142"/>
  <c r="AW99" i="142"/>
  <c r="AW100" i="142"/>
  <c r="AY100" i="142"/>
  <c r="AW101" i="142"/>
  <c r="AY82" i="142"/>
  <c r="AY83" i="142"/>
  <c r="AW82" i="142"/>
  <c r="AW83" i="142"/>
  <c r="AY81" i="142"/>
  <c r="L84" i="142"/>
  <c r="AW81" i="142"/>
  <c r="AO187" i="142"/>
  <c r="AP187" i="142" s="1"/>
  <c r="AP179" i="142"/>
  <c r="AP177" i="142"/>
  <c r="AP176" i="142"/>
  <c r="AP175" i="142"/>
  <c r="AP174" i="142"/>
  <c r="AP173" i="142"/>
  <c r="AP172" i="142"/>
  <c r="AP171" i="142"/>
  <c r="AP170" i="142"/>
  <c r="AP169" i="142"/>
  <c r="AP157" i="142"/>
  <c r="AP155" i="142"/>
  <c r="AP154" i="142"/>
  <c r="AP153" i="142"/>
  <c r="AP152" i="142"/>
  <c r="AP151" i="142"/>
  <c r="AP150" i="142"/>
  <c r="AP149" i="142"/>
  <c r="AP148" i="142"/>
  <c r="AP147" i="142"/>
  <c r="AP138" i="142"/>
  <c r="AP136" i="142"/>
  <c r="AP135" i="142"/>
  <c r="AP134" i="142"/>
  <c r="AP133" i="142"/>
  <c r="AP132" i="142"/>
  <c r="AP131" i="142"/>
  <c r="AP130" i="142"/>
  <c r="AP129" i="142"/>
  <c r="AP128" i="142"/>
  <c r="AP124" i="142"/>
  <c r="AP115" i="142"/>
  <c r="AP113" i="142"/>
  <c r="AP112" i="142"/>
  <c r="AP111" i="142"/>
  <c r="AP110" i="142"/>
  <c r="AP109" i="142"/>
  <c r="AP108" i="142"/>
  <c r="AP107" i="142"/>
  <c r="AP106" i="142"/>
  <c r="AP105" i="142"/>
  <c r="AP100" i="142"/>
  <c r="AP91" i="142"/>
  <c r="AP82" i="142"/>
  <c r="AP83" i="142"/>
  <c r="AP84" i="142"/>
  <c r="AP85" i="142"/>
  <c r="AP86" i="142"/>
  <c r="AP87" i="142"/>
  <c r="AP88" i="142"/>
  <c r="AP89" i="142"/>
  <c r="AP81" i="142"/>
  <c r="J22" i="65"/>
  <c r="AP185" i="142"/>
  <c r="AP163" i="142"/>
  <c r="AP121" i="142"/>
  <c r="AP97" i="142"/>
  <c r="AI121" i="142"/>
  <c r="AI163" i="142"/>
  <c r="AI185" i="142"/>
  <c r="AI97" i="142"/>
  <c r="V77" i="142"/>
  <c r="U77" i="142"/>
  <c r="T77" i="142"/>
  <c r="S77" i="142"/>
  <c r="O77" i="142"/>
  <c r="P77" i="142"/>
  <c r="Q77" i="142"/>
  <c r="Q95" i="142"/>
  <c r="P95" i="142"/>
  <c r="Q119" i="142"/>
  <c r="P119" i="142"/>
  <c r="Q183" i="142"/>
  <c r="P183" i="142"/>
  <c r="Z82" i="142"/>
  <c r="AA82" i="142"/>
  <c r="AB82" i="142"/>
  <c r="AC82" i="142"/>
  <c r="AD82" i="142"/>
  <c r="AE82" i="142"/>
  <c r="Z83" i="142"/>
  <c r="AA83" i="142"/>
  <c r="AB83" i="142"/>
  <c r="AC83" i="142"/>
  <c r="AD83" i="142"/>
  <c r="AE83" i="142"/>
  <c r="Z84" i="142"/>
  <c r="AA84" i="142"/>
  <c r="AB84" i="142"/>
  <c r="AC84" i="142"/>
  <c r="AD84" i="142"/>
  <c r="AE84" i="142"/>
  <c r="Z85" i="142"/>
  <c r="AA85" i="142"/>
  <c r="AB85" i="142"/>
  <c r="AC85" i="142"/>
  <c r="AD85" i="142"/>
  <c r="AE85" i="142"/>
  <c r="Z86" i="142"/>
  <c r="AA86" i="142"/>
  <c r="AB86" i="142"/>
  <c r="AC86" i="142"/>
  <c r="AD86" i="142"/>
  <c r="AE86" i="142"/>
  <c r="Z87" i="142"/>
  <c r="AA87" i="142"/>
  <c r="AB87" i="142"/>
  <c r="AC87" i="142"/>
  <c r="AD87" i="142"/>
  <c r="AE87" i="142"/>
  <c r="Z88" i="142"/>
  <c r="AA88" i="142"/>
  <c r="AB88" i="142"/>
  <c r="AC88" i="142"/>
  <c r="AD88" i="142"/>
  <c r="AE88" i="142"/>
  <c r="Z89" i="142"/>
  <c r="AA89" i="142"/>
  <c r="AB89" i="142"/>
  <c r="AC89" i="142"/>
  <c r="AD89" i="142"/>
  <c r="AE89" i="142"/>
  <c r="Z90" i="142"/>
  <c r="AA90" i="142"/>
  <c r="AB90" i="142"/>
  <c r="AC90" i="142"/>
  <c r="AD90" i="142"/>
  <c r="AE90" i="142"/>
  <c r="Z91" i="142"/>
  <c r="AA91" i="142"/>
  <c r="AB91" i="142"/>
  <c r="AC91" i="142"/>
  <c r="AD91" i="142"/>
  <c r="AE91" i="142"/>
  <c r="Z148" i="142"/>
  <c r="AA148" i="142"/>
  <c r="AB148" i="142"/>
  <c r="AC148" i="142"/>
  <c r="AD148" i="142"/>
  <c r="AE148" i="142"/>
  <c r="Z149" i="142"/>
  <c r="AA149" i="142"/>
  <c r="AB149" i="142"/>
  <c r="AC149" i="142"/>
  <c r="AD149" i="142"/>
  <c r="AE149" i="142"/>
  <c r="Z150" i="142"/>
  <c r="AA150" i="142"/>
  <c r="AB150" i="142"/>
  <c r="AC150" i="142"/>
  <c r="AD150" i="142"/>
  <c r="AE150" i="142"/>
  <c r="Z151" i="142"/>
  <c r="AA151" i="142"/>
  <c r="AB151" i="142"/>
  <c r="AC151" i="142"/>
  <c r="AD151" i="142"/>
  <c r="AE151" i="142"/>
  <c r="Z152" i="142"/>
  <c r="AA152" i="142"/>
  <c r="AB152" i="142"/>
  <c r="AC152" i="142"/>
  <c r="AD152" i="142"/>
  <c r="AE152" i="142"/>
  <c r="Z153" i="142"/>
  <c r="AA153" i="142"/>
  <c r="AB153" i="142"/>
  <c r="AC153" i="142"/>
  <c r="AD153" i="142"/>
  <c r="AE153" i="142"/>
  <c r="Z154" i="142"/>
  <c r="AA154" i="142"/>
  <c r="AB154" i="142"/>
  <c r="AC154" i="142"/>
  <c r="AD154" i="142"/>
  <c r="AE154" i="142"/>
  <c r="Z155" i="142"/>
  <c r="AA155" i="142"/>
  <c r="AB155" i="142"/>
  <c r="AC155" i="142"/>
  <c r="AD155" i="142"/>
  <c r="AE155" i="142"/>
  <c r="Z156" i="142"/>
  <c r="AA156" i="142"/>
  <c r="AB156" i="142"/>
  <c r="AC156" i="142"/>
  <c r="AD156" i="142"/>
  <c r="AE156" i="142"/>
  <c r="Z157" i="142"/>
  <c r="AA157" i="142"/>
  <c r="AB157" i="142"/>
  <c r="AC157" i="142"/>
  <c r="AD157" i="142"/>
  <c r="AE157" i="142"/>
  <c r="Z171" i="142"/>
  <c r="AA171" i="142"/>
  <c r="AB171" i="142"/>
  <c r="AC171" i="142"/>
  <c r="AD171" i="142"/>
  <c r="AE171" i="142"/>
  <c r="Z172" i="142"/>
  <c r="AA172" i="142"/>
  <c r="AB172" i="142"/>
  <c r="AC172" i="142"/>
  <c r="AD172" i="142"/>
  <c r="AE172" i="142"/>
  <c r="Z173" i="142"/>
  <c r="AA173" i="142"/>
  <c r="AB173" i="142"/>
  <c r="AC173" i="142"/>
  <c r="AD173" i="142"/>
  <c r="AE173" i="142"/>
  <c r="Z174" i="142"/>
  <c r="AA174" i="142"/>
  <c r="AB174" i="142"/>
  <c r="AC174" i="142"/>
  <c r="AD174" i="142"/>
  <c r="AE174" i="142"/>
  <c r="Z175" i="142"/>
  <c r="AA175" i="142"/>
  <c r="AB175" i="142"/>
  <c r="AC175" i="142"/>
  <c r="AD175" i="142"/>
  <c r="AE175" i="142"/>
  <c r="Z176" i="142"/>
  <c r="AA176" i="142"/>
  <c r="AB176" i="142"/>
  <c r="AC176" i="142"/>
  <c r="AD176" i="142"/>
  <c r="AE176" i="142"/>
  <c r="Z177" i="142"/>
  <c r="AA177" i="142"/>
  <c r="AB177" i="142"/>
  <c r="AC177" i="142"/>
  <c r="AD177" i="142"/>
  <c r="AE177" i="142"/>
  <c r="Z178" i="142"/>
  <c r="AA178" i="142"/>
  <c r="AB178" i="142"/>
  <c r="AC178" i="142"/>
  <c r="AD178" i="142"/>
  <c r="AE178" i="142"/>
  <c r="Z179" i="142"/>
  <c r="AA179" i="142"/>
  <c r="AB179" i="142"/>
  <c r="AC179" i="142"/>
  <c r="AD179" i="142"/>
  <c r="AE179" i="142"/>
  <c r="Z180" i="142"/>
  <c r="AA180" i="142"/>
  <c r="AB180" i="142"/>
  <c r="AC180" i="142"/>
  <c r="AD180" i="142"/>
  <c r="AE180" i="142"/>
  <c r="Z209" i="142"/>
  <c r="AA209" i="142"/>
  <c r="AB209" i="142"/>
  <c r="AC209" i="142"/>
  <c r="AD209" i="142"/>
  <c r="AE209" i="142"/>
  <c r="Z210" i="142"/>
  <c r="AA210" i="142"/>
  <c r="AB210" i="142"/>
  <c r="AC210" i="142"/>
  <c r="AD210" i="142"/>
  <c r="AE210" i="142"/>
  <c r="Z211" i="142"/>
  <c r="AA211" i="142"/>
  <c r="AB211" i="142"/>
  <c r="AC211" i="142"/>
  <c r="AD211" i="142"/>
  <c r="AE211" i="142"/>
  <c r="Z212" i="142"/>
  <c r="AA212" i="142"/>
  <c r="AB212" i="142"/>
  <c r="AC212" i="142"/>
  <c r="AD212" i="142"/>
  <c r="AE212" i="142"/>
  <c r="Z213" i="142"/>
  <c r="AA213" i="142"/>
  <c r="AB213" i="142"/>
  <c r="AC213" i="142"/>
  <c r="AD213" i="142"/>
  <c r="AE213" i="142"/>
  <c r="Z214" i="142"/>
  <c r="AA214" i="142"/>
  <c r="AB214" i="142"/>
  <c r="AC214" i="142"/>
  <c r="AD214" i="142"/>
  <c r="AE214" i="142"/>
  <c r="Z215" i="142"/>
  <c r="AA215" i="142"/>
  <c r="AB215" i="142"/>
  <c r="AC215" i="142"/>
  <c r="AD215" i="142"/>
  <c r="AE215" i="142"/>
  <c r="Z216" i="142"/>
  <c r="AA216" i="142"/>
  <c r="AB216" i="142"/>
  <c r="AC216" i="142"/>
  <c r="AD216" i="142"/>
  <c r="AE216" i="142"/>
  <c r="Z217" i="142"/>
  <c r="AA217" i="142"/>
  <c r="AB217" i="142"/>
  <c r="AC217" i="142"/>
  <c r="AD217" i="142"/>
  <c r="AE217" i="142"/>
  <c r="Z218" i="142"/>
  <c r="AA218" i="142"/>
  <c r="AB218" i="142"/>
  <c r="AC218" i="142"/>
  <c r="AD218" i="142"/>
  <c r="AE218" i="142"/>
  <c r="Z250" i="142"/>
  <c r="AA250" i="142"/>
  <c r="AB250" i="142"/>
  <c r="AC250" i="142"/>
  <c r="AD250" i="142"/>
  <c r="AE250" i="142"/>
  <c r="Z251" i="142"/>
  <c r="AA251" i="142"/>
  <c r="AB251" i="142"/>
  <c r="AC251" i="142"/>
  <c r="AD251" i="142"/>
  <c r="AE251" i="142"/>
  <c r="Z252" i="142"/>
  <c r="AA252" i="142"/>
  <c r="AB252" i="142"/>
  <c r="AC252" i="142"/>
  <c r="AD252" i="142"/>
  <c r="AE252" i="142"/>
  <c r="Z253" i="142"/>
  <c r="AA253" i="142"/>
  <c r="AB253" i="142"/>
  <c r="AC253" i="142"/>
  <c r="AD253" i="142"/>
  <c r="AE253" i="142"/>
  <c r="Z254" i="142"/>
  <c r="AA254" i="142"/>
  <c r="AB254" i="142"/>
  <c r="AC254" i="142"/>
  <c r="AD254" i="142"/>
  <c r="AE254" i="142"/>
  <c r="Z255" i="142"/>
  <c r="AA255" i="142"/>
  <c r="AB255" i="142"/>
  <c r="AC255" i="142"/>
  <c r="AD255" i="142"/>
  <c r="AE255" i="142"/>
  <c r="Z256" i="142"/>
  <c r="AA256" i="142"/>
  <c r="AB256" i="142"/>
  <c r="AC256" i="142"/>
  <c r="AD256" i="142"/>
  <c r="AE256" i="142"/>
  <c r="Z257" i="142"/>
  <c r="AA257" i="142"/>
  <c r="AB257" i="142"/>
  <c r="AC257" i="142"/>
  <c r="AD257" i="142"/>
  <c r="AE257" i="142"/>
  <c r="Z258" i="142"/>
  <c r="AA258" i="142"/>
  <c r="AB258" i="142"/>
  <c r="AC258" i="142"/>
  <c r="AD258" i="142"/>
  <c r="AE258" i="142"/>
  <c r="Z259" i="142"/>
  <c r="AA259" i="142"/>
  <c r="AB259" i="142"/>
  <c r="AC259" i="142"/>
  <c r="AD259" i="142"/>
  <c r="AE259" i="142"/>
  <c r="Z260" i="142"/>
  <c r="AA260" i="142"/>
  <c r="AB260" i="142"/>
  <c r="AC260" i="142"/>
  <c r="AD260" i="142"/>
  <c r="AE260" i="142"/>
  <c r="N77" i="142"/>
  <c r="H97" i="144"/>
  <c r="E138" i="142" l="1"/>
  <c r="E120" i="142"/>
  <c r="J46" i="142"/>
  <c r="J7" i="144" l="1"/>
  <c r="E186" i="142" l="1"/>
  <c r="E183" i="142"/>
  <c r="E180" i="142"/>
  <c r="E181" i="142"/>
  <c r="E182" i="142"/>
  <c r="E179" i="142"/>
  <c r="E177" i="142"/>
  <c r="E170" i="142"/>
  <c r="E171" i="142"/>
  <c r="E172" i="142"/>
  <c r="E173" i="142"/>
  <c r="E174" i="142"/>
  <c r="E175" i="142"/>
  <c r="E176" i="142"/>
  <c r="E169" i="142"/>
  <c r="E165" i="142"/>
  <c r="E164" i="142"/>
  <c r="E161" i="142"/>
  <c r="E158" i="142"/>
  <c r="E159" i="142"/>
  <c r="E160" i="142"/>
  <c r="E157" i="142"/>
  <c r="E155" i="142"/>
  <c r="E148" i="142"/>
  <c r="E149" i="142"/>
  <c r="E150" i="142"/>
  <c r="E151" i="142"/>
  <c r="E152" i="142"/>
  <c r="E153" i="142"/>
  <c r="E154" i="142"/>
  <c r="E147" i="142"/>
  <c r="E142" i="142"/>
  <c r="E139" i="142"/>
  <c r="E140" i="142"/>
  <c r="E141" i="142"/>
  <c r="E143" i="142"/>
  <c r="E136" i="142"/>
  <c r="E129" i="142"/>
  <c r="E130" i="142"/>
  <c r="E131" i="142"/>
  <c r="E132" i="142"/>
  <c r="E133" i="142"/>
  <c r="E134" i="142"/>
  <c r="E135" i="142"/>
  <c r="E128" i="142"/>
  <c r="E122" i="142"/>
  <c r="E119" i="142"/>
  <c r="E116" i="142"/>
  <c r="E117" i="142"/>
  <c r="E118" i="142"/>
  <c r="E115" i="142"/>
  <c r="E113" i="142"/>
  <c r="E106" i="142"/>
  <c r="E107" i="142"/>
  <c r="E108" i="142"/>
  <c r="E109" i="142"/>
  <c r="E110" i="142"/>
  <c r="E111" i="142"/>
  <c r="E112" i="142"/>
  <c r="E105" i="142"/>
  <c r="E91" i="142"/>
  <c r="E81" i="142"/>
  <c r="E98" i="142"/>
  <c r="E97" i="142"/>
  <c r="E89" i="142"/>
  <c r="E95" i="142"/>
  <c r="E92" i="142"/>
  <c r="E93" i="142"/>
  <c r="E94" i="142"/>
  <c r="E86" i="142"/>
  <c r="E87" i="142"/>
  <c r="E88" i="142"/>
  <c r="E82" i="142"/>
  <c r="E83" i="142"/>
  <c r="E84" i="142"/>
  <c r="E85" i="142"/>
  <c r="D13" i="144"/>
  <c r="AE101" i="144"/>
  <c r="E103" i="144"/>
  <c r="D103" i="144"/>
  <c r="C103" i="144"/>
  <c r="W100" i="144"/>
  <c r="D102" i="144" s="1"/>
  <c r="O100" i="144"/>
  <c r="C102" i="144" s="1"/>
  <c r="AE99" i="144"/>
  <c r="L99" i="144"/>
  <c r="E101" i="144"/>
  <c r="D101" i="144"/>
  <c r="C101" i="144"/>
  <c r="AE98" i="144"/>
  <c r="L98" i="144"/>
  <c r="E100" i="144"/>
  <c r="D100" i="144"/>
  <c r="C100" i="144"/>
  <c r="AE97" i="144"/>
  <c r="E99" i="144"/>
  <c r="D99" i="144"/>
  <c r="C99" i="144"/>
  <c r="AE96" i="144"/>
  <c r="L96" i="144"/>
  <c r="E98" i="144"/>
  <c r="D98" i="144"/>
  <c r="C98" i="144"/>
  <c r="AE95" i="144"/>
  <c r="E97" i="144"/>
  <c r="D97" i="144"/>
  <c r="C97" i="144"/>
  <c r="AE94" i="144"/>
  <c r="L94" i="144"/>
  <c r="E96" i="144"/>
  <c r="D96" i="144"/>
  <c r="C96" i="144"/>
  <c r="AE93" i="144"/>
  <c r="AE100" i="144" s="1"/>
  <c r="E95" i="144"/>
  <c r="D95" i="144"/>
  <c r="C95" i="144"/>
  <c r="E94" i="144"/>
  <c r="D94" i="144"/>
  <c r="C94" i="144"/>
  <c r="E93" i="144"/>
  <c r="E15" i="144"/>
  <c r="H15" i="144"/>
  <c r="H83" i="144"/>
  <c r="Q82" i="144"/>
  <c r="H81" i="144"/>
  <c r="H80" i="144"/>
  <c r="P79" i="144"/>
  <c r="H79" i="144" s="1"/>
  <c r="P78" i="144"/>
  <c r="H78" i="144"/>
  <c r="P77" i="144"/>
  <c r="H77" i="144" s="1"/>
  <c r="P76" i="144"/>
  <c r="H76" i="144" s="1"/>
  <c r="K15" i="144" s="1"/>
  <c r="P75" i="144"/>
  <c r="H75" i="144"/>
  <c r="L4" i="144" s="1"/>
  <c r="P74" i="144"/>
  <c r="P82" i="144" s="1"/>
  <c r="H82" i="144" s="1"/>
  <c r="H74" i="144"/>
  <c r="J10" i="144"/>
  <c r="J9" i="144"/>
  <c r="J5" i="144"/>
  <c r="J6" i="144"/>
  <c r="J4" i="144"/>
  <c r="R67" i="144"/>
  <c r="P67" i="144"/>
  <c r="K67" i="144"/>
  <c r="P62" i="144"/>
  <c r="P61" i="144"/>
  <c r="P60" i="144"/>
  <c r="H59" i="144"/>
  <c r="H60" i="144" s="1"/>
  <c r="J11" i="144" l="1"/>
  <c r="H95" i="144"/>
  <c r="D6" i="144" s="1"/>
  <c r="E102" i="144"/>
  <c r="H100" i="144" s="1"/>
  <c r="D11" i="144" s="1"/>
  <c r="H96" i="144"/>
  <c r="D7" i="144" s="1"/>
  <c r="H92" i="144"/>
  <c r="H94" i="144"/>
  <c r="H101" i="144"/>
  <c r="D12" i="144" s="1"/>
  <c r="H93" i="144"/>
  <c r="D4" i="144" s="1"/>
  <c r="H99" i="144"/>
  <c r="D10" i="144" s="1"/>
  <c r="H98" i="144"/>
  <c r="D9" i="144" s="1"/>
  <c r="D8" i="144"/>
  <c r="K56" i="142"/>
  <c r="J56" i="142"/>
  <c r="I56" i="142"/>
  <c r="H56" i="142"/>
  <c r="K55" i="142"/>
  <c r="J55" i="142"/>
  <c r="H55" i="142"/>
  <c r="K54" i="142"/>
  <c r="J54" i="142"/>
  <c r="I54" i="142"/>
  <c r="H54" i="142"/>
  <c r="K53" i="142"/>
  <c r="J53" i="142"/>
  <c r="H53" i="142"/>
  <c r="K52" i="142"/>
  <c r="J52" i="142"/>
  <c r="H52" i="142"/>
  <c r="K51" i="142"/>
  <c r="J51" i="142"/>
  <c r="H51" i="142"/>
  <c r="K50" i="142"/>
  <c r="J50" i="142"/>
  <c r="I50" i="142"/>
  <c r="H50" i="142"/>
  <c r="K49" i="142"/>
  <c r="J49" i="142"/>
  <c r="H49" i="142"/>
  <c r="K48" i="142"/>
  <c r="J48" i="142"/>
  <c r="H48" i="142"/>
  <c r="J47" i="142"/>
  <c r="H47" i="142"/>
  <c r="I46" i="142"/>
  <c r="H46" i="142"/>
  <c r="G46" i="142"/>
  <c r="G47" i="142"/>
  <c r="G48" i="142"/>
  <c r="G49" i="142"/>
  <c r="G50" i="142"/>
  <c r="G51" i="142"/>
  <c r="G52" i="142"/>
  <c r="G53" i="142"/>
  <c r="G54" i="142"/>
  <c r="G55" i="142"/>
  <c r="G57" i="142"/>
  <c r="E46" i="142"/>
  <c r="E47" i="142"/>
  <c r="E48" i="142"/>
  <c r="E49" i="142"/>
  <c r="E50" i="142"/>
  <c r="E51" i="142"/>
  <c r="E52" i="142"/>
  <c r="E53" i="142"/>
  <c r="E54" i="142"/>
  <c r="E55" i="142"/>
  <c r="J57" i="142"/>
  <c r="G56" i="142"/>
  <c r="F56" i="142"/>
  <c r="E56" i="142"/>
  <c r="D56" i="142"/>
  <c r="C48" i="142"/>
  <c r="C49" i="142"/>
  <c r="C51" i="142"/>
  <c r="C52" i="142"/>
  <c r="C54" i="142"/>
  <c r="C55" i="142"/>
  <c r="C56" i="142"/>
  <c r="C46" i="142"/>
  <c r="B45" i="142"/>
  <c r="B47" i="142"/>
  <c r="B48" i="142"/>
  <c r="B49" i="142"/>
  <c r="B50" i="142"/>
  <c r="B51" i="142"/>
  <c r="B52" i="142"/>
  <c r="B53" i="142"/>
  <c r="B54" i="142"/>
  <c r="B55" i="142"/>
  <c r="B56" i="142"/>
  <c r="B57" i="142"/>
  <c r="B46" i="142"/>
  <c r="A56" i="142"/>
  <c r="A57" i="142"/>
  <c r="A58" i="142"/>
  <c r="A45" i="142"/>
  <c r="C50" i="142" l="1"/>
  <c r="C53" i="142"/>
  <c r="D15" i="144"/>
  <c r="D5" i="144"/>
  <c r="I55" i="142"/>
  <c r="I57" i="142"/>
  <c r="I51" i="142"/>
  <c r="I52" i="142"/>
  <c r="L15" i="144"/>
  <c r="K46" i="142"/>
  <c r="I48" i="142"/>
  <c r="I49" i="142"/>
  <c r="A13" i="142"/>
  <c r="B13" i="142" s="1"/>
  <c r="H57" i="142"/>
  <c r="A55" i="142"/>
  <c r="A47" i="142"/>
  <c r="A48" i="142"/>
  <c r="A49" i="142"/>
  <c r="A50" i="142"/>
  <c r="A51" i="142"/>
  <c r="A52" i="142"/>
  <c r="A53" i="142"/>
  <c r="A54" i="142"/>
  <c r="A46" i="142"/>
  <c r="A10" i="142"/>
  <c r="E3" i="144"/>
  <c r="G3" i="144"/>
  <c r="H3" i="144"/>
  <c r="I3" i="144"/>
  <c r="J3" i="144"/>
  <c r="K3" i="144"/>
  <c r="L3" i="144"/>
  <c r="A17" i="142"/>
  <c r="F3" i="144"/>
  <c r="D3" i="144"/>
  <c r="G16" i="144"/>
  <c r="E16" i="144"/>
  <c r="K57" i="142" l="1"/>
  <c r="C47" i="142"/>
  <c r="C57" i="142"/>
  <c r="I45" i="142"/>
  <c r="F45" i="142"/>
  <c r="G45" i="142"/>
  <c r="D45" i="142"/>
  <c r="H45" i="142"/>
  <c r="E45" i="142"/>
  <c r="K45" i="142"/>
  <c r="C45" i="142"/>
  <c r="J45" i="142"/>
  <c r="K47" i="142"/>
  <c r="I53" i="142"/>
  <c r="I47" i="142"/>
  <c r="K166" i="112" l="1"/>
  <c r="B49" i="143" l="1"/>
  <c r="B58" i="143" l="1"/>
  <c r="T95" i="112" l="1"/>
  <c r="S95" i="112"/>
  <c r="T161" i="112"/>
  <c r="S161" i="112"/>
  <c r="T264" i="112"/>
  <c r="S264" i="112"/>
  <c r="E162" i="112"/>
  <c r="E223" i="112" l="1"/>
  <c r="AA162" i="112"/>
  <c r="E265" i="112"/>
  <c r="E162" i="142"/>
  <c r="AA265" i="112" l="1"/>
  <c r="AA223" i="112"/>
  <c r="E184" i="142"/>
  <c r="AA96" i="112" l="1"/>
  <c r="D77" i="143" l="1"/>
  <c r="H69" i="143"/>
  <c r="D76" i="143"/>
  <c r="F76" i="143" s="1"/>
  <c r="D74" i="143"/>
  <c r="F74" i="143" s="1"/>
  <c r="D73" i="143" l="1"/>
  <c r="D80" i="143" s="1"/>
  <c r="C71" i="143"/>
  <c r="D71" i="143" s="1"/>
  <c r="F71" i="143" s="1"/>
  <c r="F73" i="143" l="1"/>
  <c r="F70" i="143" s="1"/>
  <c r="F69" i="143" s="1"/>
  <c r="C80" i="143"/>
  <c r="F80" i="143"/>
  <c r="AA269" i="112" l="1"/>
  <c r="AA101" i="112"/>
  <c r="H234" i="134" l="1"/>
  <c r="I234" i="134"/>
  <c r="H235" i="134"/>
  <c r="I235" i="134"/>
  <c r="H236" i="134"/>
  <c r="I236" i="134"/>
  <c r="H237" i="134"/>
  <c r="I237" i="134"/>
  <c r="H238" i="134"/>
  <c r="I238" i="134"/>
  <c r="H239" i="134"/>
  <c r="I239" i="134"/>
  <c r="H240" i="134"/>
  <c r="I240" i="134"/>
  <c r="H241" i="134"/>
  <c r="I241" i="134"/>
  <c r="H242" i="134"/>
  <c r="I242" i="134"/>
  <c r="H243" i="134"/>
  <c r="I243" i="134"/>
  <c r="H244" i="134"/>
  <c r="I244" i="134"/>
  <c r="H245" i="134"/>
  <c r="I245" i="134"/>
  <c r="H246" i="134"/>
  <c r="I246" i="134"/>
  <c r="H247" i="134"/>
  <c r="I247" i="134"/>
  <c r="H248" i="134"/>
  <c r="I248" i="134"/>
  <c r="H249" i="134"/>
  <c r="I249" i="134"/>
  <c r="H250" i="134"/>
  <c r="I250" i="134"/>
  <c r="H251" i="134"/>
  <c r="I251" i="134"/>
  <c r="H252" i="134"/>
  <c r="I252" i="134"/>
  <c r="H253" i="134"/>
  <c r="I253" i="134"/>
  <c r="H254" i="134"/>
  <c r="I254" i="134"/>
  <c r="H255" i="134"/>
  <c r="I255" i="134"/>
  <c r="H256" i="134"/>
  <c r="I256" i="134"/>
  <c r="H257" i="134"/>
  <c r="I257" i="134"/>
  <c r="H258" i="134"/>
  <c r="I258" i="134"/>
  <c r="H259" i="134"/>
  <c r="I259" i="134"/>
  <c r="H260" i="134"/>
  <c r="I260" i="134"/>
  <c r="H261" i="134"/>
  <c r="I261" i="134"/>
  <c r="H262" i="134"/>
  <c r="I262" i="134"/>
  <c r="H263" i="134"/>
  <c r="I263" i="134"/>
  <c r="H264" i="134"/>
  <c r="I264" i="134"/>
  <c r="H265" i="134"/>
  <c r="I265" i="134"/>
  <c r="H266" i="134"/>
  <c r="I266" i="134"/>
  <c r="I233" i="134"/>
  <c r="H233" i="134"/>
  <c r="I209" i="134"/>
  <c r="K235" i="134"/>
  <c r="K236" i="134"/>
  <c r="K237" i="134"/>
  <c r="K238" i="134"/>
  <c r="K239" i="134"/>
  <c r="K240" i="134"/>
  <c r="K241" i="134"/>
  <c r="F208" i="134" s="1"/>
  <c r="K242" i="134"/>
  <c r="K243" i="134"/>
  <c r="K244" i="134"/>
  <c r="K245" i="134"/>
  <c r="K246" i="134"/>
  <c r="G208" i="134" s="1"/>
  <c r="G209" i="134" s="1"/>
  <c r="K247" i="134"/>
  <c r="K248" i="134"/>
  <c r="K249" i="134"/>
  <c r="K250" i="134"/>
  <c r="K251" i="134"/>
  <c r="H208" i="134" s="1"/>
  <c r="H209" i="134" s="1"/>
  <c r="K252" i="134"/>
  <c r="K253" i="134"/>
  <c r="K254" i="134"/>
  <c r="K255" i="134"/>
  <c r="K256" i="134"/>
  <c r="I208" i="134" s="1"/>
  <c r="K257" i="134"/>
  <c r="K258" i="134"/>
  <c r="K259" i="134"/>
  <c r="K260" i="134"/>
  <c r="K261" i="134"/>
  <c r="K262" i="134"/>
  <c r="K263" i="134"/>
  <c r="K264" i="134"/>
  <c r="K265" i="134"/>
  <c r="K266" i="134"/>
  <c r="K208" i="134" s="1"/>
  <c r="K209" i="134" s="1"/>
  <c r="K233" i="134"/>
  <c r="K234" i="134"/>
  <c r="J236" i="134"/>
  <c r="J237" i="134"/>
  <c r="J238" i="134"/>
  <c r="J239" i="134"/>
  <c r="J240" i="134"/>
  <c r="J241" i="134"/>
  <c r="F215" i="134" s="1"/>
  <c r="F216" i="134" s="1"/>
  <c r="J242" i="134"/>
  <c r="J243" i="134"/>
  <c r="J244" i="134"/>
  <c r="J245" i="134"/>
  <c r="J246" i="134"/>
  <c r="G215" i="134" s="1"/>
  <c r="G216" i="134" s="1"/>
  <c r="J247" i="134"/>
  <c r="J248" i="134"/>
  <c r="J249" i="134"/>
  <c r="J250" i="134"/>
  <c r="J251" i="134"/>
  <c r="H215" i="134" s="1"/>
  <c r="H216" i="134" s="1"/>
  <c r="J252" i="134"/>
  <c r="J253" i="134"/>
  <c r="J254" i="134"/>
  <c r="J255" i="134"/>
  <c r="J256" i="134"/>
  <c r="I215" i="134" s="1"/>
  <c r="I216" i="134" s="1"/>
  <c r="J257" i="134"/>
  <c r="J258" i="134"/>
  <c r="J259" i="134"/>
  <c r="J260" i="134"/>
  <c r="J261" i="134"/>
  <c r="J215" i="134" s="1"/>
  <c r="J216" i="134" s="1"/>
  <c r="J262" i="134"/>
  <c r="J263" i="134"/>
  <c r="J264" i="134"/>
  <c r="J265" i="134"/>
  <c r="J266" i="134"/>
  <c r="K215" i="134" s="1"/>
  <c r="K216" i="134" s="1"/>
  <c r="J233" i="134"/>
  <c r="J234" i="134"/>
  <c r="J235" i="134"/>
  <c r="F209" i="134" l="1"/>
  <c r="J208" i="134"/>
  <c r="J209" i="134" s="1"/>
  <c r="D46" i="134" l="1"/>
  <c r="E46" i="134"/>
  <c r="G40" i="134" l="1"/>
  <c r="C200" i="134"/>
  <c r="E116" i="134"/>
  <c r="E107" i="134"/>
  <c r="E106" i="134"/>
  <c r="E105" i="134"/>
  <c r="E104" i="134"/>
  <c r="E103" i="134"/>
  <c r="E102" i="134"/>
  <c r="E101" i="134"/>
  <c r="E100" i="134"/>
  <c r="E99" i="134"/>
  <c r="E95" i="134"/>
  <c r="E94" i="134"/>
  <c r="E93" i="134"/>
  <c r="E92" i="134"/>
  <c r="E91" i="134"/>
  <c r="E90" i="134"/>
  <c r="E89" i="134"/>
  <c r="E88" i="134"/>
  <c r="E87" i="134"/>
  <c r="E83" i="134"/>
  <c r="E82" i="134"/>
  <c r="E81" i="134"/>
  <c r="E80" i="134"/>
  <c r="E79" i="134"/>
  <c r="E78" i="134"/>
  <c r="E77" i="134"/>
  <c r="E76" i="134"/>
  <c r="E75" i="134"/>
  <c r="E71" i="134"/>
  <c r="E70" i="134"/>
  <c r="E69" i="134"/>
  <c r="E68" i="134"/>
  <c r="E67" i="134"/>
  <c r="E66" i="134"/>
  <c r="E65" i="134"/>
  <c r="E64" i="134"/>
  <c r="E63" i="134"/>
  <c r="C47" i="134"/>
  <c r="C116" i="134" l="1"/>
  <c r="E117" i="134"/>
  <c r="E119" i="134" s="1"/>
  <c r="D108" i="134"/>
  <c r="D107" i="134"/>
  <c r="D106" i="134"/>
  <c r="D105" i="134"/>
  <c r="D104" i="134"/>
  <c r="D103" i="134"/>
  <c r="D102" i="134"/>
  <c r="D101" i="134"/>
  <c r="D100" i="134"/>
  <c r="D99" i="134"/>
  <c r="D96" i="134"/>
  <c r="D95" i="134"/>
  <c r="D94" i="134"/>
  <c r="D93" i="134"/>
  <c r="D92" i="134"/>
  <c r="D91" i="134"/>
  <c r="D90" i="134"/>
  <c r="D89" i="134"/>
  <c r="D88" i="134"/>
  <c r="D87" i="134"/>
  <c r="D84" i="134"/>
  <c r="D83" i="134"/>
  <c r="D82" i="134"/>
  <c r="D81" i="134"/>
  <c r="D80" i="134"/>
  <c r="D79" i="134"/>
  <c r="D78" i="134"/>
  <c r="D77" i="134"/>
  <c r="D76" i="134"/>
  <c r="D75" i="134"/>
  <c r="D64" i="134"/>
  <c r="D65" i="134"/>
  <c r="D66" i="134"/>
  <c r="D67" i="134"/>
  <c r="D68" i="134"/>
  <c r="D69" i="134"/>
  <c r="D70" i="134"/>
  <c r="D71" i="134"/>
  <c r="D63" i="134"/>
  <c r="F54" i="143" l="1"/>
  <c r="L121" i="112" l="1"/>
  <c r="B28" i="143"/>
  <c r="F33" i="143" s="1"/>
  <c r="M11" i="142"/>
  <c r="M12" i="142"/>
  <c r="M13" i="142"/>
  <c r="M14" i="142"/>
  <c r="M15" i="142"/>
  <c r="M16" i="142"/>
  <c r="M17" i="142"/>
  <c r="M18" i="142"/>
  <c r="M19" i="142"/>
  <c r="M10" i="142"/>
  <c r="V189" i="142"/>
  <c r="P189" i="142"/>
  <c r="N178" i="142"/>
  <c r="N177" i="142"/>
  <c r="N176" i="142"/>
  <c r="N175" i="142"/>
  <c r="N174" i="142"/>
  <c r="N173" i="142"/>
  <c r="N172" i="142"/>
  <c r="N171" i="142"/>
  <c r="N170" i="142"/>
  <c r="N169" i="142"/>
  <c r="N168" i="142"/>
  <c r="D168" i="142"/>
  <c r="E168" i="142" s="1"/>
  <c r="F168" i="142" s="1"/>
  <c r="G168" i="142" s="1"/>
  <c r="H168" i="142" s="1"/>
  <c r="N167" i="142"/>
  <c r="N166" i="142"/>
  <c r="N156" i="142"/>
  <c r="N155" i="142"/>
  <c r="N154" i="142"/>
  <c r="N153" i="142"/>
  <c r="N152" i="142"/>
  <c r="N151" i="142"/>
  <c r="N150" i="142"/>
  <c r="N149" i="142"/>
  <c r="N148" i="142"/>
  <c r="N147" i="142"/>
  <c r="N146" i="142"/>
  <c r="D146" i="142"/>
  <c r="E146" i="142" s="1"/>
  <c r="F146" i="142" s="1"/>
  <c r="G146" i="142" s="1"/>
  <c r="H146" i="142" s="1"/>
  <c r="N145" i="142"/>
  <c r="N144" i="142"/>
  <c r="N137" i="142"/>
  <c r="N136" i="142"/>
  <c r="N135" i="142"/>
  <c r="N134" i="142"/>
  <c r="N133" i="142"/>
  <c r="N132" i="142"/>
  <c r="N131" i="142"/>
  <c r="N130" i="142"/>
  <c r="N129" i="142"/>
  <c r="N128" i="142"/>
  <c r="N127" i="142"/>
  <c r="D127" i="142"/>
  <c r="E127" i="142" s="1"/>
  <c r="F127" i="142" s="1"/>
  <c r="G127" i="142" s="1"/>
  <c r="H127" i="142" s="1"/>
  <c r="N126" i="142"/>
  <c r="N125" i="142"/>
  <c r="J124" i="142"/>
  <c r="N114" i="142"/>
  <c r="N113" i="142"/>
  <c r="N112" i="142"/>
  <c r="N111" i="142"/>
  <c r="N110" i="142"/>
  <c r="N109" i="142"/>
  <c r="N108" i="142"/>
  <c r="N107" i="142"/>
  <c r="N106" i="142"/>
  <c r="N105" i="142"/>
  <c r="N104" i="142"/>
  <c r="D104" i="142"/>
  <c r="E104" i="142" s="1"/>
  <c r="F104" i="142" s="1"/>
  <c r="G104" i="142" s="1"/>
  <c r="H104" i="142" s="1"/>
  <c r="N103" i="142"/>
  <c r="N102" i="142"/>
  <c r="N90" i="142"/>
  <c r="N89" i="142"/>
  <c r="N88" i="142"/>
  <c r="N87" i="142"/>
  <c r="N86" i="142"/>
  <c r="N85" i="142"/>
  <c r="N84" i="142"/>
  <c r="N83" i="142"/>
  <c r="N82" i="142"/>
  <c r="N81" i="142"/>
  <c r="D80" i="142"/>
  <c r="E80" i="142" s="1"/>
  <c r="F80" i="142" s="1"/>
  <c r="G80" i="142" s="1"/>
  <c r="H80" i="142" s="1"/>
  <c r="A73" i="142"/>
  <c r="A72" i="142"/>
  <c r="A71" i="142"/>
  <c r="B70" i="142"/>
  <c r="B69" i="142"/>
  <c r="B68" i="142"/>
  <c r="B67" i="142"/>
  <c r="B66" i="142"/>
  <c r="B65" i="142"/>
  <c r="B64" i="142"/>
  <c r="B63" i="142"/>
  <c r="B62" i="142"/>
  <c r="B61" i="142"/>
  <c r="S19" i="142"/>
  <c r="R19" i="142"/>
  <c r="Q19" i="142"/>
  <c r="A19" i="142"/>
  <c r="A18" i="142"/>
  <c r="S16" i="142"/>
  <c r="T16" i="142" s="1"/>
  <c r="A16" i="142"/>
  <c r="A15" i="142"/>
  <c r="A14" i="142"/>
  <c r="A12" i="142"/>
  <c r="N11" i="142"/>
  <c r="N12" i="142" s="1"/>
  <c r="N13" i="142" s="1"/>
  <c r="N14" i="142" s="1"/>
  <c r="N15" i="142" s="1"/>
  <c r="N16" i="142" s="1"/>
  <c r="N17" i="142" s="1"/>
  <c r="N18" i="142" s="1"/>
  <c r="A11" i="142"/>
  <c r="S10" i="142"/>
  <c r="T10" i="142" s="1"/>
  <c r="L6" i="142"/>
  <c r="K6" i="142"/>
  <c r="C164" i="142" s="1"/>
  <c r="J6" i="142"/>
  <c r="I6" i="142"/>
  <c r="H6" i="142"/>
  <c r="G6" i="142"/>
  <c r="F6" i="142"/>
  <c r="E6" i="142"/>
  <c r="D6" i="142"/>
  <c r="C6" i="142"/>
  <c r="C91" i="142" s="1"/>
  <c r="D4" i="142"/>
  <c r="A124" i="142" l="1"/>
  <c r="J39" i="143"/>
  <c r="E35" i="143"/>
  <c r="D40" i="143"/>
  <c r="E34" i="143"/>
  <c r="F37" i="143"/>
  <c r="F40" i="143"/>
  <c r="C38" i="143"/>
  <c r="D31" i="143"/>
  <c r="D38" i="143"/>
  <c r="C36" i="143"/>
  <c r="C39" i="143"/>
  <c r="C33" i="143"/>
  <c r="D39" i="143"/>
  <c r="D33" i="143"/>
  <c r="E36" i="143"/>
  <c r="E39" i="143"/>
  <c r="F34" i="143"/>
  <c r="C32" i="143"/>
  <c r="C35" i="143"/>
  <c r="E31" i="143"/>
  <c r="E32" i="143"/>
  <c r="F35" i="143"/>
  <c r="F38" i="143"/>
  <c r="D36" i="143"/>
  <c r="D32" i="143"/>
  <c r="D35" i="143"/>
  <c r="E38" i="143"/>
  <c r="F31" i="143"/>
  <c r="C31" i="143"/>
  <c r="F32" i="143"/>
  <c r="C37" i="143"/>
  <c r="E40" i="143"/>
  <c r="E37" i="143"/>
  <c r="D34" i="143"/>
  <c r="E33" i="143"/>
  <c r="F36" i="143"/>
  <c r="F39" i="143"/>
  <c r="C40" i="143"/>
  <c r="C34" i="143"/>
  <c r="D37" i="143"/>
  <c r="H17" i="142"/>
  <c r="G40" i="143"/>
  <c r="X18" i="142" s="1"/>
  <c r="L37" i="143"/>
  <c r="J36" i="143"/>
  <c r="H34" i="143"/>
  <c r="L35" i="143"/>
  <c r="I40" i="143"/>
  <c r="M37" i="143"/>
  <c r="K36" i="143"/>
  <c r="I34" i="143"/>
  <c r="G33" i="143"/>
  <c r="X12" i="142" s="1"/>
  <c r="M35" i="143"/>
  <c r="C17" i="142"/>
  <c r="F19" i="142"/>
  <c r="I36" i="143"/>
  <c r="G34" i="143"/>
  <c r="M31" i="143"/>
  <c r="K35" i="143"/>
  <c r="M38" i="143"/>
  <c r="J37" i="143"/>
  <c r="H36" i="143"/>
  <c r="F14" i="142"/>
  <c r="D12" i="142"/>
  <c r="L31" i="143"/>
  <c r="J35" i="143"/>
  <c r="L38" i="143"/>
  <c r="I37" i="143"/>
  <c r="G36" i="143"/>
  <c r="M32" i="143"/>
  <c r="K31" i="143"/>
  <c r="I35" i="143"/>
  <c r="K37" i="143"/>
  <c r="M39" i="143"/>
  <c r="K38" i="143"/>
  <c r="H37" i="143"/>
  <c r="L32" i="143"/>
  <c r="J31" i="143"/>
  <c r="H35" i="143"/>
  <c r="L39" i="143"/>
  <c r="G37" i="143"/>
  <c r="K32" i="143"/>
  <c r="I31" i="143"/>
  <c r="G35" i="143"/>
  <c r="J38" i="143"/>
  <c r="M33" i="143"/>
  <c r="K39" i="143"/>
  <c r="I38" i="143"/>
  <c r="L33" i="143"/>
  <c r="J32" i="143"/>
  <c r="H31" i="143"/>
  <c r="M40" i="143"/>
  <c r="G38" i="143"/>
  <c r="X16" i="142" s="1"/>
  <c r="I32" i="143"/>
  <c r="G31" i="143"/>
  <c r="X10" i="142" s="1"/>
  <c r="E13" i="142"/>
  <c r="K33" i="143"/>
  <c r="L40" i="143"/>
  <c r="I39" i="143"/>
  <c r="D16" i="142"/>
  <c r="L34" i="143"/>
  <c r="J33" i="143"/>
  <c r="H32" i="143"/>
  <c r="D13" i="142"/>
  <c r="M34" i="143"/>
  <c r="K40" i="143"/>
  <c r="H39" i="143"/>
  <c r="M36" i="143"/>
  <c r="K34" i="143"/>
  <c r="I33" i="143"/>
  <c r="G32" i="143"/>
  <c r="E10" i="142"/>
  <c r="C13" i="142"/>
  <c r="J40" i="143"/>
  <c r="G39" i="143"/>
  <c r="X17" i="142" s="1"/>
  <c r="D17" i="142"/>
  <c r="L36" i="143"/>
  <c r="J34" i="143"/>
  <c r="H33" i="143"/>
  <c r="F11" i="142"/>
  <c r="H15" i="142"/>
  <c r="B16" i="142"/>
  <c r="V15" i="142" s="1"/>
  <c r="C14" i="142"/>
  <c r="H19" i="142"/>
  <c r="E18" i="142"/>
  <c r="I14" i="142"/>
  <c r="F12" i="142"/>
  <c r="E19" i="142"/>
  <c r="B11" i="142"/>
  <c r="U11" i="142" s="1"/>
  <c r="B17" i="142"/>
  <c r="O16" i="142" s="1"/>
  <c r="E14" i="142"/>
  <c r="C11" i="142"/>
  <c r="S12" i="142"/>
  <c r="S13" i="142" s="1"/>
  <c r="S14" i="142" s="1"/>
  <c r="Y14" i="142" s="1"/>
  <c r="Z14" i="142" s="1"/>
  <c r="J18" i="142"/>
  <c r="C10" i="142"/>
  <c r="F10" i="142"/>
  <c r="D10" i="142"/>
  <c r="M18" i="143"/>
  <c r="C18" i="143"/>
  <c r="O18" i="143"/>
  <c r="G18" i="143"/>
  <c r="E18" i="143"/>
  <c r="K18" i="143"/>
  <c r="I18" i="143"/>
  <c r="H18" i="143"/>
  <c r="J18" i="143"/>
  <c r="L18" i="143"/>
  <c r="N18" i="143"/>
  <c r="F18" i="143"/>
  <c r="D18" i="143"/>
  <c r="Y16" i="142"/>
  <c r="Z16" i="142" s="1"/>
  <c r="S17" i="142"/>
  <c r="T17" i="142" s="1"/>
  <c r="Y10" i="142"/>
  <c r="Z10" i="142" s="1"/>
  <c r="K60" i="142"/>
  <c r="C187" i="142"/>
  <c r="A187" i="142" s="1"/>
  <c r="C100" i="142"/>
  <c r="K100" i="142" s="1"/>
  <c r="B12" i="142"/>
  <c r="B10" i="142"/>
  <c r="C181" i="142"/>
  <c r="C159" i="142"/>
  <c r="C140" i="142"/>
  <c r="C93" i="142"/>
  <c r="C117" i="142"/>
  <c r="N5" i="142"/>
  <c r="B15" i="142"/>
  <c r="B126" i="142" s="1"/>
  <c r="E4" i="142"/>
  <c r="F4" i="142" s="1"/>
  <c r="G4" i="142" s="1"/>
  <c r="H4" i="142" s="1"/>
  <c r="I4" i="142" s="1"/>
  <c r="J4" i="142" s="1"/>
  <c r="K4" i="142" s="1"/>
  <c r="L4" i="142" s="1"/>
  <c r="C182" i="142"/>
  <c r="C160" i="142"/>
  <c r="C118" i="142"/>
  <c r="C141" i="142"/>
  <c r="C94" i="142"/>
  <c r="C186" i="142"/>
  <c r="C165" i="142"/>
  <c r="C143" i="142"/>
  <c r="C122" i="142"/>
  <c r="C98" i="142"/>
  <c r="T14" i="142"/>
  <c r="B14" i="142"/>
  <c r="B18" i="142"/>
  <c r="B19" i="142"/>
  <c r="C179" i="142"/>
  <c r="C157" i="142"/>
  <c r="C138" i="142"/>
  <c r="AI187" i="142" l="1"/>
  <c r="AI124" i="142"/>
  <c r="H12" i="142"/>
  <c r="J14" i="142"/>
  <c r="L15" i="142"/>
  <c r="J19" i="142"/>
  <c r="G11" i="142"/>
  <c r="I12" i="142"/>
  <c r="K14" i="142"/>
  <c r="H18" i="142"/>
  <c r="K19" i="142"/>
  <c r="H11" i="142"/>
  <c r="J12" i="142"/>
  <c r="L14" i="142"/>
  <c r="I18" i="142"/>
  <c r="L19" i="142"/>
  <c r="K12" i="142"/>
  <c r="I11" i="142"/>
  <c r="H10" i="142"/>
  <c r="J11" i="142"/>
  <c r="L12" i="142"/>
  <c r="I17" i="142"/>
  <c r="K18" i="142"/>
  <c r="J17" i="142"/>
  <c r="G13" i="142"/>
  <c r="I10" i="142"/>
  <c r="K11" i="142"/>
  <c r="G16" i="142"/>
  <c r="X15" i="142" s="1"/>
  <c r="L18" i="142"/>
  <c r="H13" i="142"/>
  <c r="J10" i="142"/>
  <c r="L11" i="142"/>
  <c r="H16" i="142"/>
  <c r="K16" i="142"/>
  <c r="I13" i="142"/>
  <c r="K10" i="142"/>
  <c r="I16" i="142"/>
  <c r="L17" i="142"/>
  <c r="J13" i="142"/>
  <c r="L10" i="142"/>
  <c r="J16" i="142"/>
  <c r="K13" i="142"/>
  <c r="G14" i="142"/>
  <c r="K116" i="142" s="1"/>
  <c r="I15" i="142"/>
  <c r="K15" i="142"/>
  <c r="I19" i="142"/>
  <c r="L13" i="142"/>
  <c r="J15" i="142"/>
  <c r="L16" i="142"/>
  <c r="C19" i="142"/>
  <c r="F18" i="142"/>
  <c r="F15" i="142"/>
  <c r="E12" i="142"/>
  <c r="D14" i="142"/>
  <c r="E16" i="142"/>
  <c r="C16" i="142"/>
  <c r="E17" i="142"/>
  <c r="D11" i="142"/>
  <c r="D15" i="142"/>
  <c r="F17" i="142"/>
  <c r="F13" i="142"/>
  <c r="E11" i="142"/>
  <c r="E15" i="142"/>
  <c r="D18" i="142"/>
  <c r="C12" i="142"/>
  <c r="C18" i="142"/>
  <c r="C15" i="142"/>
  <c r="F16" i="142"/>
  <c r="D19" i="142"/>
  <c r="T13" i="142"/>
  <c r="S15" i="142"/>
  <c r="Y15" i="142" s="1"/>
  <c r="Z15" i="142" s="1"/>
  <c r="Y13" i="142"/>
  <c r="Z13" i="142" s="1"/>
  <c r="O15" i="142"/>
  <c r="U15" i="142"/>
  <c r="Y12" i="142"/>
  <c r="Z12" i="142" s="1"/>
  <c r="T12" i="142"/>
  <c r="P15" i="142"/>
  <c r="V16" i="142"/>
  <c r="P11" i="142"/>
  <c r="V11" i="142"/>
  <c r="O11" i="142"/>
  <c r="Y17" i="142"/>
  <c r="Z17" i="142" s="1"/>
  <c r="S18" i="142"/>
  <c r="T18" i="142" s="1"/>
  <c r="B145" i="142"/>
  <c r="L100" i="142"/>
  <c r="H100" i="142" s="1"/>
  <c r="B4" i="142"/>
  <c r="U16" i="142"/>
  <c r="P16" i="142"/>
  <c r="P10" i="142"/>
  <c r="B79" i="142"/>
  <c r="U10" i="142"/>
  <c r="O10" i="142"/>
  <c r="V10" i="142"/>
  <c r="B167" i="142"/>
  <c r="V18" i="142"/>
  <c r="P18" i="142"/>
  <c r="C184" i="142" s="1"/>
  <c r="O18" i="142"/>
  <c r="U18" i="142"/>
  <c r="P14" i="142"/>
  <c r="O14" i="142"/>
  <c r="U14" i="142"/>
  <c r="V14" i="142"/>
  <c r="A100" i="142"/>
  <c r="U17" i="142"/>
  <c r="O17" i="142"/>
  <c r="V17" i="142"/>
  <c r="P17" i="142"/>
  <c r="V12" i="142"/>
  <c r="U12" i="142"/>
  <c r="P12" i="142"/>
  <c r="O12" i="142"/>
  <c r="O13" i="142"/>
  <c r="B103" i="142"/>
  <c r="P13" i="142"/>
  <c r="U13" i="142"/>
  <c r="V13" i="142"/>
  <c r="K115" i="142"/>
  <c r="X14" i="142"/>
  <c r="AC17" i="142" l="1"/>
  <c r="AI100" i="142"/>
  <c r="C20" i="142"/>
  <c r="F7" i="142"/>
  <c r="G7" i="142"/>
  <c r="J20" i="142"/>
  <c r="J7" i="142"/>
  <c r="AC12" i="142"/>
  <c r="I20" i="142"/>
  <c r="D20" i="142"/>
  <c r="I7" i="142"/>
  <c r="AC16" i="142"/>
  <c r="H20" i="142"/>
  <c r="C7" i="142"/>
  <c r="AC11" i="142"/>
  <c r="L7" i="142"/>
  <c r="K7" i="142"/>
  <c r="F20" i="142"/>
  <c r="AC10" i="142"/>
  <c r="AC13" i="142"/>
  <c r="T15" i="142"/>
  <c r="D7" i="142"/>
  <c r="H7" i="142"/>
  <c r="AC15" i="142"/>
  <c r="AC14" i="142"/>
  <c r="K20" i="142"/>
  <c r="L20" i="142"/>
  <c r="E20" i="142"/>
  <c r="AC18" i="142"/>
  <c r="E7" i="142"/>
  <c r="D176" i="142"/>
  <c r="AO176" i="142" s="1"/>
  <c r="D81" i="142"/>
  <c r="AO81" i="142" s="1"/>
  <c r="K98" i="142"/>
  <c r="K93" i="142"/>
  <c r="K91" i="142"/>
  <c r="D148" i="142"/>
  <c r="AO148" i="142" s="1"/>
  <c r="Y18" i="142"/>
  <c r="Z18" i="142" s="1"/>
  <c r="D185" i="142"/>
  <c r="D184" i="142"/>
  <c r="D154" i="142"/>
  <c r="AO154" i="142" s="1"/>
  <c r="D163" i="142"/>
  <c r="D162" i="142"/>
  <c r="K117" i="142"/>
  <c r="D121" i="142"/>
  <c r="D120" i="142"/>
  <c r="C162" i="142"/>
  <c r="D153" i="142"/>
  <c r="AO153" i="142" s="1"/>
  <c r="K165" i="142"/>
  <c r="K164" i="142"/>
  <c r="C120" i="142"/>
  <c r="D157" i="142"/>
  <c r="AO157" i="142" s="1"/>
  <c r="D161" i="142"/>
  <c r="D101" i="142"/>
  <c r="D97" i="142"/>
  <c r="D96" i="142"/>
  <c r="D147" i="142"/>
  <c r="AO147" i="142" s="1"/>
  <c r="D165" i="142"/>
  <c r="C96" i="142"/>
  <c r="D160" i="142"/>
  <c r="K158" i="142"/>
  <c r="D151" i="142"/>
  <c r="AO151" i="142" s="1"/>
  <c r="D158" i="142"/>
  <c r="D150" i="142"/>
  <c r="AO150" i="142" s="1"/>
  <c r="D164" i="142"/>
  <c r="D152" i="142"/>
  <c r="AO152" i="142" s="1"/>
  <c r="D155" i="142"/>
  <c r="AO155" i="142" s="1"/>
  <c r="D149" i="142"/>
  <c r="AO149" i="142" s="1"/>
  <c r="K157" i="142"/>
  <c r="K159" i="142"/>
  <c r="D159" i="142"/>
  <c r="K160" i="142"/>
  <c r="L188" i="142"/>
  <c r="D188" i="142"/>
  <c r="C161" i="142"/>
  <c r="C149" i="142"/>
  <c r="C151" i="142"/>
  <c r="C150" i="142"/>
  <c r="C152" i="142"/>
  <c r="C147" i="142"/>
  <c r="C154" i="142"/>
  <c r="C148" i="142"/>
  <c r="B148" i="142" s="1"/>
  <c r="AH148" i="142" s="1"/>
  <c r="C153" i="142"/>
  <c r="C155" i="142"/>
  <c r="D115" i="142"/>
  <c r="AO115" i="142" s="1"/>
  <c r="D119" i="142"/>
  <c r="D112" i="142"/>
  <c r="AO112" i="142" s="1"/>
  <c r="D106" i="142"/>
  <c r="AO106" i="142" s="1"/>
  <c r="D117" i="142"/>
  <c r="D111" i="142"/>
  <c r="AO111" i="142" s="1"/>
  <c r="D105" i="142"/>
  <c r="AO105" i="142" s="1"/>
  <c r="K122" i="142"/>
  <c r="D107" i="142"/>
  <c r="AO107" i="142" s="1"/>
  <c r="D113" i="142"/>
  <c r="AO113" i="142" s="1"/>
  <c r="D109" i="142"/>
  <c r="AO109" i="142" s="1"/>
  <c r="D108" i="142"/>
  <c r="AO108" i="142" s="1"/>
  <c r="D110" i="142"/>
  <c r="AO110" i="142" s="1"/>
  <c r="D118" i="142"/>
  <c r="D124" i="142"/>
  <c r="AO124" i="142" s="1"/>
  <c r="D122" i="142"/>
  <c r="K118" i="142"/>
  <c r="D116" i="142"/>
  <c r="C176" i="142"/>
  <c r="C170" i="142"/>
  <c r="C175" i="142"/>
  <c r="C174" i="142"/>
  <c r="C183" i="142"/>
  <c r="C172" i="142"/>
  <c r="C169" i="142"/>
  <c r="C188" i="142" s="1"/>
  <c r="A188" i="142" s="1"/>
  <c r="C171" i="142"/>
  <c r="C173" i="142"/>
  <c r="C177" i="142"/>
  <c r="D182" i="142"/>
  <c r="D177" i="142"/>
  <c r="AO177" i="142" s="1"/>
  <c r="D171" i="142"/>
  <c r="AO171" i="142" s="1"/>
  <c r="K186" i="142"/>
  <c r="D187" i="142"/>
  <c r="D181" i="142"/>
  <c r="D175" i="142"/>
  <c r="AO175" i="142" s="1"/>
  <c r="D169" i="142"/>
  <c r="AO169" i="142" s="1"/>
  <c r="K179" i="142"/>
  <c r="D186" i="142"/>
  <c r="D180" i="142"/>
  <c r="D174" i="142"/>
  <c r="AO174" i="142" s="1"/>
  <c r="K180" i="142"/>
  <c r="K182" i="142"/>
  <c r="D173" i="142"/>
  <c r="AO173" i="142" s="1"/>
  <c r="D183" i="142"/>
  <c r="D179" i="142"/>
  <c r="AO179" i="142" s="1"/>
  <c r="D172" i="142"/>
  <c r="AO172" i="142" s="1"/>
  <c r="K181" i="142"/>
  <c r="K187" i="142"/>
  <c r="L187" i="142" s="1"/>
  <c r="D170" i="142"/>
  <c r="AO170" i="142" s="1"/>
  <c r="C109" i="142"/>
  <c r="C107" i="142"/>
  <c r="C113" i="142"/>
  <c r="C108" i="142"/>
  <c r="C111" i="142"/>
  <c r="C119" i="142"/>
  <c r="C112" i="142"/>
  <c r="C106" i="142"/>
  <c r="C110" i="142"/>
  <c r="C105" i="142"/>
  <c r="C132" i="142"/>
  <c r="C133" i="142"/>
  <c r="C131" i="142"/>
  <c r="C136" i="142"/>
  <c r="C130" i="142"/>
  <c r="C135" i="142"/>
  <c r="C128" i="142"/>
  <c r="C129" i="142"/>
  <c r="C134" i="142"/>
  <c r="C142" i="142"/>
  <c r="C89" i="142"/>
  <c r="C87" i="142"/>
  <c r="C95" i="142"/>
  <c r="C86" i="142"/>
  <c r="C83" i="142"/>
  <c r="C88" i="142"/>
  <c r="C84" i="142"/>
  <c r="C81" i="142"/>
  <c r="C101" i="142" s="1"/>
  <c r="B101" i="142" s="1"/>
  <c r="AH101" i="142" s="1"/>
  <c r="C85" i="142"/>
  <c r="C82" i="142"/>
  <c r="D100" i="142"/>
  <c r="AO100" i="142" s="1"/>
  <c r="D95" i="142"/>
  <c r="D91" i="142"/>
  <c r="AO91" i="142" s="1"/>
  <c r="D84" i="142"/>
  <c r="AO84" i="142" s="1"/>
  <c r="D89" i="142"/>
  <c r="AO89" i="142" s="1"/>
  <c r="D83" i="142"/>
  <c r="AO83" i="142" s="1"/>
  <c r="D94" i="142"/>
  <c r="D87" i="142"/>
  <c r="AO87" i="142" s="1"/>
  <c r="D92" i="142"/>
  <c r="K94" i="142"/>
  <c r="K92" i="142"/>
  <c r="D88" i="142"/>
  <c r="AO88" i="142" s="1"/>
  <c r="D98" i="142"/>
  <c r="D93" i="142"/>
  <c r="D85" i="142"/>
  <c r="AO85" i="142" s="1"/>
  <c r="D86" i="142"/>
  <c r="AO86" i="142" s="1"/>
  <c r="D82" i="142"/>
  <c r="AO82" i="142" s="1"/>
  <c r="B157" i="142"/>
  <c r="AH157" i="142" s="1"/>
  <c r="X13" i="142"/>
  <c r="G20" i="142"/>
  <c r="D142" i="142"/>
  <c r="D138" i="142"/>
  <c r="AO138" i="142" s="1"/>
  <c r="K140" i="142"/>
  <c r="D141" i="142"/>
  <c r="D136" i="142"/>
  <c r="AO136" i="142" s="1"/>
  <c r="K143" i="142"/>
  <c r="D135" i="142"/>
  <c r="AO135" i="142" s="1"/>
  <c r="D129" i="142"/>
  <c r="AO129" i="142" s="1"/>
  <c r="D134" i="142"/>
  <c r="AO134" i="142" s="1"/>
  <c r="K141" i="142"/>
  <c r="D139" i="142"/>
  <c r="D143" i="142"/>
  <c r="D140" i="142"/>
  <c r="D133" i="142"/>
  <c r="AO133" i="142" s="1"/>
  <c r="D132" i="142"/>
  <c r="AO132" i="142" s="1"/>
  <c r="D131" i="142"/>
  <c r="AO131" i="142" s="1"/>
  <c r="K138" i="142"/>
  <c r="D128" i="142"/>
  <c r="AO128" i="142" s="1"/>
  <c r="D130" i="142"/>
  <c r="AO130" i="142" s="1"/>
  <c r="AP188" i="142" l="1"/>
  <c r="AI188" i="142"/>
  <c r="B160" i="142"/>
  <c r="AH160" i="142" s="1"/>
  <c r="B159" i="142"/>
  <c r="AH159" i="142" s="1"/>
  <c r="B165" i="142"/>
  <c r="AH165" i="142" s="1"/>
  <c r="B121" i="142"/>
  <c r="AH121" i="142" s="1"/>
  <c r="B97" i="142"/>
  <c r="AH97" i="142" s="1"/>
  <c r="B163" i="142"/>
  <c r="AH163" i="142" s="1"/>
  <c r="B164" i="142"/>
  <c r="AH164" i="142" s="1"/>
  <c r="M7" i="142"/>
  <c r="AA10" i="142"/>
  <c r="B20" i="142"/>
  <c r="B161" i="142"/>
  <c r="AH161" i="142" s="1"/>
  <c r="B158" i="142"/>
  <c r="AH158" i="142" s="1"/>
  <c r="B154" i="142"/>
  <c r="AH154" i="142" s="1"/>
  <c r="B120" i="142"/>
  <c r="AH120" i="142" s="1"/>
  <c r="B184" i="142"/>
  <c r="AH184" i="142" s="1"/>
  <c r="B96" i="142"/>
  <c r="AH96" i="142" s="1"/>
  <c r="B162" i="142"/>
  <c r="AH162" i="142" s="1"/>
  <c r="B153" i="142"/>
  <c r="AH153" i="142" s="1"/>
  <c r="B155" i="142"/>
  <c r="AH155" i="142" s="1"/>
  <c r="B150" i="142"/>
  <c r="AH150" i="142" s="1"/>
  <c r="B147" i="142"/>
  <c r="AH147" i="142" s="1"/>
  <c r="B152" i="142"/>
  <c r="AH152" i="142" s="1"/>
  <c r="B188" i="142"/>
  <c r="AH188" i="142" s="1"/>
  <c r="B151" i="142"/>
  <c r="AH151" i="142" s="1"/>
  <c r="B149" i="142"/>
  <c r="AH149" i="142" s="1"/>
  <c r="A101" i="142"/>
  <c r="K101" i="142"/>
  <c r="L101" i="142" s="1"/>
  <c r="H101" i="142" s="1"/>
  <c r="H188" i="142"/>
  <c r="B95" i="142"/>
  <c r="AH95" i="142" s="1"/>
  <c r="B130" i="142"/>
  <c r="AH130" i="142" s="1"/>
  <c r="B141" i="142"/>
  <c r="AH141" i="142" s="1"/>
  <c r="B89" i="142"/>
  <c r="AH89" i="142" s="1"/>
  <c r="F60" i="142"/>
  <c r="F64" i="142" s="1"/>
  <c r="B180" i="142"/>
  <c r="AH180" i="142" s="1"/>
  <c r="B105" i="142"/>
  <c r="AH105" i="142" s="1"/>
  <c r="B139" i="142"/>
  <c r="AH139" i="142" s="1"/>
  <c r="B138" i="142"/>
  <c r="AH138" i="142" s="1"/>
  <c r="B82" i="142"/>
  <c r="AH82" i="142" s="1"/>
  <c r="I60" i="142"/>
  <c r="B171" i="142"/>
  <c r="AH171" i="142" s="1"/>
  <c r="B110" i="142"/>
  <c r="AH110" i="142" s="1"/>
  <c r="B111" i="142"/>
  <c r="AH111" i="142" s="1"/>
  <c r="G60" i="142"/>
  <c r="B118" i="142"/>
  <c r="AH118" i="142" s="1"/>
  <c r="B142" i="142"/>
  <c r="AH142" i="142" s="1"/>
  <c r="B86" i="142"/>
  <c r="AH86" i="142" s="1"/>
  <c r="B84" i="142"/>
  <c r="AH84" i="142" s="1"/>
  <c r="J60" i="142"/>
  <c r="B179" i="142"/>
  <c r="AH179" i="142" s="1"/>
  <c r="B117" i="142"/>
  <c r="AH117" i="142" s="1"/>
  <c r="B134" i="142"/>
  <c r="AH134" i="142" s="1"/>
  <c r="B183" i="142"/>
  <c r="AH183" i="142" s="1"/>
  <c r="B169" i="142"/>
  <c r="AH169" i="142" s="1"/>
  <c r="B177" i="142"/>
  <c r="AH177" i="142" s="1"/>
  <c r="B106" i="142"/>
  <c r="AH106" i="142" s="1"/>
  <c r="B128" i="142"/>
  <c r="AH128" i="142" s="1"/>
  <c r="C60" i="142"/>
  <c r="B85" i="142"/>
  <c r="AH85" i="142" s="1"/>
  <c r="B91" i="142"/>
  <c r="AH91" i="142" s="1"/>
  <c r="H60" i="142"/>
  <c r="B182" i="142"/>
  <c r="AH182" i="142" s="1"/>
  <c r="B172" i="142"/>
  <c r="AH172" i="142" s="1"/>
  <c r="B131" i="142"/>
  <c r="AH131" i="142" s="1"/>
  <c r="B173" i="142"/>
  <c r="AH173" i="142" s="1"/>
  <c r="B175" i="142"/>
  <c r="AH175" i="142" s="1"/>
  <c r="B108" i="142"/>
  <c r="AH108" i="142" s="1"/>
  <c r="B112" i="142"/>
  <c r="AH112" i="142" s="1"/>
  <c r="B186" i="142"/>
  <c r="AH186" i="142" s="1"/>
  <c r="B129" i="142"/>
  <c r="AH129" i="142" s="1"/>
  <c r="B132" i="142"/>
  <c r="AH132" i="142" s="1"/>
  <c r="B93" i="142"/>
  <c r="AH93" i="142" s="1"/>
  <c r="B100" i="142"/>
  <c r="AH100" i="142" s="1"/>
  <c r="B181" i="142"/>
  <c r="AH181" i="142" s="1"/>
  <c r="B109" i="142"/>
  <c r="AH109" i="142" s="1"/>
  <c r="B119" i="142"/>
  <c r="AH119" i="142" s="1"/>
  <c r="B88" i="142"/>
  <c r="AH88" i="142" s="1"/>
  <c r="B135" i="142"/>
  <c r="AH135" i="142" s="1"/>
  <c r="B81" i="142"/>
  <c r="AH81" i="142" s="1"/>
  <c r="B187" i="142"/>
  <c r="AH187" i="142" s="1"/>
  <c r="B116" i="142"/>
  <c r="AH116" i="142" s="1"/>
  <c r="B113" i="142"/>
  <c r="AH113" i="142" s="1"/>
  <c r="B115" i="142"/>
  <c r="AH115" i="142" s="1"/>
  <c r="B133" i="142"/>
  <c r="AH133" i="142" s="1"/>
  <c r="B87" i="142"/>
  <c r="AH87" i="142" s="1"/>
  <c r="B140" i="142"/>
  <c r="AH140" i="142" s="1"/>
  <c r="K139" i="142"/>
  <c r="B94" i="142"/>
  <c r="AH94" i="142" s="1"/>
  <c r="B170" i="142"/>
  <c r="AH170" i="142" s="1"/>
  <c r="B107" i="142"/>
  <c r="AH107" i="142" s="1"/>
  <c r="B92" i="142"/>
  <c r="AH92" i="142" s="1"/>
  <c r="B143" i="142"/>
  <c r="AH143" i="142" s="1"/>
  <c r="B98" i="142"/>
  <c r="AH98" i="142" s="1"/>
  <c r="B83" i="142"/>
  <c r="AH83" i="142" s="1"/>
  <c r="D60" i="142"/>
  <c r="H187" i="142"/>
  <c r="B176" i="142"/>
  <c r="AH176" i="142" s="1"/>
  <c r="B136" i="142"/>
  <c r="AH136" i="142" s="1"/>
  <c r="E60" i="142"/>
  <c r="B174" i="142"/>
  <c r="AH174" i="142" s="1"/>
  <c r="B122" i="142"/>
  <c r="AH122" i="142" s="1"/>
  <c r="AI101" i="142" l="1"/>
  <c r="AP101" i="142"/>
  <c r="L184" i="142"/>
  <c r="L162" i="142"/>
  <c r="L120" i="142"/>
  <c r="L96" i="142"/>
  <c r="F68" i="142"/>
  <c r="F63" i="142"/>
  <c r="F62" i="142"/>
  <c r="F70" i="142"/>
  <c r="F67" i="142"/>
  <c r="F66" i="142"/>
  <c r="F61" i="142"/>
  <c r="F58" i="142"/>
  <c r="D65" i="142"/>
  <c r="D61" i="142"/>
  <c r="D62" i="142"/>
  <c r="D64" i="142"/>
  <c r="D63" i="142"/>
  <c r="D68" i="142"/>
  <c r="D67" i="142"/>
  <c r="D66" i="142"/>
  <c r="D70" i="142"/>
  <c r="D69" i="142"/>
  <c r="F65" i="142"/>
  <c r="F69" i="142"/>
  <c r="B124" i="142"/>
  <c r="AH124" i="142" s="1"/>
  <c r="B185" i="142" l="1"/>
  <c r="AH185" i="142" s="1"/>
  <c r="N188" i="142"/>
  <c r="N101" i="142"/>
  <c r="F73" i="142"/>
  <c r="D73" i="142"/>
  <c r="N100" i="142"/>
  <c r="N187" i="142"/>
  <c r="N124" i="142"/>
  <c r="S124" i="142" l="1"/>
  <c r="T124" i="142" s="1"/>
  <c r="U124" i="142" s="1"/>
  <c r="V124" i="142" s="1"/>
  <c r="Q124" i="142"/>
  <c r="P124" i="142"/>
  <c r="O124" i="142"/>
  <c r="Q268" i="112"/>
  <c r="Y268" i="112" s="1"/>
  <c r="S187" i="142"/>
  <c r="T187" i="142" s="1"/>
  <c r="U187" i="142" s="1"/>
  <c r="V187" i="142" s="1"/>
  <c r="Q187" i="142"/>
  <c r="P187" i="142"/>
  <c r="O187" i="142"/>
  <c r="Q101" i="142"/>
  <c r="P101" i="142"/>
  <c r="O101" i="142"/>
  <c r="S101" i="142"/>
  <c r="T101" i="142" s="1"/>
  <c r="U101" i="142" s="1"/>
  <c r="V101" i="142" s="1"/>
  <c r="Q188" i="142"/>
  <c r="P188" i="142"/>
  <c r="O188" i="142"/>
  <c r="S188" i="142"/>
  <c r="T188" i="142" s="1"/>
  <c r="U188" i="142" s="1"/>
  <c r="V188" i="142" s="1"/>
  <c r="Q100" i="112"/>
  <c r="X100" i="112" s="1"/>
  <c r="Q100" i="142"/>
  <c r="P100" i="142"/>
  <c r="O100" i="142"/>
  <c r="S100" i="142"/>
  <c r="T100" i="142" s="1"/>
  <c r="U100" i="142" s="1"/>
  <c r="V100" i="142" s="1"/>
  <c r="Q101" i="112"/>
  <c r="Q269" i="112"/>
  <c r="W100" i="112" l="1"/>
  <c r="Y100" i="112"/>
  <c r="W268" i="112"/>
  <c r="X268" i="112"/>
  <c r="X101" i="112"/>
  <c r="Y101" i="112"/>
  <c r="W101" i="112"/>
  <c r="Y269" i="112"/>
  <c r="W269" i="112"/>
  <c r="X269" i="112"/>
  <c r="G200" i="134" l="1"/>
  <c r="F223" i="134"/>
  <c r="F219" i="134"/>
  <c r="H219" i="134"/>
  <c r="F222" i="134"/>
  <c r="J217" i="134" s="1"/>
  <c r="C205" i="134"/>
  <c r="U40" i="134"/>
  <c r="V40" i="134" s="1"/>
  <c r="E47" i="134"/>
  <c r="E48" i="134" s="1"/>
  <c r="AB186" i="134"/>
  <c r="AB189" i="134" s="1"/>
  <c r="E40" i="134"/>
  <c r="F40" i="134" s="1"/>
  <c r="W186" i="134" s="1"/>
  <c r="W189" i="134" s="1"/>
  <c r="AC43" i="112"/>
  <c r="F116" i="134"/>
  <c r="G116" i="134" s="1"/>
  <c r="H116" i="134" s="1"/>
  <c r="F117" i="134"/>
  <c r="G117" i="134" s="1"/>
  <c r="H117" i="134" s="1"/>
  <c r="C117" i="134"/>
  <c r="F108" i="134"/>
  <c r="F107" i="134"/>
  <c r="F106" i="134"/>
  <c r="F105" i="134"/>
  <c r="F104" i="134"/>
  <c r="F103" i="134"/>
  <c r="F102" i="134"/>
  <c r="F101" i="134"/>
  <c r="F100" i="134"/>
  <c r="F99" i="134"/>
  <c r="F96" i="134"/>
  <c r="F95" i="134"/>
  <c r="F94" i="134"/>
  <c r="F93" i="134"/>
  <c r="F92" i="134"/>
  <c r="F91" i="134"/>
  <c r="F90" i="134"/>
  <c r="F89" i="134"/>
  <c r="F88" i="134"/>
  <c r="F87" i="134"/>
  <c r="G87" i="134" s="1"/>
  <c r="H87" i="134" s="1"/>
  <c r="F84" i="134"/>
  <c r="F83" i="134"/>
  <c r="F82" i="134"/>
  <c r="F81" i="134"/>
  <c r="G81" i="134" s="1"/>
  <c r="F80" i="134"/>
  <c r="F79" i="134"/>
  <c r="F78" i="134"/>
  <c r="G78" i="134" s="1"/>
  <c r="F77" i="134"/>
  <c r="F76" i="134"/>
  <c r="F75" i="134"/>
  <c r="F64" i="134"/>
  <c r="F65" i="134"/>
  <c r="F66" i="134"/>
  <c r="F67" i="134"/>
  <c r="G67" i="134" s="1"/>
  <c r="F68" i="134"/>
  <c r="F69" i="134"/>
  <c r="F70" i="134"/>
  <c r="F71" i="134"/>
  <c r="F63" i="134"/>
  <c r="F55" i="134"/>
  <c r="H4" i="92"/>
  <c r="H44" i="134"/>
  <c r="C44" i="134"/>
  <c r="AK90" i="112"/>
  <c r="AK99" i="112"/>
  <c r="AK102" i="112"/>
  <c r="AK103" i="112"/>
  <c r="AK114" i="112"/>
  <c r="AK121" i="112"/>
  <c r="AK123" i="112"/>
  <c r="AK124" i="112"/>
  <c r="AK135" i="112"/>
  <c r="AK142" i="112"/>
  <c r="AK144" i="112"/>
  <c r="AK145" i="112"/>
  <c r="AK156" i="112"/>
  <c r="AK165" i="112"/>
  <c r="AK167" i="112"/>
  <c r="AK168" i="112"/>
  <c r="AK179" i="112"/>
  <c r="AK186" i="112"/>
  <c r="AK187" i="112"/>
  <c r="AK198" i="112"/>
  <c r="AK205" i="112"/>
  <c r="AK206" i="112"/>
  <c r="AK217" i="112"/>
  <c r="AK227" i="112"/>
  <c r="AK228" i="112"/>
  <c r="AK239" i="112"/>
  <c r="AK247" i="112"/>
  <c r="AK248" i="112"/>
  <c r="AK259" i="112"/>
  <c r="AC58" i="112"/>
  <c r="AD58" i="112" s="1"/>
  <c r="AD79" i="112" s="1"/>
  <c r="K60" i="112"/>
  <c r="AA122" i="112"/>
  <c r="AA121" i="112"/>
  <c r="V121" i="112"/>
  <c r="AA120" i="112"/>
  <c r="AA119" i="112"/>
  <c r="AA118" i="112"/>
  <c r="AA117" i="112"/>
  <c r="AA116" i="112"/>
  <c r="AA115" i="112"/>
  <c r="AA114" i="112"/>
  <c r="V114" i="112"/>
  <c r="P114" i="112"/>
  <c r="AA113" i="112"/>
  <c r="V113" i="112"/>
  <c r="P113" i="112"/>
  <c r="AA112" i="112"/>
  <c r="V112" i="112"/>
  <c r="P112" i="112"/>
  <c r="AA111" i="112"/>
  <c r="V111" i="112"/>
  <c r="P111" i="112"/>
  <c r="AA110" i="112"/>
  <c r="V110" i="112"/>
  <c r="P110" i="112"/>
  <c r="AA109" i="112"/>
  <c r="V109" i="112"/>
  <c r="P109" i="112"/>
  <c r="AA108" i="112"/>
  <c r="V108" i="112"/>
  <c r="P108" i="112"/>
  <c r="AA107" i="112"/>
  <c r="V107" i="112"/>
  <c r="P107" i="112"/>
  <c r="AA106" i="112"/>
  <c r="V106" i="112"/>
  <c r="P106" i="112"/>
  <c r="AA105" i="112"/>
  <c r="V105" i="112"/>
  <c r="P105" i="112"/>
  <c r="A121" i="112"/>
  <c r="A99" i="112"/>
  <c r="D104" i="112"/>
  <c r="AK104" i="112" s="1"/>
  <c r="N11" i="112"/>
  <c r="N12" i="112" s="1"/>
  <c r="N13" i="112" s="1"/>
  <c r="N14" i="112" s="1"/>
  <c r="N15" i="112" s="1"/>
  <c r="N16" i="112" s="1"/>
  <c r="N17" i="112" s="1"/>
  <c r="A11" i="112"/>
  <c r="K11" i="112" s="1"/>
  <c r="AG79" i="112"/>
  <c r="AB79" i="112"/>
  <c r="P79" i="112"/>
  <c r="V79" i="112" s="1"/>
  <c r="A19" i="112"/>
  <c r="J19" i="112" s="1"/>
  <c r="A18" i="112"/>
  <c r="B18" i="112" s="1"/>
  <c r="U17" i="112" s="1"/>
  <c r="A17" i="112"/>
  <c r="J17" i="112" s="1"/>
  <c r="A16" i="112"/>
  <c r="J16" i="112" s="1"/>
  <c r="A15" i="112"/>
  <c r="A14" i="112"/>
  <c r="A12" i="112"/>
  <c r="A10" i="112"/>
  <c r="K10" i="112" s="1"/>
  <c r="K271" i="112"/>
  <c r="V270" i="112"/>
  <c r="P270" i="112"/>
  <c r="AA268" i="112"/>
  <c r="AA259" i="112"/>
  <c r="V259" i="112"/>
  <c r="P259" i="112"/>
  <c r="V258" i="112"/>
  <c r="P258" i="112"/>
  <c r="V257" i="112"/>
  <c r="P257" i="112"/>
  <c r="V256" i="112"/>
  <c r="P256" i="112"/>
  <c r="V255" i="112"/>
  <c r="P255" i="112"/>
  <c r="V254" i="112"/>
  <c r="P254" i="112"/>
  <c r="V253" i="112"/>
  <c r="P253" i="112"/>
  <c r="V252" i="112"/>
  <c r="P252" i="112"/>
  <c r="V251" i="112"/>
  <c r="P251" i="112"/>
  <c r="V250" i="112"/>
  <c r="P250" i="112"/>
  <c r="AA249" i="112"/>
  <c r="V249" i="112"/>
  <c r="P249" i="112"/>
  <c r="D249" i="112"/>
  <c r="AA248" i="112"/>
  <c r="V248" i="112"/>
  <c r="P248" i="112"/>
  <c r="AA247" i="112"/>
  <c r="V247" i="112"/>
  <c r="P247" i="112"/>
  <c r="AA239" i="112"/>
  <c r="V239" i="112"/>
  <c r="P239" i="112"/>
  <c r="V238" i="112"/>
  <c r="P238" i="112"/>
  <c r="V237" i="112"/>
  <c r="P237" i="112"/>
  <c r="V236" i="112"/>
  <c r="P236" i="112"/>
  <c r="V235" i="112"/>
  <c r="P235" i="112"/>
  <c r="V234" i="112"/>
  <c r="P234" i="112"/>
  <c r="V233" i="112"/>
  <c r="P233" i="112"/>
  <c r="V232" i="112"/>
  <c r="P232" i="112"/>
  <c r="V231" i="112"/>
  <c r="P231" i="112"/>
  <c r="V230" i="112"/>
  <c r="P230" i="112"/>
  <c r="AA229" i="112"/>
  <c r="V229" i="112"/>
  <c r="P229" i="112"/>
  <c r="D229" i="112"/>
  <c r="E229" i="112" s="1"/>
  <c r="F229" i="112" s="1"/>
  <c r="G229" i="112" s="1"/>
  <c r="H229" i="112" s="1"/>
  <c r="AA228" i="112"/>
  <c r="V228" i="112"/>
  <c r="P228" i="112"/>
  <c r="AA227" i="112"/>
  <c r="V227" i="112"/>
  <c r="P227" i="112"/>
  <c r="AA225" i="112"/>
  <c r="AA217" i="112"/>
  <c r="V217" i="112"/>
  <c r="P217" i="112"/>
  <c r="V216" i="112"/>
  <c r="P216" i="112"/>
  <c r="V215" i="112"/>
  <c r="P215" i="112"/>
  <c r="V214" i="112"/>
  <c r="P214" i="112"/>
  <c r="V213" i="112"/>
  <c r="P213" i="112"/>
  <c r="V212" i="112"/>
  <c r="P212" i="112"/>
  <c r="V211" i="112"/>
  <c r="P211" i="112"/>
  <c r="V210" i="112"/>
  <c r="P210" i="112"/>
  <c r="V209" i="112"/>
  <c r="P209" i="112"/>
  <c r="V208" i="112"/>
  <c r="P208" i="112"/>
  <c r="AA207" i="112"/>
  <c r="V207" i="112"/>
  <c r="P207" i="112"/>
  <c r="D207" i="112"/>
  <c r="E207" i="112" s="1"/>
  <c r="F207" i="112" s="1"/>
  <c r="G207" i="112" s="1"/>
  <c r="H207" i="112" s="1"/>
  <c r="AA206" i="112"/>
  <c r="V206" i="112"/>
  <c r="P206" i="112"/>
  <c r="AA205" i="112"/>
  <c r="V205" i="112"/>
  <c r="P205" i="112"/>
  <c r="AA198" i="112"/>
  <c r="V198" i="112"/>
  <c r="P198" i="112"/>
  <c r="V197" i="112"/>
  <c r="P197" i="112"/>
  <c r="V196" i="112"/>
  <c r="P196" i="112"/>
  <c r="V195" i="112"/>
  <c r="P195" i="112"/>
  <c r="V194" i="112"/>
  <c r="P194" i="112"/>
  <c r="V193" i="112"/>
  <c r="P193" i="112"/>
  <c r="V192" i="112"/>
  <c r="P192" i="112"/>
  <c r="V191" i="112"/>
  <c r="P191" i="112"/>
  <c r="V190" i="112"/>
  <c r="P190" i="112"/>
  <c r="V189" i="112"/>
  <c r="P189" i="112"/>
  <c r="AA188" i="112"/>
  <c r="V188" i="112"/>
  <c r="P188" i="112"/>
  <c r="D188" i="112"/>
  <c r="E188" i="112" s="1"/>
  <c r="F188" i="112" s="1"/>
  <c r="G188" i="112" s="1"/>
  <c r="H188" i="112" s="1"/>
  <c r="AA187" i="112"/>
  <c r="V187" i="112"/>
  <c r="P187" i="112"/>
  <c r="AA186" i="112"/>
  <c r="V186" i="112"/>
  <c r="P186" i="112"/>
  <c r="AA179" i="112"/>
  <c r="V179" i="112"/>
  <c r="P179" i="112"/>
  <c r="V178" i="112"/>
  <c r="P178" i="112"/>
  <c r="V177" i="112"/>
  <c r="P177" i="112"/>
  <c r="V176" i="112"/>
  <c r="P176" i="112"/>
  <c r="V175" i="112"/>
  <c r="P175" i="112"/>
  <c r="V174" i="112"/>
  <c r="P174" i="112"/>
  <c r="V173" i="112"/>
  <c r="P173" i="112"/>
  <c r="V172" i="112"/>
  <c r="P172" i="112"/>
  <c r="V171" i="112"/>
  <c r="P171" i="112"/>
  <c r="V170" i="112"/>
  <c r="P170" i="112"/>
  <c r="AA169" i="112"/>
  <c r="V169" i="112"/>
  <c r="P169" i="112"/>
  <c r="D169" i="112"/>
  <c r="E169" i="112" s="1"/>
  <c r="F169" i="112" s="1"/>
  <c r="G169" i="112" s="1"/>
  <c r="H169" i="112" s="1"/>
  <c r="AA168" i="112"/>
  <c r="V168" i="112"/>
  <c r="P168" i="112"/>
  <c r="AA167" i="112"/>
  <c r="V167" i="112"/>
  <c r="P167" i="112"/>
  <c r="AA166" i="112"/>
  <c r="J166" i="112"/>
  <c r="A165" i="112"/>
  <c r="AA156" i="112"/>
  <c r="V156" i="112"/>
  <c r="P156" i="112"/>
  <c r="V155" i="112"/>
  <c r="P155" i="112"/>
  <c r="V154" i="112"/>
  <c r="P154" i="112"/>
  <c r="V153" i="112"/>
  <c r="P153" i="112"/>
  <c r="V152" i="112"/>
  <c r="P152" i="112"/>
  <c r="V151" i="112"/>
  <c r="P151" i="112"/>
  <c r="V150" i="112"/>
  <c r="P150" i="112"/>
  <c r="V149" i="112"/>
  <c r="P149" i="112"/>
  <c r="V148" i="112"/>
  <c r="P148" i="112"/>
  <c r="V147" i="112"/>
  <c r="P147" i="112"/>
  <c r="AA146" i="112"/>
  <c r="V146" i="112"/>
  <c r="P146" i="112"/>
  <c r="D146" i="112"/>
  <c r="E146" i="112" s="1"/>
  <c r="F146" i="112" s="1"/>
  <c r="G146" i="112" s="1"/>
  <c r="H146" i="112" s="1"/>
  <c r="AA145" i="112"/>
  <c r="V145" i="112"/>
  <c r="P145" i="112"/>
  <c r="AA144" i="112"/>
  <c r="V144" i="112"/>
  <c r="P144" i="112"/>
  <c r="AA143" i="112"/>
  <c r="A142" i="112"/>
  <c r="AA135" i="112"/>
  <c r="V135" i="112"/>
  <c r="P135" i="112"/>
  <c r="V134" i="112"/>
  <c r="P134" i="112"/>
  <c r="V133" i="112"/>
  <c r="P133" i="112"/>
  <c r="V132" i="112"/>
  <c r="P132" i="112"/>
  <c r="V131" i="112"/>
  <c r="P131" i="112"/>
  <c r="V130" i="112"/>
  <c r="P130" i="112"/>
  <c r="V129" i="112"/>
  <c r="P129" i="112"/>
  <c r="V128" i="112"/>
  <c r="P128" i="112"/>
  <c r="V127" i="112"/>
  <c r="P127" i="112"/>
  <c r="V126" i="112"/>
  <c r="P126" i="112"/>
  <c r="AA125" i="112"/>
  <c r="V125" i="112"/>
  <c r="P125" i="112"/>
  <c r="D125" i="112"/>
  <c r="AA124" i="112"/>
  <c r="V124" i="112"/>
  <c r="P124" i="112"/>
  <c r="AA123" i="112"/>
  <c r="V123" i="112"/>
  <c r="P123" i="112"/>
  <c r="AA100" i="112"/>
  <c r="AA99" i="112"/>
  <c r="V99" i="112"/>
  <c r="AA90" i="112"/>
  <c r="V90" i="112"/>
  <c r="P90" i="112"/>
  <c r="V89" i="112"/>
  <c r="P89" i="112"/>
  <c r="V88" i="112"/>
  <c r="P88" i="112"/>
  <c r="V87" i="112"/>
  <c r="P87" i="112"/>
  <c r="V86" i="112"/>
  <c r="P86" i="112"/>
  <c r="V85" i="112"/>
  <c r="P85" i="112"/>
  <c r="V84" i="112"/>
  <c r="P84" i="112"/>
  <c r="V83" i="112"/>
  <c r="P83" i="112"/>
  <c r="AI82" i="112"/>
  <c r="AI83" i="112" s="1"/>
  <c r="AI84" i="112" s="1"/>
  <c r="AI85" i="112" s="1"/>
  <c r="AI86" i="112" s="1"/>
  <c r="AI87" i="112" s="1"/>
  <c r="AI88" i="112" s="1"/>
  <c r="AI89" i="112" s="1"/>
  <c r="AI90" i="112" s="1"/>
  <c r="AI91" i="112" s="1"/>
  <c r="AI92" i="112" s="1"/>
  <c r="AI93" i="112" s="1"/>
  <c r="AI94" i="112" s="1"/>
  <c r="AI95" i="112" s="1"/>
  <c r="AI96" i="112" s="1"/>
  <c r="AI97" i="112" s="1"/>
  <c r="AI98" i="112" s="1"/>
  <c r="AI99" i="112" s="1"/>
  <c r="AI100" i="112" s="1"/>
  <c r="AI101" i="112" s="1"/>
  <c r="V82" i="112"/>
  <c r="P82" i="112"/>
  <c r="V81" i="112"/>
  <c r="P81" i="112"/>
  <c r="D80" i="112"/>
  <c r="E80" i="112" s="1"/>
  <c r="T79" i="112"/>
  <c r="S79" i="112"/>
  <c r="Y79" i="112" s="1"/>
  <c r="R79" i="112"/>
  <c r="X79" i="112" s="1"/>
  <c r="Q79" i="112"/>
  <c r="W79" i="112" s="1"/>
  <c r="A73" i="112"/>
  <c r="A72" i="112"/>
  <c r="A71" i="112"/>
  <c r="O62" i="112"/>
  <c r="B57" i="112"/>
  <c r="B56" i="112"/>
  <c r="A56" i="112"/>
  <c r="B55" i="112"/>
  <c r="B70" i="112" s="1"/>
  <c r="B54" i="112"/>
  <c r="B69" i="112" s="1"/>
  <c r="B53" i="112"/>
  <c r="B68" i="112" s="1"/>
  <c r="B52" i="112"/>
  <c r="B67" i="112" s="1"/>
  <c r="B51" i="112"/>
  <c r="B66" i="112" s="1"/>
  <c r="B50" i="112"/>
  <c r="B65" i="112" s="1"/>
  <c r="B49" i="112"/>
  <c r="B64" i="112" s="1"/>
  <c r="B48" i="112"/>
  <c r="B63" i="112" s="1"/>
  <c r="B47" i="112"/>
  <c r="B62" i="112" s="1"/>
  <c r="B46" i="112"/>
  <c r="B61" i="112" s="1"/>
  <c r="S19" i="112"/>
  <c r="R19" i="112"/>
  <c r="Q19" i="112"/>
  <c r="S16" i="112"/>
  <c r="S17" i="112" s="1"/>
  <c r="S10" i="112"/>
  <c r="T10" i="112" s="1"/>
  <c r="L6" i="112"/>
  <c r="K6" i="112"/>
  <c r="J6" i="112"/>
  <c r="I6" i="112"/>
  <c r="H6" i="112"/>
  <c r="G6" i="112"/>
  <c r="F6" i="112"/>
  <c r="E6" i="112"/>
  <c r="D6" i="112"/>
  <c r="C6" i="112"/>
  <c r="D4" i="112"/>
  <c r="E4" i="112" s="1"/>
  <c r="F4" i="112" s="1"/>
  <c r="G4" i="112" s="1"/>
  <c r="H4" i="112" s="1"/>
  <c r="I4" i="112" s="1"/>
  <c r="J4" i="112" s="1"/>
  <c r="K4" i="112" s="1"/>
  <c r="L4" i="112" s="1"/>
  <c r="AA241" i="112"/>
  <c r="A70" i="112"/>
  <c r="AA196" i="112"/>
  <c r="AA138" i="112"/>
  <c r="A48" i="112"/>
  <c r="A194" i="112"/>
  <c r="AA130" i="112"/>
  <c r="AA189" i="112"/>
  <c r="AA243" i="112"/>
  <c r="AA192" i="112"/>
  <c r="AA237" i="112"/>
  <c r="A62" i="112"/>
  <c r="AA134" i="112"/>
  <c r="AA132" i="112"/>
  <c r="AA236" i="112"/>
  <c r="AA195" i="112"/>
  <c r="AA232" i="112"/>
  <c r="AA191" i="112"/>
  <c r="AA128" i="112"/>
  <c r="D16" i="112"/>
  <c r="AA246" i="112"/>
  <c r="AA141" i="112"/>
  <c r="AA204" i="112"/>
  <c r="A52" i="112"/>
  <c r="AA129" i="112"/>
  <c r="AA133" i="112"/>
  <c r="AA139" i="112"/>
  <c r="AA193" i="112"/>
  <c r="AA194" i="112"/>
  <c r="AA234" i="112"/>
  <c r="AA235" i="112"/>
  <c r="AA244" i="112"/>
  <c r="AA230" i="112"/>
  <c r="AA131" i="112"/>
  <c r="AA197" i="112"/>
  <c r="AA201" i="112"/>
  <c r="AA242" i="112"/>
  <c r="B16" i="112"/>
  <c r="AK125" i="112"/>
  <c r="E249" i="112"/>
  <c r="F249" i="112" s="1"/>
  <c r="G249" i="112" s="1"/>
  <c r="H249" i="112" s="1"/>
  <c r="AK249" i="112"/>
  <c r="AK207" i="112"/>
  <c r="AK146" i="112"/>
  <c r="E125" i="112"/>
  <c r="F125" i="112" s="1"/>
  <c r="G125" i="112" s="1"/>
  <c r="H125" i="112" s="1"/>
  <c r="C118" i="112"/>
  <c r="O63" i="112"/>
  <c r="O64" i="112" s="1"/>
  <c r="O65" i="112" s="1"/>
  <c r="O66" i="112" s="1"/>
  <c r="O67" i="112" s="1"/>
  <c r="O68" i="112" s="1"/>
  <c r="O69" i="112" s="1"/>
  <c r="K15" i="112"/>
  <c r="K16" i="112"/>
  <c r="B15" i="112"/>
  <c r="O14" i="112" s="1"/>
  <c r="B12" i="112"/>
  <c r="O12" i="112" s="1"/>
  <c r="A216" i="112"/>
  <c r="A134" i="112"/>
  <c r="A197" i="112"/>
  <c r="A69" i="112"/>
  <c r="A54" i="112"/>
  <c r="A178" i="112"/>
  <c r="B4" i="112"/>
  <c r="J12" i="112"/>
  <c r="C245" i="112"/>
  <c r="Y16" i="112"/>
  <c r="Z16" i="112" s="1"/>
  <c r="E16" i="112"/>
  <c r="E17" i="112"/>
  <c r="E12" i="112"/>
  <c r="H217" i="134"/>
  <c r="G217" i="134"/>
  <c r="F217" i="134"/>
  <c r="G88" i="134"/>
  <c r="G66" i="134"/>
  <c r="D116" i="134"/>
  <c r="D117" i="134" s="1"/>
  <c r="F47" i="134"/>
  <c r="K219" i="134"/>
  <c r="G219" i="134"/>
  <c r="K217" i="134"/>
  <c r="K218" i="134" s="1"/>
  <c r="I217" i="134"/>
  <c r="I219" i="134"/>
  <c r="J219" i="134"/>
  <c r="J11" i="112" l="1"/>
  <c r="AA263" i="112"/>
  <c r="AA257" i="112"/>
  <c r="AA253" i="112"/>
  <c r="AA222" i="112"/>
  <c r="AA183" i="112"/>
  <c r="AA177" i="112"/>
  <c r="AA173" i="112"/>
  <c r="AA93" i="112"/>
  <c r="AA89" i="112"/>
  <c r="AA85" i="112"/>
  <c r="AA254" i="112"/>
  <c r="AA250" i="112"/>
  <c r="AA221" i="112"/>
  <c r="AA174" i="112"/>
  <c r="AA170" i="112"/>
  <c r="AA160" i="112"/>
  <c r="AA81" i="112"/>
  <c r="AA255" i="112"/>
  <c r="AA220" i="112"/>
  <c r="AA216" i="112"/>
  <c r="AA212" i="112"/>
  <c r="AA208" i="112"/>
  <c r="AA175" i="112"/>
  <c r="AA159" i="112"/>
  <c r="AA155" i="112"/>
  <c r="AA151" i="112"/>
  <c r="AA147" i="112"/>
  <c r="AA95" i="112"/>
  <c r="AA185" i="112"/>
  <c r="AA267" i="112"/>
  <c r="AA98" i="112"/>
  <c r="AA226" i="112"/>
  <c r="AA252" i="112"/>
  <c r="AA172" i="112"/>
  <c r="AA83" i="112"/>
  <c r="AA149" i="112"/>
  <c r="AA210" i="112"/>
  <c r="AA176" i="112"/>
  <c r="AA87" i="112"/>
  <c r="AA153" i="112"/>
  <c r="AA214" i="112"/>
  <c r="AA178" i="112"/>
  <c r="AA148" i="112"/>
  <c r="AA215" i="112"/>
  <c r="AA84" i="112"/>
  <c r="AA182" i="112"/>
  <c r="AA150" i="112"/>
  <c r="AA211" i="112"/>
  <c r="AA88" i="112"/>
  <c r="AA94" i="112"/>
  <c r="AA86" i="112"/>
  <c r="AA213" i="112"/>
  <c r="AA264" i="112"/>
  <c r="AA262" i="112"/>
  <c r="AA154" i="112"/>
  <c r="AA164" i="112"/>
  <c r="AA152" i="112"/>
  <c r="AA218" i="112"/>
  <c r="C218" i="112"/>
  <c r="C117" i="112"/>
  <c r="A117" i="112" s="1"/>
  <c r="C122" i="112"/>
  <c r="C262" i="112"/>
  <c r="A262" i="112" s="1"/>
  <c r="C243" i="112"/>
  <c r="C225" i="112"/>
  <c r="C141" i="112"/>
  <c r="A166" i="112"/>
  <c r="S12" i="112"/>
  <c r="S13" i="112" s="1"/>
  <c r="T13" i="112" s="1"/>
  <c r="Y10" i="112"/>
  <c r="Z10" i="112" s="1"/>
  <c r="J15" i="112"/>
  <c r="E15" i="112"/>
  <c r="C226" i="112"/>
  <c r="K18" i="112"/>
  <c r="D19" i="112"/>
  <c r="A258" i="112"/>
  <c r="A122" i="112"/>
  <c r="E18" i="112"/>
  <c r="D17" i="112"/>
  <c r="D15" i="112"/>
  <c r="T16" i="112"/>
  <c r="AK169" i="112"/>
  <c r="C202" i="112"/>
  <c r="G70" i="134"/>
  <c r="A66" i="112"/>
  <c r="A86" i="112" s="1"/>
  <c r="A255" i="112"/>
  <c r="F99" i="112"/>
  <c r="AA137" i="112"/>
  <c r="AA200" i="112"/>
  <c r="F85" i="142"/>
  <c r="F259" i="112"/>
  <c r="I16" i="144"/>
  <c r="F16" i="144"/>
  <c r="H16" i="144"/>
  <c r="K16" i="144"/>
  <c r="L16" i="144"/>
  <c r="D16" i="144"/>
  <c r="V12" i="112"/>
  <c r="P14" i="112"/>
  <c r="C172" i="112" s="1"/>
  <c r="U12" i="112"/>
  <c r="B168" i="112"/>
  <c r="C181" i="112" s="1"/>
  <c r="A181" i="112" s="1"/>
  <c r="B124" i="112"/>
  <c r="C185" i="112"/>
  <c r="A185" i="112" s="1"/>
  <c r="C98" i="112"/>
  <c r="D10" i="112"/>
  <c r="C267" i="112"/>
  <c r="A267" i="112" s="1"/>
  <c r="C246" i="112"/>
  <c r="A246" i="112" s="1"/>
  <c r="A89" i="112"/>
  <c r="C268" i="112"/>
  <c r="A268" i="112" s="1"/>
  <c r="K19" i="112"/>
  <c r="C136" i="112"/>
  <c r="A136" i="112" s="1"/>
  <c r="C120" i="112"/>
  <c r="C164" i="112"/>
  <c r="A164" i="112" s="1"/>
  <c r="C204" i="112"/>
  <c r="A204" i="112" s="1"/>
  <c r="F121" i="112"/>
  <c r="F142" i="112"/>
  <c r="F165" i="112"/>
  <c r="F156" i="112"/>
  <c r="F239" i="112"/>
  <c r="F179" i="112"/>
  <c r="F135" i="112"/>
  <c r="F198" i="112"/>
  <c r="F217" i="112"/>
  <c r="C221" i="112"/>
  <c r="C263" i="112"/>
  <c r="C94" i="112"/>
  <c r="A94" i="112" s="1"/>
  <c r="C160" i="112"/>
  <c r="A160" i="112" s="1"/>
  <c r="C183" i="112"/>
  <c r="C139" i="112"/>
  <c r="A139" i="112" s="1"/>
  <c r="I218" i="134"/>
  <c r="G218" i="134"/>
  <c r="F218" i="134"/>
  <c r="H218" i="134"/>
  <c r="J218" i="134"/>
  <c r="P15" i="112"/>
  <c r="C193" i="112" s="1"/>
  <c r="V15" i="112"/>
  <c r="C260" i="112"/>
  <c r="A260" i="112" s="1"/>
  <c r="C91" i="112"/>
  <c r="A91" i="112" s="1"/>
  <c r="AA199" i="112"/>
  <c r="C240" i="112"/>
  <c r="A240" i="112" s="1"/>
  <c r="F120" i="142"/>
  <c r="F162" i="142"/>
  <c r="F163" i="142"/>
  <c r="F184" i="142"/>
  <c r="F185" i="142"/>
  <c r="F121" i="142"/>
  <c r="C180" i="112"/>
  <c r="A118" i="112"/>
  <c r="A82" i="112"/>
  <c r="B10" i="112"/>
  <c r="B79" i="112" s="1"/>
  <c r="A214" i="112"/>
  <c r="J10" i="112"/>
  <c r="A67" i="112"/>
  <c r="A87" i="112" s="1"/>
  <c r="A176" i="112"/>
  <c r="A63" i="112"/>
  <c r="A83" i="112" s="1"/>
  <c r="A128" i="112"/>
  <c r="A172" i="112"/>
  <c r="A191" i="112"/>
  <c r="A210" i="112"/>
  <c r="AC79" i="112"/>
  <c r="A90" i="112"/>
  <c r="A114" i="112"/>
  <c r="A243" i="112"/>
  <c r="A259" i="112"/>
  <c r="A156" i="112"/>
  <c r="A217" i="112"/>
  <c r="A198" i="112"/>
  <c r="A239" i="112"/>
  <c r="A179" i="112"/>
  <c r="A135" i="112"/>
  <c r="A245" i="112"/>
  <c r="A218" i="112"/>
  <c r="A180" i="112"/>
  <c r="A202" i="112"/>
  <c r="A263" i="112"/>
  <c r="A221" i="112"/>
  <c r="A183" i="112"/>
  <c r="F96" i="142"/>
  <c r="F97" i="142"/>
  <c r="U14" i="112"/>
  <c r="V14" i="112"/>
  <c r="A151" i="112"/>
  <c r="A256" i="112"/>
  <c r="A195" i="112"/>
  <c r="A154" i="112"/>
  <c r="AA127" i="112"/>
  <c r="AA190" i="112"/>
  <c r="AA231" i="112"/>
  <c r="A252" i="112"/>
  <c r="A132" i="112"/>
  <c r="AA240" i="112"/>
  <c r="AA136" i="112"/>
  <c r="C115" i="112"/>
  <c r="A115" i="112" s="1"/>
  <c r="C199" i="112"/>
  <c r="A199" i="112" s="1"/>
  <c r="AA238" i="112"/>
  <c r="AA203" i="112"/>
  <c r="AA140" i="112"/>
  <c r="A105" i="142"/>
  <c r="A169" i="142"/>
  <c r="A128" i="142"/>
  <c r="A61" i="142"/>
  <c r="A81" i="142" s="1"/>
  <c r="A147" i="142"/>
  <c r="D58" i="112"/>
  <c r="D58" i="142"/>
  <c r="A69" i="142"/>
  <c r="A155" i="142"/>
  <c r="A136" i="142"/>
  <c r="A113" i="142"/>
  <c r="A177" i="142"/>
  <c r="A70" i="142"/>
  <c r="A184" i="142" s="1"/>
  <c r="AA126" i="112"/>
  <c r="L164" i="142"/>
  <c r="A134" i="142"/>
  <c r="A175" i="142"/>
  <c r="A67" i="142"/>
  <c r="A153" i="142"/>
  <c r="A111" i="142"/>
  <c r="A66" i="142"/>
  <c r="A133" i="142"/>
  <c r="A174" i="142"/>
  <c r="A152" i="142"/>
  <c r="A110" i="142"/>
  <c r="AA202" i="112"/>
  <c r="A120" i="112"/>
  <c r="H11" i="112"/>
  <c r="A64" i="142"/>
  <c r="A108" i="142"/>
  <c r="A150" i="142"/>
  <c r="A131" i="142"/>
  <c r="A172" i="142"/>
  <c r="A63" i="142"/>
  <c r="A171" i="142"/>
  <c r="A149" i="142"/>
  <c r="A130" i="142"/>
  <c r="A107" i="142"/>
  <c r="A106" i="142"/>
  <c r="A170" i="142"/>
  <c r="A129" i="142"/>
  <c r="A148" i="142"/>
  <c r="A62" i="142"/>
  <c r="AA233" i="112"/>
  <c r="Y12" i="112"/>
  <c r="Z12" i="112" s="1"/>
  <c r="B19" i="112"/>
  <c r="P18" i="112" s="1"/>
  <c r="A153" i="112"/>
  <c r="A155" i="112"/>
  <c r="B14" i="112"/>
  <c r="B145" i="112" s="1"/>
  <c r="A149" i="112"/>
  <c r="D140" i="112"/>
  <c r="F140" i="112" s="1"/>
  <c r="J14" i="112"/>
  <c r="AK229" i="112"/>
  <c r="K14" i="112"/>
  <c r="C100" i="112"/>
  <c r="A100" i="112" s="1"/>
  <c r="D44" i="134"/>
  <c r="A157" i="112"/>
  <c r="E14" i="112"/>
  <c r="O15" i="112"/>
  <c r="D14" i="112"/>
  <c r="B187" i="112"/>
  <c r="D199" i="112" s="1"/>
  <c r="U15" i="112"/>
  <c r="A236" i="112"/>
  <c r="F80" i="112"/>
  <c r="N18" i="112"/>
  <c r="N5" i="112" s="1"/>
  <c r="AI102" i="112"/>
  <c r="AI103" i="112" s="1"/>
  <c r="AI104" i="112" s="1"/>
  <c r="AI105" i="112" s="1"/>
  <c r="AI106" i="112" s="1"/>
  <c r="AI107" i="112" s="1"/>
  <c r="AI108" i="112" s="1"/>
  <c r="AI109" i="112" s="1"/>
  <c r="AI110" i="112" s="1"/>
  <c r="AI111" i="112" s="1"/>
  <c r="AI112" i="112" s="1"/>
  <c r="AI113" i="112" s="1"/>
  <c r="AI114" i="112" s="1"/>
  <c r="AI115" i="112" s="1"/>
  <c r="AI116" i="112" s="1"/>
  <c r="AI117" i="112" s="1"/>
  <c r="AI118" i="112" s="1"/>
  <c r="AI119" i="112" s="1"/>
  <c r="AI120" i="112" s="1"/>
  <c r="AI121" i="112" s="1"/>
  <c r="AI122" i="112" s="1"/>
  <c r="AI123" i="112" s="1"/>
  <c r="AI124" i="112" s="1"/>
  <c r="AI125" i="112" s="1"/>
  <c r="AI126" i="112" s="1"/>
  <c r="AI127" i="112" s="1"/>
  <c r="AI128" i="112" s="1"/>
  <c r="AI129" i="112" s="1"/>
  <c r="AI130" i="112" s="1"/>
  <c r="AI131" i="112" s="1"/>
  <c r="AI132" i="112" s="1"/>
  <c r="AI133" i="112" s="1"/>
  <c r="AI134" i="112" s="1"/>
  <c r="AI135" i="112" s="1"/>
  <c r="AI136" i="112" s="1"/>
  <c r="AI137" i="112" s="1"/>
  <c r="AI138" i="112" s="1"/>
  <c r="AI139" i="112" s="1"/>
  <c r="AI140" i="112" s="1"/>
  <c r="AI141" i="112" s="1"/>
  <c r="AI142" i="112" s="1"/>
  <c r="AI143" i="112" s="1"/>
  <c r="AI144" i="112" s="1"/>
  <c r="AI145" i="112" s="1"/>
  <c r="AI146" i="112" s="1"/>
  <c r="AI147" i="112" s="1"/>
  <c r="AI148" i="112" s="1"/>
  <c r="AI149" i="112" s="1"/>
  <c r="AI150" i="112" s="1"/>
  <c r="AI151" i="112" s="1"/>
  <c r="AI152" i="112" s="1"/>
  <c r="AI153" i="112" s="1"/>
  <c r="AI154" i="112" s="1"/>
  <c r="AI155" i="112" s="1"/>
  <c r="AI156" i="112" s="1"/>
  <c r="AI157" i="112" s="1"/>
  <c r="AI158" i="112" s="1"/>
  <c r="AI159" i="112" s="1"/>
  <c r="AI160" i="112" s="1"/>
  <c r="AI161" i="112" s="1"/>
  <c r="AI162" i="112" s="1"/>
  <c r="AI163" i="112" s="1"/>
  <c r="AI164" i="112" s="1"/>
  <c r="AI165" i="112" s="1"/>
  <c r="AI166" i="112" s="1"/>
  <c r="D138" i="112"/>
  <c r="D143" i="112"/>
  <c r="T12" i="112"/>
  <c r="A175" i="112"/>
  <c r="C143" i="112"/>
  <c r="A143" i="112" s="1"/>
  <c r="A226" i="112"/>
  <c r="A148" i="112"/>
  <c r="V17" i="112"/>
  <c r="A131" i="112"/>
  <c r="A209" i="112"/>
  <c r="A238" i="112"/>
  <c r="D137" i="112"/>
  <c r="O17" i="112"/>
  <c r="A251" i="112"/>
  <c r="D130" i="112"/>
  <c r="P17" i="112"/>
  <c r="A190" i="112"/>
  <c r="A213" i="112"/>
  <c r="A98" i="112"/>
  <c r="C93" i="112"/>
  <c r="A93" i="112" s="1"/>
  <c r="A225" i="112"/>
  <c r="A47" i="112"/>
  <c r="C242" i="112"/>
  <c r="A242" i="112" s="1"/>
  <c r="C182" i="112"/>
  <c r="A182" i="112" s="1"/>
  <c r="AK188" i="112"/>
  <c r="A127" i="112"/>
  <c r="C220" i="112"/>
  <c r="A220" i="112" s="1"/>
  <c r="A51" i="112"/>
  <c r="D18" i="112"/>
  <c r="D129" i="112"/>
  <c r="A171" i="112"/>
  <c r="C201" i="112"/>
  <c r="A201" i="112" s="1"/>
  <c r="C159" i="112"/>
  <c r="A159" i="112" s="1"/>
  <c r="H78" i="134"/>
  <c r="D136" i="112"/>
  <c r="C138" i="112"/>
  <c r="A138" i="112" s="1"/>
  <c r="G91" i="134"/>
  <c r="D141" i="112"/>
  <c r="B141" i="112" s="1"/>
  <c r="A152" i="112"/>
  <c r="F178" i="142"/>
  <c r="F123" i="142"/>
  <c r="F99" i="142"/>
  <c r="F156" i="142"/>
  <c r="F114" i="142"/>
  <c r="F137" i="142"/>
  <c r="F160" i="142"/>
  <c r="F161" i="142"/>
  <c r="F149" i="142"/>
  <c r="F152" i="142"/>
  <c r="F155" i="142"/>
  <c r="F165" i="142"/>
  <c r="F154" i="142"/>
  <c r="F151" i="142"/>
  <c r="F150" i="142"/>
  <c r="F153" i="142"/>
  <c r="F148" i="142"/>
  <c r="F147" i="142"/>
  <c r="F157" i="142"/>
  <c r="F158" i="142"/>
  <c r="F164" i="142"/>
  <c r="F159" i="142"/>
  <c r="F171" i="142"/>
  <c r="F118" i="142"/>
  <c r="F177" i="142"/>
  <c r="F109" i="142"/>
  <c r="F133" i="142"/>
  <c r="F122" i="142"/>
  <c r="F135" i="142"/>
  <c r="F128" i="142"/>
  <c r="F95" i="142"/>
  <c r="F170" i="142"/>
  <c r="F83" i="142"/>
  <c r="F112" i="142"/>
  <c r="F105" i="142"/>
  <c r="F172" i="142"/>
  <c r="F132" i="142"/>
  <c r="F87" i="142"/>
  <c r="F107" i="142"/>
  <c r="F98" i="142"/>
  <c r="F130" i="142"/>
  <c r="F142" i="142"/>
  <c r="F117" i="142"/>
  <c r="F131" i="142"/>
  <c r="F108" i="142"/>
  <c r="F119" i="142"/>
  <c r="F136" i="142"/>
  <c r="F113" i="142"/>
  <c r="F92" i="142"/>
  <c r="F176" i="142"/>
  <c r="F139" i="142"/>
  <c r="F93" i="142"/>
  <c r="F88" i="142"/>
  <c r="F116" i="142"/>
  <c r="F91" i="142"/>
  <c r="F141" i="142"/>
  <c r="F134" i="142"/>
  <c r="F140" i="142"/>
  <c r="F175" i="142"/>
  <c r="F89" i="142"/>
  <c r="F138" i="142"/>
  <c r="F86" i="142"/>
  <c r="F110" i="142"/>
  <c r="F183" i="142"/>
  <c r="F182" i="142"/>
  <c r="F186" i="142"/>
  <c r="F115" i="142"/>
  <c r="F180" i="142"/>
  <c r="F82" i="142"/>
  <c r="F84" i="142"/>
  <c r="F179" i="142"/>
  <c r="F174" i="142"/>
  <c r="F111" i="142"/>
  <c r="F173" i="142"/>
  <c r="F129" i="142"/>
  <c r="F181" i="142"/>
  <c r="F81" i="142"/>
  <c r="F94" i="142"/>
  <c r="F169" i="142"/>
  <c r="F106" i="142"/>
  <c r="F143" i="142"/>
  <c r="G47" i="134"/>
  <c r="G104" i="134"/>
  <c r="H88" i="134"/>
  <c r="G94" i="134"/>
  <c r="R186" i="134"/>
  <c r="R189" i="134" s="1"/>
  <c r="G101" i="134"/>
  <c r="H81" i="134"/>
  <c r="G68" i="134"/>
  <c r="H67" i="134"/>
  <c r="G64" i="134"/>
  <c r="AD165" i="112"/>
  <c r="D170" i="112"/>
  <c r="AB142" i="112"/>
  <c r="AG165" i="112"/>
  <c r="AC142" i="112"/>
  <c r="AC165" i="112"/>
  <c r="AF142" i="112"/>
  <c r="AF165" i="112"/>
  <c r="D126" i="112"/>
  <c r="AB165" i="112"/>
  <c r="AD142" i="112"/>
  <c r="AG142" i="112"/>
  <c r="AE165" i="112"/>
  <c r="AE142" i="112"/>
  <c r="D127" i="112"/>
  <c r="D172" i="112"/>
  <c r="A232" i="112"/>
  <c r="D131" i="112"/>
  <c r="D175" i="112"/>
  <c r="A141" i="112"/>
  <c r="D132" i="112"/>
  <c r="D176" i="112"/>
  <c r="D133" i="112"/>
  <c r="B228" i="112"/>
  <c r="D236" i="112" s="1"/>
  <c r="K12" i="112"/>
  <c r="P12" i="112"/>
  <c r="V10" i="112"/>
  <c r="L15" i="112"/>
  <c r="B17" i="112"/>
  <c r="U16" i="112" s="1"/>
  <c r="L10" i="112"/>
  <c r="G55" i="134"/>
  <c r="G77" i="134"/>
  <c r="G65" i="134"/>
  <c r="G108" i="134"/>
  <c r="G96" i="134"/>
  <c r="G89" i="134"/>
  <c r="H89" i="134" s="1"/>
  <c r="H70" i="134"/>
  <c r="G93" i="134"/>
  <c r="G99" i="134"/>
  <c r="G83" i="134"/>
  <c r="G84" i="134"/>
  <c r="G71" i="134"/>
  <c r="G105" i="134"/>
  <c r="G75" i="134"/>
  <c r="G80" i="134"/>
  <c r="G106" i="134"/>
  <c r="H106" i="134" s="1"/>
  <c r="G69" i="134"/>
  <c r="G76" i="134"/>
  <c r="G107" i="134"/>
  <c r="S18" i="112"/>
  <c r="T17" i="112"/>
  <c r="Y17" i="112"/>
  <c r="Z17" i="112" s="1"/>
  <c r="H66" i="134"/>
  <c r="Y13" i="112"/>
  <c r="Z13" i="112" s="1"/>
  <c r="S14" i="112"/>
  <c r="C177" i="112"/>
  <c r="D128" i="112"/>
  <c r="C137" i="112"/>
  <c r="D139" i="112"/>
  <c r="D134" i="112"/>
  <c r="D184" i="112"/>
  <c r="D171" i="112"/>
  <c r="D177" i="112"/>
  <c r="A173" i="112"/>
  <c r="A253" i="112"/>
  <c r="A49" i="112"/>
  <c r="A129" i="112"/>
  <c r="A64" i="112"/>
  <c r="A84" i="112" s="1"/>
  <c r="A150" i="112"/>
  <c r="A192" i="112"/>
  <c r="A211" i="112"/>
  <c r="J18" i="112"/>
  <c r="L18" i="112"/>
  <c r="A231" i="112"/>
  <c r="L19" i="112"/>
  <c r="L12" i="112"/>
  <c r="E10" i="112"/>
  <c r="C12" i="112"/>
  <c r="G15" i="112"/>
  <c r="X14" i="112" s="1"/>
  <c r="H16" i="112"/>
  <c r="F14" i="112"/>
  <c r="F11" i="112"/>
  <c r="G12" i="112"/>
  <c r="H15" i="112"/>
  <c r="I16" i="112"/>
  <c r="F18" i="112"/>
  <c r="C11" i="112"/>
  <c r="I15" i="112"/>
  <c r="C19" i="112"/>
  <c r="G11" i="112"/>
  <c r="H12" i="112"/>
  <c r="C18" i="112"/>
  <c r="G19" i="112"/>
  <c r="X18" i="112" s="1"/>
  <c r="H14" i="112"/>
  <c r="I12" i="112"/>
  <c r="F17" i="112"/>
  <c r="G18" i="112"/>
  <c r="H19" i="112"/>
  <c r="I14" i="112"/>
  <c r="F16" i="112"/>
  <c r="H18" i="112"/>
  <c r="I19" i="112"/>
  <c r="F10" i="112"/>
  <c r="D11" i="112"/>
  <c r="D12" i="112"/>
  <c r="I18" i="112"/>
  <c r="C10" i="112"/>
  <c r="C17" i="112"/>
  <c r="E19" i="112"/>
  <c r="G10" i="112"/>
  <c r="X10" i="112" s="1"/>
  <c r="I11" i="112"/>
  <c r="C16" i="112"/>
  <c r="G17" i="112"/>
  <c r="X16" i="112" s="1"/>
  <c r="H10" i="112"/>
  <c r="H17" i="112"/>
  <c r="F19" i="112"/>
  <c r="I10" i="112"/>
  <c r="E11" i="112"/>
  <c r="K122" i="112" s="1"/>
  <c r="L122" i="112" s="1"/>
  <c r="F12" i="112"/>
  <c r="F15" i="112"/>
  <c r="C15" i="112"/>
  <c r="G16" i="112"/>
  <c r="I17" i="112"/>
  <c r="L14" i="112"/>
  <c r="L16" i="112"/>
  <c r="L11" i="112"/>
  <c r="B11" i="112"/>
  <c r="L17" i="112"/>
  <c r="K17" i="112"/>
  <c r="E104" i="112"/>
  <c r="F104" i="112" s="1"/>
  <c r="G104" i="112" s="1"/>
  <c r="H104" i="112" s="1"/>
  <c r="G82" i="134"/>
  <c r="AE58" i="112"/>
  <c r="E44" i="134"/>
  <c r="G79" i="134"/>
  <c r="G102" i="134"/>
  <c r="G63" i="134"/>
  <c r="G90" i="134"/>
  <c r="G100" i="134"/>
  <c r="G92" i="134"/>
  <c r="F48" i="134"/>
  <c r="E49" i="134"/>
  <c r="G95" i="134"/>
  <c r="G103" i="134"/>
  <c r="F46" i="134"/>
  <c r="F200" i="134"/>
  <c r="H200" i="134"/>
  <c r="I200" i="134" s="1"/>
  <c r="C14" i="112"/>
  <c r="K157" i="112" s="1"/>
  <c r="D174" i="112" l="1"/>
  <c r="C175" i="112"/>
  <c r="C170" i="112"/>
  <c r="C174" i="112"/>
  <c r="C195" i="112"/>
  <c r="C173" i="112"/>
  <c r="C194" i="112"/>
  <c r="C184" i="112"/>
  <c r="A184" i="112" s="1"/>
  <c r="C197" i="112"/>
  <c r="C178" i="112"/>
  <c r="C196" i="112"/>
  <c r="D201" i="112"/>
  <c r="F201" i="112" s="1"/>
  <c r="C203" i="112"/>
  <c r="C176" i="112"/>
  <c r="C189" i="112"/>
  <c r="D178" i="112"/>
  <c r="D183" i="112"/>
  <c r="F183" i="112" s="1"/>
  <c r="D180" i="112"/>
  <c r="D181" i="112"/>
  <c r="B183" i="112"/>
  <c r="D185" i="112"/>
  <c r="C192" i="112"/>
  <c r="C190" i="112"/>
  <c r="C191" i="112"/>
  <c r="D182" i="112"/>
  <c r="F182" i="112" s="1"/>
  <c r="D173" i="112"/>
  <c r="AI113" i="142"/>
  <c r="AI174" i="142"/>
  <c r="AI172" i="142"/>
  <c r="AI133" i="142"/>
  <c r="AI136" i="142"/>
  <c r="AI131" i="142"/>
  <c r="AI155" i="142"/>
  <c r="AI148" i="142"/>
  <c r="AI150" i="142"/>
  <c r="AI111" i="142"/>
  <c r="AI129" i="142"/>
  <c r="AI153" i="142"/>
  <c r="AI108" i="142"/>
  <c r="AI170" i="142"/>
  <c r="AI175" i="142"/>
  <c r="AI106" i="142"/>
  <c r="AI134" i="142"/>
  <c r="AI147" i="142"/>
  <c r="AI107" i="142"/>
  <c r="AI81" i="142"/>
  <c r="AI130" i="142"/>
  <c r="AI128" i="142"/>
  <c r="AI110" i="142"/>
  <c r="AP184" i="142"/>
  <c r="AI184" i="142"/>
  <c r="AI169" i="142"/>
  <c r="AI149" i="142"/>
  <c r="AI171" i="142"/>
  <c r="AI152" i="142"/>
  <c r="AI177" i="142"/>
  <c r="AI105" i="142"/>
  <c r="C127" i="112"/>
  <c r="F176" i="112"/>
  <c r="F170" i="112"/>
  <c r="F174" i="112"/>
  <c r="C265" i="112"/>
  <c r="A265" i="112" s="1"/>
  <c r="AA219" i="112"/>
  <c r="AA256" i="112"/>
  <c r="AA161" i="112"/>
  <c r="AA184" i="112"/>
  <c r="AA258" i="112"/>
  <c r="AA91" i="112"/>
  <c r="AA157" i="112"/>
  <c r="AA180" i="112"/>
  <c r="AA209" i="112"/>
  <c r="AA251" i="112"/>
  <c r="AA82" i="112"/>
  <c r="AA171" i="112"/>
  <c r="AA260" i="112"/>
  <c r="C171" i="112"/>
  <c r="AA92" i="112"/>
  <c r="AA261" i="112"/>
  <c r="AA181" i="112"/>
  <c r="AA158" i="112"/>
  <c r="B185" i="112"/>
  <c r="B170" i="112"/>
  <c r="B172" i="112"/>
  <c r="L157" i="112"/>
  <c r="J20" i="112"/>
  <c r="D191" i="112"/>
  <c r="D190" i="112"/>
  <c r="D196" i="112"/>
  <c r="B196" i="112" s="1"/>
  <c r="D194" i="112"/>
  <c r="B194" i="112" s="1"/>
  <c r="D195" i="112"/>
  <c r="D189" i="112"/>
  <c r="B189" i="112" s="1"/>
  <c r="D21" i="134"/>
  <c r="D19" i="134"/>
  <c r="D18" i="134"/>
  <c r="D17" i="134"/>
  <c r="D16" i="134"/>
  <c r="D15" i="134"/>
  <c r="D14" i="134"/>
  <c r="D20" i="134"/>
  <c r="D22" i="134"/>
  <c r="D89" i="112"/>
  <c r="D82" i="112"/>
  <c r="D86" i="112"/>
  <c r="D87" i="112"/>
  <c r="D83" i="112"/>
  <c r="D81" i="112"/>
  <c r="D88" i="112"/>
  <c r="A46" i="112"/>
  <c r="A189" i="112"/>
  <c r="A61" i="112"/>
  <c r="A208" i="112"/>
  <c r="A126" i="112"/>
  <c r="A170" i="112"/>
  <c r="K62" i="112"/>
  <c r="O18" i="112"/>
  <c r="K98" i="112"/>
  <c r="L98" i="112" s="1"/>
  <c r="B175" i="112"/>
  <c r="U10" i="112"/>
  <c r="E121" i="142"/>
  <c r="L97" i="142"/>
  <c r="B181" i="112"/>
  <c r="E163" i="112"/>
  <c r="AA97" i="112"/>
  <c r="F199" i="112"/>
  <c r="A147" i="112"/>
  <c r="O10" i="112"/>
  <c r="K91" i="112"/>
  <c r="L91" i="112" s="1"/>
  <c r="D242" i="112"/>
  <c r="D232" i="112"/>
  <c r="D192" i="112"/>
  <c r="P10" i="112"/>
  <c r="A250" i="112"/>
  <c r="K94" i="112"/>
  <c r="L94" i="112" s="1"/>
  <c r="K138" i="112"/>
  <c r="L138" i="112" s="1"/>
  <c r="D204" i="112"/>
  <c r="F204" i="112" s="1"/>
  <c r="D200" i="112"/>
  <c r="D197" i="112"/>
  <c r="B197" i="112" s="1"/>
  <c r="D202" i="112"/>
  <c r="C200" i="112"/>
  <c r="A200" i="112" s="1"/>
  <c r="D203" i="112"/>
  <c r="D193" i="112"/>
  <c r="F193" i="112" s="1"/>
  <c r="B199" i="112"/>
  <c r="A162" i="142"/>
  <c r="D150" i="112"/>
  <c r="D163" i="112"/>
  <c r="D162" i="112"/>
  <c r="A120" i="142"/>
  <c r="D97" i="112"/>
  <c r="D96" i="112"/>
  <c r="AI167" i="112"/>
  <c r="AI168" i="112" s="1"/>
  <c r="AI169" i="112" s="1"/>
  <c r="AI170" i="112" s="1"/>
  <c r="AI171" i="112" s="1"/>
  <c r="AI172" i="112" s="1"/>
  <c r="AI173" i="112" s="1"/>
  <c r="AI174" i="112" s="1"/>
  <c r="AI175" i="112" s="1"/>
  <c r="AI176" i="112" s="1"/>
  <c r="AI177" i="112" s="1"/>
  <c r="AI178" i="112" s="1"/>
  <c r="AI179" i="112" s="1"/>
  <c r="AI180" i="112" s="1"/>
  <c r="AI181" i="112" s="1"/>
  <c r="AI182" i="112" s="1"/>
  <c r="AI183" i="112" s="1"/>
  <c r="AI184" i="112" s="1"/>
  <c r="AI185" i="112" s="1"/>
  <c r="AI186" i="112" s="1"/>
  <c r="AI187" i="112" s="1"/>
  <c r="AI188" i="112" s="1"/>
  <c r="AI189" i="112" s="1"/>
  <c r="AI190" i="112" s="1"/>
  <c r="AI191" i="112" s="1"/>
  <c r="AI192" i="112" s="1"/>
  <c r="AI193" i="112" s="1"/>
  <c r="AI194" i="112" s="1"/>
  <c r="AI195" i="112" s="1"/>
  <c r="AI196" i="112" s="1"/>
  <c r="AI197" i="112" s="1"/>
  <c r="AI198" i="112" s="1"/>
  <c r="AI199" i="112" s="1"/>
  <c r="AI200" i="112" s="1"/>
  <c r="AI201" i="112" s="1"/>
  <c r="AI202" i="112" s="1"/>
  <c r="AI203" i="112" s="1"/>
  <c r="AI204" i="112" s="1"/>
  <c r="AI205" i="112" s="1"/>
  <c r="AI206" i="112" s="1"/>
  <c r="AI207" i="112" s="1"/>
  <c r="AI208" i="112" s="1"/>
  <c r="AI209" i="112" s="1"/>
  <c r="AI210" i="112" s="1"/>
  <c r="AI211" i="112" s="1"/>
  <c r="AI212" i="112" s="1"/>
  <c r="AI213" i="112" s="1"/>
  <c r="AI214" i="112" s="1"/>
  <c r="AI215" i="112" s="1"/>
  <c r="AI216" i="112" s="1"/>
  <c r="AI217" i="112" s="1"/>
  <c r="AI218" i="112" s="1"/>
  <c r="AI219" i="112" s="1"/>
  <c r="AI220" i="112" s="1"/>
  <c r="AI221" i="112" s="1"/>
  <c r="AI222" i="112" s="1"/>
  <c r="AI223" i="112" s="1"/>
  <c r="AI224" i="112" s="1"/>
  <c r="AI225" i="112" s="1"/>
  <c r="AI226" i="112" s="1"/>
  <c r="A96" i="142"/>
  <c r="C112" i="112"/>
  <c r="V18" i="112"/>
  <c r="D101" i="112"/>
  <c r="B127" i="112"/>
  <c r="H164" i="142"/>
  <c r="C258" i="112"/>
  <c r="C250" i="112"/>
  <c r="C254" i="112"/>
  <c r="C253" i="112"/>
  <c r="L140" i="142"/>
  <c r="K69" i="112"/>
  <c r="K143" i="112"/>
  <c r="L143" i="112" s="1"/>
  <c r="A82" i="142"/>
  <c r="L165" i="142"/>
  <c r="H165" i="142" s="1"/>
  <c r="L116" i="142"/>
  <c r="H116" i="142" s="1"/>
  <c r="K69" i="142"/>
  <c r="K177" i="142" s="1"/>
  <c r="L177" i="142" s="1"/>
  <c r="C69" i="142"/>
  <c r="I69" i="142"/>
  <c r="H69" i="142"/>
  <c r="K136" i="142" s="1"/>
  <c r="L136" i="142" s="1"/>
  <c r="E69" i="142"/>
  <c r="G69" i="142"/>
  <c r="K113" i="142" s="1"/>
  <c r="L113" i="142" s="1"/>
  <c r="J69" i="142"/>
  <c r="K155" i="142" s="1"/>
  <c r="L155" i="142" s="1"/>
  <c r="L115" i="142"/>
  <c r="L92" i="142"/>
  <c r="L159" i="142"/>
  <c r="L91" i="142"/>
  <c r="A53" i="112"/>
  <c r="A215" i="112"/>
  <c r="A196" i="112"/>
  <c r="A68" i="112"/>
  <c r="A88" i="112" s="1"/>
  <c r="A177" i="112"/>
  <c r="A133" i="112"/>
  <c r="L186" i="142"/>
  <c r="A84" i="142"/>
  <c r="A89" i="142"/>
  <c r="A68" i="142"/>
  <c r="A154" i="142"/>
  <c r="A176" i="142"/>
  <c r="A135" i="142"/>
  <c r="A112" i="142"/>
  <c r="K181" i="112"/>
  <c r="L181" i="112" s="1"/>
  <c r="B248" i="112"/>
  <c r="D267" i="112" s="1"/>
  <c r="L122" i="142"/>
  <c r="H122" i="142" s="1"/>
  <c r="L158" i="142"/>
  <c r="L117" i="142"/>
  <c r="H117" i="142" s="1"/>
  <c r="L157" i="142"/>
  <c r="B174" i="112"/>
  <c r="U18" i="112"/>
  <c r="L143" i="142"/>
  <c r="H143" i="142" s="1"/>
  <c r="L139" i="142"/>
  <c r="L181" i="142"/>
  <c r="H181" i="142" s="1"/>
  <c r="L141" i="142"/>
  <c r="H141" i="142" s="1"/>
  <c r="K66" i="142"/>
  <c r="K174" i="142" s="1"/>
  <c r="L174" i="142" s="1"/>
  <c r="C66" i="142"/>
  <c r="H66" i="142"/>
  <c r="K133" i="142" s="1"/>
  <c r="L133" i="142" s="1"/>
  <c r="E66" i="142"/>
  <c r="J66" i="142"/>
  <c r="K152" i="142" s="1"/>
  <c r="L152" i="142" s="1"/>
  <c r="G66" i="142"/>
  <c r="K110" i="142" s="1"/>
  <c r="L110" i="142" s="1"/>
  <c r="I66" i="142"/>
  <c r="L138" i="142"/>
  <c r="H138" i="142" s="1"/>
  <c r="L180" i="142"/>
  <c r="AY179" i="142" s="1"/>
  <c r="K70" i="112"/>
  <c r="K240" i="112"/>
  <c r="L240" i="112" s="1"/>
  <c r="L93" i="142"/>
  <c r="H93" i="142" s="1"/>
  <c r="A86" i="142"/>
  <c r="A87" i="142"/>
  <c r="K70" i="142"/>
  <c r="C70" i="142"/>
  <c r="H70" i="142"/>
  <c r="J70" i="142"/>
  <c r="G70" i="142"/>
  <c r="I70" i="142"/>
  <c r="E70" i="142"/>
  <c r="L179" i="142"/>
  <c r="K67" i="112"/>
  <c r="K62" i="142"/>
  <c r="K170" i="142" s="1"/>
  <c r="L170" i="142" s="1"/>
  <c r="I62" i="142"/>
  <c r="H62" i="142"/>
  <c r="K129" i="142" s="1"/>
  <c r="L129" i="142" s="1"/>
  <c r="E62" i="142"/>
  <c r="C62" i="142"/>
  <c r="G62" i="142"/>
  <c r="K106" i="142" s="1"/>
  <c r="L106" i="142" s="1"/>
  <c r="J62" i="142"/>
  <c r="K148" i="142" s="1"/>
  <c r="L148" i="142" s="1"/>
  <c r="A122" i="142"/>
  <c r="A140" i="142"/>
  <c r="A164" i="142"/>
  <c r="A159" i="142"/>
  <c r="A91" i="142"/>
  <c r="A115" i="142"/>
  <c r="A182" i="142"/>
  <c r="A93" i="142"/>
  <c r="A138" i="142"/>
  <c r="A186" i="142"/>
  <c r="A157" i="142"/>
  <c r="A118" i="142"/>
  <c r="A117" i="142"/>
  <c r="A160" i="142"/>
  <c r="A181" i="142"/>
  <c r="A141" i="142"/>
  <c r="A98" i="142"/>
  <c r="A165" i="142"/>
  <c r="A143" i="142"/>
  <c r="A179" i="142"/>
  <c r="A94" i="142"/>
  <c r="A158" i="142"/>
  <c r="A92" i="142"/>
  <c r="A119" i="142"/>
  <c r="A183" i="142"/>
  <c r="A139" i="142"/>
  <c r="A116" i="142"/>
  <c r="A161" i="142"/>
  <c r="A95" i="142"/>
  <c r="A180" i="142"/>
  <c r="A142" i="142"/>
  <c r="A193" i="112"/>
  <c r="A50" i="112"/>
  <c r="A174" i="112"/>
  <c r="A65" i="112"/>
  <c r="A85" i="112" s="1"/>
  <c r="A212" i="112"/>
  <c r="A130" i="112"/>
  <c r="A254" i="112"/>
  <c r="L118" i="142"/>
  <c r="A65" i="142"/>
  <c r="A132" i="142"/>
  <c r="A151" i="142"/>
  <c r="A109" i="142"/>
  <c r="A173" i="142"/>
  <c r="F185" i="112"/>
  <c r="K64" i="142"/>
  <c r="K172" i="142" s="1"/>
  <c r="L172" i="142" s="1"/>
  <c r="C64" i="142"/>
  <c r="H64" i="142"/>
  <c r="K131" i="142" s="1"/>
  <c r="L131" i="142" s="1"/>
  <c r="E64" i="142"/>
  <c r="G64" i="142"/>
  <c r="K108" i="142" s="1"/>
  <c r="L108" i="142" s="1"/>
  <c r="I64" i="142"/>
  <c r="J64" i="142"/>
  <c r="K150" i="142" s="1"/>
  <c r="L150" i="142" s="1"/>
  <c r="A83" i="142"/>
  <c r="L160" i="142"/>
  <c r="K67" i="142"/>
  <c r="K175" i="142" s="1"/>
  <c r="L175" i="142" s="1"/>
  <c r="J67" i="142"/>
  <c r="K153" i="142" s="1"/>
  <c r="L153" i="142" s="1"/>
  <c r="I67" i="142"/>
  <c r="E67" i="142"/>
  <c r="C67" i="142"/>
  <c r="H67" i="142"/>
  <c r="K134" i="142" s="1"/>
  <c r="L134" i="142" s="1"/>
  <c r="G67" i="142"/>
  <c r="K111" i="142" s="1"/>
  <c r="L111" i="142" s="1"/>
  <c r="K100" i="112"/>
  <c r="L100" i="112" s="1"/>
  <c r="H100" i="112" s="1"/>
  <c r="K63" i="142"/>
  <c r="K171" i="142" s="1"/>
  <c r="L171" i="142" s="1"/>
  <c r="I63" i="142"/>
  <c r="G63" i="142"/>
  <c r="K107" i="142" s="1"/>
  <c r="L107" i="142" s="1"/>
  <c r="E63" i="142"/>
  <c r="J63" i="142"/>
  <c r="K149" i="142" s="1"/>
  <c r="L149" i="142" s="1"/>
  <c r="C63" i="142"/>
  <c r="H63" i="142"/>
  <c r="K130" i="142" s="1"/>
  <c r="L130" i="142" s="1"/>
  <c r="L182" i="142"/>
  <c r="H182" i="142" s="1"/>
  <c r="A257" i="112"/>
  <c r="K63" i="112"/>
  <c r="L98" i="142"/>
  <c r="H98" i="142" s="1"/>
  <c r="L94" i="142"/>
  <c r="F181" i="112"/>
  <c r="C134" i="112"/>
  <c r="B134" i="112" s="1"/>
  <c r="C132" i="112"/>
  <c r="B132" i="112" s="1"/>
  <c r="L269" i="112"/>
  <c r="F173" i="112"/>
  <c r="P13" i="112"/>
  <c r="O13" i="112"/>
  <c r="V13" i="112"/>
  <c r="U13" i="112"/>
  <c r="C95" i="112"/>
  <c r="A95" i="112" s="1"/>
  <c r="C106" i="112"/>
  <c r="D92" i="112"/>
  <c r="C92" i="112"/>
  <c r="A92" i="112" s="1"/>
  <c r="D91" i="112"/>
  <c r="D84" i="112"/>
  <c r="D95" i="112"/>
  <c r="D94" i="112"/>
  <c r="D85" i="112"/>
  <c r="D98" i="112"/>
  <c r="D100" i="112"/>
  <c r="D93" i="112"/>
  <c r="B93" i="112" s="1"/>
  <c r="B176" i="112"/>
  <c r="K93" i="112"/>
  <c r="L93" i="112" s="1"/>
  <c r="D157" i="112"/>
  <c r="D152" i="112"/>
  <c r="B138" i="112"/>
  <c r="V16" i="112"/>
  <c r="D161" i="112"/>
  <c r="D151" i="112"/>
  <c r="D153" i="112"/>
  <c r="D147" i="112"/>
  <c r="D159" i="112"/>
  <c r="D164" i="112"/>
  <c r="C158" i="112"/>
  <c r="A158" i="112" s="1"/>
  <c r="D154" i="112"/>
  <c r="D149" i="112"/>
  <c r="D158" i="112"/>
  <c r="D155" i="112"/>
  <c r="D160" i="112"/>
  <c r="D166" i="112"/>
  <c r="F178" i="112"/>
  <c r="D148" i="112"/>
  <c r="F89" i="112"/>
  <c r="F180" i="112"/>
  <c r="B180" i="112"/>
  <c r="F203" i="112"/>
  <c r="G80" i="112"/>
  <c r="A235" i="112"/>
  <c r="K66" i="112"/>
  <c r="B143" i="112"/>
  <c r="B182" i="112"/>
  <c r="F141" i="112"/>
  <c r="B136" i="112"/>
  <c r="F136" i="112"/>
  <c r="F143" i="112" s="1"/>
  <c r="C232" i="112"/>
  <c r="B232" i="112" s="1"/>
  <c r="C235" i="112"/>
  <c r="C233" i="112"/>
  <c r="C236" i="112"/>
  <c r="B236" i="112" s="1"/>
  <c r="C238" i="112"/>
  <c r="C231" i="112"/>
  <c r="C244" i="112"/>
  <c r="A244" i="112" s="1"/>
  <c r="C237" i="112"/>
  <c r="C230" i="112"/>
  <c r="C234" i="112"/>
  <c r="F129" i="112"/>
  <c r="D262" i="112"/>
  <c r="F130" i="112"/>
  <c r="F197" i="112"/>
  <c r="H91" i="134"/>
  <c r="F137" i="112"/>
  <c r="B202" i="112"/>
  <c r="F202" i="112"/>
  <c r="F138" i="112"/>
  <c r="C251" i="112"/>
  <c r="C255" i="112"/>
  <c r="C264" i="112"/>
  <c r="C256" i="112"/>
  <c r="C257" i="112"/>
  <c r="C252" i="112"/>
  <c r="AB182" i="134"/>
  <c r="H201" i="134"/>
  <c r="H225" i="134" s="1"/>
  <c r="G119" i="134"/>
  <c r="H185" i="134"/>
  <c r="H119" i="134"/>
  <c r="F119" i="134"/>
  <c r="D119" i="134"/>
  <c r="W172" i="134" s="1"/>
  <c r="H188" i="134"/>
  <c r="H47" i="134"/>
  <c r="AC10" i="112"/>
  <c r="E20" i="112"/>
  <c r="F201" i="134"/>
  <c r="F225" i="134" s="1"/>
  <c r="H104" i="134"/>
  <c r="E201" i="134"/>
  <c r="E225" i="134" s="1"/>
  <c r="H64" i="134"/>
  <c r="D47" i="134"/>
  <c r="H94" i="134"/>
  <c r="H101" i="134"/>
  <c r="H68" i="134"/>
  <c r="H65" i="134"/>
  <c r="G201" i="134"/>
  <c r="G225" i="134" s="1"/>
  <c r="C119" i="134"/>
  <c r="F172" i="112"/>
  <c r="F189" i="112"/>
  <c r="F133" i="112"/>
  <c r="F194" i="112"/>
  <c r="F126" i="112"/>
  <c r="F195" i="112"/>
  <c r="B195" i="112"/>
  <c r="F127" i="112"/>
  <c r="B206" i="112"/>
  <c r="P16" i="112"/>
  <c r="O16" i="112"/>
  <c r="F190" i="112"/>
  <c r="B190" i="112"/>
  <c r="F132" i="112"/>
  <c r="C126" i="112"/>
  <c r="B126" i="112" s="1"/>
  <c r="C133" i="112"/>
  <c r="B133" i="112" s="1"/>
  <c r="C131" i="112"/>
  <c r="B131" i="112" s="1"/>
  <c r="C128" i="112"/>
  <c r="B128" i="112" s="1"/>
  <c r="C129" i="112"/>
  <c r="B129" i="112" s="1"/>
  <c r="C140" i="112"/>
  <c r="C130" i="112"/>
  <c r="B130" i="112" s="1"/>
  <c r="D244" i="112"/>
  <c r="D237" i="112"/>
  <c r="D246" i="112"/>
  <c r="D235" i="112"/>
  <c r="D238" i="112"/>
  <c r="D245" i="112"/>
  <c r="D240" i="112"/>
  <c r="D231" i="112"/>
  <c r="D230" i="112"/>
  <c r="C241" i="112"/>
  <c r="A241" i="112" s="1"/>
  <c r="D243" i="112"/>
  <c r="D241" i="112"/>
  <c r="D234" i="112"/>
  <c r="D233" i="112"/>
  <c r="F175" i="112"/>
  <c r="K242" i="112"/>
  <c r="L242" i="112" s="1"/>
  <c r="AK176" i="112"/>
  <c r="AD176" i="112" s="1"/>
  <c r="F88" i="112"/>
  <c r="F83" i="112"/>
  <c r="F81" i="112"/>
  <c r="K164" i="112"/>
  <c r="L164" i="112" s="1"/>
  <c r="F196" i="112"/>
  <c r="F131" i="112"/>
  <c r="F191" i="112"/>
  <c r="H77" i="134"/>
  <c r="H55" i="134"/>
  <c r="H108" i="134"/>
  <c r="H96" i="134"/>
  <c r="H76" i="134"/>
  <c r="J200" i="134"/>
  <c r="I201" i="134"/>
  <c r="I225" i="134" s="1"/>
  <c r="H83" i="134"/>
  <c r="H80" i="134"/>
  <c r="H69" i="134"/>
  <c r="H75" i="134"/>
  <c r="H71" i="134"/>
  <c r="H105" i="134"/>
  <c r="H84" i="134"/>
  <c r="H107" i="134"/>
  <c r="H99" i="134"/>
  <c r="H93" i="134"/>
  <c r="AC14" i="112"/>
  <c r="D7" i="112"/>
  <c r="D20" i="112"/>
  <c r="AC11" i="112"/>
  <c r="X17" i="112"/>
  <c r="AC16" i="112"/>
  <c r="E7" i="112"/>
  <c r="K20" i="112"/>
  <c r="K7" i="112"/>
  <c r="AC12" i="112"/>
  <c r="C20" i="112"/>
  <c r="C7" i="112"/>
  <c r="F20" i="112"/>
  <c r="F7" i="112"/>
  <c r="AC17" i="112"/>
  <c r="H20" i="112"/>
  <c r="Y18" i="112"/>
  <c r="Z18" i="112" s="1"/>
  <c r="T18" i="112"/>
  <c r="H7" i="112"/>
  <c r="I20" i="112"/>
  <c r="I7" i="112"/>
  <c r="F148" i="112"/>
  <c r="F150" i="112"/>
  <c r="AC18" i="112"/>
  <c r="K199" i="112"/>
  <c r="AC15" i="112"/>
  <c r="K200" i="112"/>
  <c r="X15" i="112"/>
  <c r="G14" i="112"/>
  <c r="K139" i="112"/>
  <c r="L139" i="112" s="1"/>
  <c r="K182" i="112"/>
  <c r="H92" i="134"/>
  <c r="H122" i="112"/>
  <c r="K243" i="112"/>
  <c r="K159" i="112"/>
  <c r="F236" i="112"/>
  <c r="S15" i="112"/>
  <c r="T14" i="112"/>
  <c r="Y14" i="112"/>
  <c r="Z14" i="112" s="1"/>
  <c r="H95" i="134"/>
  <c r="B242" i="112"/>
  <c r="F242" i="112"/>
  <c r="G46" i="134"/>
  <c r="H46" i="134" s="1"/>
  <c r="E50" i="134"/>
  <c r="F49" i="134"/>
  <c r="K201" i="112"/>
  <c r="F232" i="112"/>
  <c r="A233" i="112"/>
  <c r="K64" i="112"/>
  <c r="G48" i="134"/>
  <c r="H100" i="134"/>
  <c r="H82" i="134"/>
  <c r="A203" i="112"/>
  <c r="B203" i="112"/>
  <c r="K246" i="112"/>
  <c r="H79" i="134"/>
  <c r="K136" i="112"/>
  <c r="B177" i="112"/>
  <c r="F177" i="112"/>
  <c r="H103" i="134"/>
  <c r="B171" i="112"/>
  <c r="F171" i="112"/>
  <c r="F134" i="112"/>
  <c r="H90" i="134"/>
  <c r="K160" i="112"/>
  <c r="K183" i="112"/>
  <c r="K141" i="112"/>
  <c r="B184" i="112"/>
  <c r="F184" i="112"/>
  <c r="B139" i="112"/>
  <c r="F139" i="112"/>
  <c r="U11" i="112"/>
  <c r="C45" i="112" a="1"/>
  <c r="O11" i="112"/>
  <c r="V11" i="112"/>
  <c r="P11" i="112"/>
  <c r="K262" i="112"/>
  <c r="K137" i="112"/>
  <c r="X12" i="112"/>
  <c r="K185" i="112"/>
  <c r="A137" i="112"/>
  <c r="B137" i="112"/>
  <c r="H63" i="134"/>
  <c r="L20" i="112"/>
  <c r="L7" i="112"/>
  <c r="K180" i="112"/>
  <c r="K245" i="112"/>
  <c r="J7" i="112"/>
  <c r="K204" i="112"/>
  <c r="F128" i="112"/>
  <c r="H102" i="134"/>
  <c r="AF58" i="112"/>
  <c r="F44" i="134"/>
  <c r="AE79" i="112"/>
  <c r="K202" i="112"/>
  <c r="H158" i="142" l="1"/>
  <c r="AY157" i="142"/>
  <c r="H139" i="142"/>
  <c r="AY138" i="142"/>
  <c r="H92" i="142"/>
  <c r="AY159" i="142"/>
  <c r="AY141" i="142"/>
  <c r="AY123" i="142"/>
  <c r="AY92" i="142"/>
  <c r="AY183" i="142"/>
  <c r="AY165" i="142"/>
  <c r="AY94" i="142"/>
  <c r="AY98" i="142"/>
  <c r="AY121" i="142"/>
  <c r="AY181" i="142"/>
  <c r="AY163" i="142"/>
  <c r="AY145" i="142"/>
  <c r="AY127" i="142"/>
  <c r="AY97" i="142"/>
  <c r="AY117" i="142"/>
  <c r="AY91" i="142"/>
  <c r="AY139" i="142"/>
  <c r="AY126" i="142"/>
  <c r="AY144" i="142"/>
  <c r="AY119" i="142"/>
  <c r="AY186" i="142"/>
  <c r="AY162" i="142"/>
  <c r="AY137" i="142"/>
  <c r="AY90" i="142"/>
  <c r="AY180" i="142"/>
  <c r="AY120" i="142"/>
  <c r="AY142" i="142"/>
  <c r="AY96" i="142"/>
  <c r="AY95" i="142"/>
  <c r="AY93" i="142"/>
  <c r="AY99" i="142"/>
  <c r="AY140" i="142"/>
  <c r="AY125" i="142"/>
  <c r="AY122" i="142"/>
  <c r="AY160" i="142"/>
  <c r="AY118" i="142"/>
  <c r="AY166" i="142"/>
  <c r="AY116" i="142"/>
  <c r="AY184" i="142"/>
  <c r="AY188" i="142"/>
  <c r="AY114" i="142"/>
  <c r="AY185" i="142"/>
  <c r="AY146" i="142"/>
  <c r="AY158" i="142"/>
  <c r="AY143" i="142"/>
  <c r="AY164" i="142"/>
  <c r="AY167" i="142"/>
  <c r="AY161" i="142"/>
  <c r="AY168" i="142"/>
  <c r="AY156" i="142"/>
  <c r="AY178" i="142"/>
  <c r="AY182" i="142"/>
  <c r="AY101" i="142"/>
  <c r="B191" i="112"/>
  <c r="D253" i="112"/>
  <c r="D269" i="112"/>
  <c r="K267" i="112"/>
  <c r="D268" i="112"/>
  <c r="K268" i="112"/>
  <c r="L268" i="112" s="1"/>
  <c r="K263" i="112"/>
  <c r="D258" i="112"/>
  <c r="D250" i="112"/>
  <c r="D264" i="112"/>
  <c r="D254" i="112"/>
  <c r="K260" i="112"/>
  <c r="L260" i="112" s="1"/>
  <c r="D263" i="112"/>
  <c r="C261" i="112"/>
  <c r="A261" i="112" s="1"/>
  <c r="D260" i="112"/>
  <c r="D261" i="112"/>
  <c r="B201" i="112"/>
  <c r="B178" i="112"/>
  <c r="B173" i="112"/>
  <c r="A81" i="112"/>
  <c r="K158" i="112"/>
  <c r="AP94" i="142"/>
  <c r="AI94" i="142"/>
  <c r="AI138" i="142"/>
  <c r="AI173" i="142"/>
  <c r="AI179" i="142"/>
  <c r="AP93" i="142"/>
  <c r="AI93" i="142"/>
  <c r="AI87" i="142"/>
  <c r="AI142" i="142"/>
  <c r="AP142" i="142"/>
  <c r="AI143" i="142"/>
  <c r="AP143" i="142"/>
  <c r="AP182" i="142"/>
  <c r="AI182" i="142"/>
  <c r="AI86" i="142"/>
  <c r="AI151" i="142"/>
  <c r="AI180" i="142"/>
  <c r="AP180" i="142"/>
  <c r="AI165" i="142"/>
  <c r="AP165" i="142"/>
  <c r="AI115" i="142"/>
  <c r="AI112" i="142"/>
  <c r="AP162" i="142"/>
  <c r="AI162" i="142"/>
  <c r="AI83" i="142"/>
  <c r="AI132" i="142"/>
  <c r="AP95" i="142"/>
  <c r="AI95" i="142"/>
  <c r="AP98" i="142"/>
  <c r="AI98" i="142"/>
  <c r="AI91" i="142"/>
  <c r="AI135" i="142"/>
  <c r="AI109" i="142"/>
  <c r="AP161" i="142"/>
  <c r="AI161" i="142"/>
  <c r="AP141" i="142"/>
  <c r="AI141" i="142"/>
  <c r="AI159" i="142"/>
  <c r="AP159" i="142"/>
  <c r="AI176" i="142"/>
  <c r="AP116" i="142"/>
  <c r="AI116" i="142"/>
  <c r="AP181" i="142"/>
  <c r="AI181" i="142"/>
  <c r="AI164" i="142"/>
  <c r="AP164" i="142"/>
  <c r="AI154" i="142"/>
  <c r="AI82" i="142"/>
  <c r="AP139" i="142"/>
  <c r="AI139" i="142"/>
  <c r="AP160" i="142"/>
  <c r="AI160" i="142"/>
  <c r="AP140" i="142"/>
  <c r="AI140" i="142"/>
  <c r="AP96" i="142"/>
  <c r="AI96" i="142"/>
  <c r="AI183" i="142"/>
  <c r="AP183" i="142"/>
  <c r="AP117" i="142"/>
  <c r="AI117" i="142"/>
  <c r="AP122" i="142"/>
  <c r="AI122" i="142"/>
  <c r="AI89" i="142"/>
  <c r="AI119" i="142"/>
  <c r="AP119" i="142"/>
  <c r="AP118" i="142"/>
  <c r="AI118" i="142"/>
  <c r="AI84" i="142"/>
  <c r="AP92" i="142"/>
  <c r="AI92" i="142"/>
  <c r="AI157" i="142"/>
  <c r="AI158" i="142"/>
  <c r="AP158" i="142"/>
  <c r="AI186" i="142"/>
  <c r="AP186" i="142"/>
  <c r="AI120" i="142"/>
  <c r="AP120" i="142"/>
  <c r="C223" i="112"/>
  <c r="A223" i="112" s="1"/>
  <c r="B253" i="112"/>
  <c r="B166" i="112"/>
  <c r="F160" i="112"/>
  <c r="F155" i="112"/>
  <c r="F158" i="112"/>
  <c r="F149" i="112"/>
  <c r="F159" i="112"/>
  <c r="F147" i="112"/>
  <c r="F153" i="112"/>
  <c r="F151" i="112"/>
  <c r="C162" i="112"/>
  <c r="A162" i="112" s="1"/>
  <c r="K82" i="142"/>
  <c r="K119" i="142"/>
  <c r="L119" i="142" s="1"/>
  <c r="H119" i="142" s="1"/>
  <c r="K161" i="142"/>
  <c r="L161" i="142" s="1"/>
  <c r="H161" i="142" s="1"/>
  <c r="K142" i="142"/>
  <c r="L142" i="142" s="1"/>
  <c r="H142" i="142" s="1"/>
  <c r="K95" i="142"/>
  <c r="K183" i="142"/>
  <c r="L183" i="142" s="1"/>
  <c r="H183" i="142" s="1"/>
  <c r="F87" i="112"/>
  <c r="F86" i="112"/>
  <c r="F82" i="112"/>
  <c r="H111" i="142"/>
  <c r="H175" i="142"/>
  <c r="H133" i="142"/>
  <c r="H108" i="142"/>
  <c r="H171" i="142"/>
  <c r="H134" i="142"/>
  <c r="H155" i="142"/>
  <c r="H130" i="142"/>
  <c r="H131" i="142"/>
  <c r="H148" i="142"/>
  <c r="H174" i="142"/>
  <c r="H113" i="142"/>
  <c r="H177" i="142"/>
  <c r="H106" i="142"/>
  <c r="H170" i="142"/>
  <c r="H149" i="142"/>
  <c r="H110" i="142"/>
  <c r="H136" i="142"/>
  <c r="H153" i="142"/>
  <c r="H172" i="142"/>
  <c r="H152" i="142"/>
  <c r="H107" i="142"/>
  <c r="H150" i="142"/>
  <c r="H129" i="142"/>
  <c r="B200" i="112"/>
  <c r="B159" i="112"/>
  <c r="B258" i="112"/>
  <c r="Q119" i="112"/>
  <c r="AK166" i="112"/>
  <c r="B160" i="112"/>
  <c r="B204" i="112"/>
  <c r="AK101" i="112"/>
  <c r="AK192" i="112"/>
  <c r="AB192" i="112" s="1"/>
  <c r="B193" i="112"/>
  <c r="AK268" i="112"/>
  <c r="AF268" i="112" s="1"/>
  <c r="AK242" i="112"/>
  <c r="AC242" i="112" s="1"/>
  <c r="F200" i="112"/>
  <c r="H181" i="112"/>
  <c r="H143" i="112"/>
  <c r="H242" i="112"/>
  <c r="H138" i="112"/>
  <c r="R134" i="134"/>
  <c r="R133" i="134" s="1"/>
  <c r="AK267" i="112"/>
  <c r="AB267" i="112" s="1"/>
  <c r="AK253" i="112"/>
  <c r="AK254" i="112"/>
  <c r="AK263" i="112"/>
  <c r="AD263" i="112" s="1"/>
  <c r="AB149" i="134"/>
  <c r="AB169" i="134"/>
  <c r="B162" i="112"/>
  <c r="E163" i="142"/>
  <c r="L121" i="142"/>
  <c r="N121" i="142" s="1"/>
  <c r="C96" i="112"/>
  <c r="A96" i="112" s="1"/>
  <c r="C111" i="112"/>
  <c r="C84" i="112"/>
  <c r="B84" i="112" s="1"/>
  <c r="C88" i="112"/>
  <c r="B88" i="112" s="1"/>
  <c r="C109" i="112"/>
  <c r="C89" i="112"/>
  <c r="C113" i="112"/>
  <c r="C82" i="112"/>
  <c r="B82" i="112" s="1"/>
  <c r="C81" i="112"/>
  <c r="B81" i="112" s="1"/>
  <c r="C107" i="112"/>
  <c r="C105" i="112"/>
  <c r="C108" i="112"/>
  <c r="C85" i="112"/>
  <c r="C86" i="112"/>
  <c r="B86" i="112" s="1"/>
  <c r="C119" i="112"/>
  <c r="A119" i="112" s="1"/>
  <c r="C87" i="112"/>
  <c r="B87" i="112" s="1"/>
  <c r="C83" i="112"/>
  <c r="B83" i="112" s="1"/>
  <c r="C110" i="112"/>
  <c r="E224" i="112"/>
  <c r="AA163" i="112"/>
  <c r="A230" i="112"/>
  <c r="K61" i="112"/>
  <c r="F192" i="112"/>
  <c r="B192" i="112"/>
  <c r="D266" i="112"/>
  <c r="D265" i="112"/>
  <c r="AK265" i="112" s="1"/>
  <c r="AF265" i="112" s="1"/>
  <c r="B158" i="112"/>
  <c r="AK258" i="112"/>
  <c r="AC258" i="112" s="1"/>
  <c r="AK250" i="112"/>
  <c r="AF250" i="112" s="1"/>
  <c r="AK261" i="112"/>
  <c r="AF261" i="112" s="1"/>
  <c r="W149" i="134"/>
  <c r="W148" i="134" s="1"/>
  <c r="D224" i="112"/>
  <c r="D223" i="112"/>
  <c r="AI227" i="112"/>
  <c r="AI228" i="112" s="1"/>
  <c r="AI229" i="112" s="1"/>
  <c r="AI230" i="112" s="1"/>
  <c r="AI231" i="112" s="1"/>
  <c r="AI232" i="112" s="1"/>
  <c r="AI233" i="112" s="1"/>
  <c r="AI234" i="112" s="1"/>
  <c r="AI235" i="112" s="1"/>
  <c r="AI236" i="112" s="1"/>
  <c r="AI237" i="112" s="1"/>
  <c r="AI238" i="112" s="1"/>
  <c r="AI239" i="112" s="1"/>
  <c r="AI240" i="112" s="1"/>
  <c r="AI241" i="112" s="1"/>
  <c r="AI242" i="112" s="1"/>
  <c r="AI243" i="112" s="1"/>
  <c r="AI244" i="112" s="1"/>
  <c r="AI245" i="112" s="1"/>
  <c r="AI246" i="112" s="1"/>
  <c r="AI247" i="112" s="1"/>
  <c r="AI248" i="112" s="1"/>
  <c r="AI249" i="112" s="1"/>
  <c r="AI250" i="112" s="1"/>
  <c r="AI251" i="112" s="1"/>
  <c r="AI252" i="112" s="1"/>
  <c r="AI253" i="112" s="1"/>
  <c r="AI254" i="112" s="1"/>
  <c r="AI255" i="112" s="1"/>
  <c r="AI256" i="112" s="1"/>
  <c r="AI257" i="112" s="1"/>
  <c r="AI258" i="112" s="1"/>
  <c r="AI259" i="112" s="1"/>
  <c r="AI260" i="112" s="1"/>
  <c r="AI261" i="112" s="1"/>
  <c r="AI262" i="112" s="1"/>
  <c r="AI263" i="112" s="1"/>
  <c r="AI264" i="112" s="1"/>
  <c r="AI265" i="112" s="1"/>
  <c r="AI266" i="112" s="1"/>
  <c r="AI267" i="112" s="1"/>
  <c r="AI268" i="112" s="1"/>
  <c r="AI269" i="112" s="1"/>
  <c r="AI270" i="112" s="1"/>
  <c r="K225" i="112"/>
  <c r="L225" i="112" s="1"/>
  <c r="F162" i="112"/>
  <c r="F163" i="112"/>
  <c r="B163" i="112"/>
  <c r="H157" i="142"/>
  <c r="AK138" i="112"/>
  <c r="AD138" i="112" s="1"/>
  <c r="AK162" i="112"/>
  <c r="F250" i="112"/>
  <c r="F96" i="112"/>
  <c r="B96" i="112"/>
  <c r="B250" i="112"/>
  <c r="F97" i="112"/>
  <c r="B97" i="112"/>
  <c r="AK97" i="112"/>
  <c r="AC97" i="112" s="1"/>
  <c r="AK96" i="112"/>
  <c r="AF96" i="112" s="1"/>
  <c r="H91" i="142"/>
  <c r="AK260" i="112"/>
  <c r="AC260" i="112" s="1"/>
  <c r="H118" i="142"/>
  <c r="H160" i="142"/>
  <c r="N140" i="142"/>
  <c r="AK189" i="112"/>
  <c r="AB189" i="112" s="1"/>
  <c r="AK136" i="112"/>
  <c r="AB136" i="112" s="1"/>
  <c r="AK93" i="112"/>
  <c r="AB93" i="112" s="1"/>
  <c r="AK88" i="112"/>
  <c r="AK264" i="112"/>
  <c r="AB264" i="112" s="1"/>
  <c r="L166" i="112"/>
  <c r="H166" i="112" s="1"/>
  <c r="F164" i="112"/>
  <c r="A85" i="142"/>
  <c r="N138" i="142"/>
  <c r="D252" i="112"/>
  <c r="D255" i="112"/>
  <c r="D256" i="112"/>
  <c r="D257" i="112"/>
  <c r="D251" i="112"/>
  <c r="K68" i="142"/>
  <c r="K176" i="142" s="1"/>
  <c r="L176" i="142" s="1"/>
  <c r="J68" i="142"/>
  <c r="K154" i="142" s="1"/>
  <c r="L154" i="142" s="1"/>
  <c r="C68" i="142"/>
  <c r="I68" i="142"/>
  <c r="E68" i="142"/>
  <c r="G68" i="142"/>
  <c r="K112" i="142" s="1"/>
  <c r="L112" i="142" s="1"/>
  <c r="H68" i="142"/>
  <c r="K135" i="142" s="1"/>
  <c r="L135" i="142" s="1"/>
  <c r="K61" i="142"/>
  <c r="K169" i="142" s="1"/>
  <c r="L169" i="142" s="1"/>
  <c r="H169" i="142" s="1"/>
  <c r="H94" i="142"/>
  <c r="N139" i="142"/>
  <c r="B164" i="112"/>
  <c r="H115" i="142"/>
  <c r="K83" i="142"/>
  <c r="L83" i="142" s="1"/>
  <c r="L63" i="142"/>
  <c r="N143" i="142"/>
  <c r="H159" i="142"/>
  <c r="G61" i="142"/>
  <c r="K105" i="142" s="1"/>
  <c r="K65" i="112"/>
  <c r="A234" i="112"/>
  <c r="K86" i="142"/>
  <c r="L86" i="142" s="1"/>
  <c r="L66" i="142"/>
  <c r="K89" i="142"/>
  <c r="L89" i="142" s="1"/>
  <c r="L69" i="142"/>
  <c r="K65" i="142"/>
  <c r="K173" i="142" s="1"/>
  <c r="L173" i="142" s="1"/>
  <c r="J65" i="142"/>
  <c r="K151" i="142" s="1"/>
  <c r="L151" i="142" s="1"/>
  <c r="I65" i="142"/>
  <c r="C65" i="142"/>
  <c r="E65" i="142"/>
  <c r="H65" i="142"/>
  <c r="K132" i="142" s="1"/>
  <c r="L132" i="142" s="1"/>
  <c r="G65" i="142"/>
  <c r="K109" i="142" s="1"/>
  <c r="L109" i="142" s="1"/>
  <c r="H140" i="142"/>
  <c r="J61" i="142"/>
  <c r="K147" i="142" s="1"/>
  <c r="K84" i="142"/>
  <c r="L64" i="142"/>
  <c r="L95" i="142"/>
  <c r="N98" i="142" s="1"/>
  <c r="L70" i="142"/>
  <c r="A88" i="142"/>
  <c r="C61" i="142"/>
  <c r="A264" i="112"/>
  <c r="C269" i="112"/>
  <c r="A269" i="112" s="1"/>
  <c r="N141" i="142"/>
  <c r="I61" i="142"/>
  <c r="L82" i="142"/>
  <c r="L62" i="142"/>
  <c r="H186" i="142"/>
  <c r="H61" i="142"/>
  <c r="AK128" i="112"/>
  <c r="AB128" i="112" s="1"/>
  <c r="K261" i="112"/>
  <c r="L261" i="112" s="1"/>
  <c r="K87" i="142"/>
  <c r="L87" i="142" s="1"/>
  <c r="L67" i="142"/>
  <c r="E61" i="142"/>
  <c r="H180" i="142"/>
  <c r="K68" i="112"/>
  <c r="A237" i="112"/>
  <c r="H179" i="142"/>
  <c r="AK269" i="112"/>
  <c r="AE269" i="112" s="1"/>
  <c r="K218" i="112"/>
  <c r="L218" i="112" s="1"/>
  <c r="K220" i="112"/>
  <c r="L220" i="112" s="1"/>
  <c r="B157" i="112"/>
  <c r="H269" i="112"/>
  <c r="F157" i="112"/>
  <c r="F154" i="112"/>
  <c r="K92" i="112"/>
  <c r="L92" i="112" s="1"/>
  <c r="AG101" i="112"/>
  <c r="AD101" i="112"/>
  <c r="AF101" i="112"/>
  <c r="AC101" i="112"/>
  <c r="AE101" i="112"/>
  <c r="AB101" i="112"/>
  <c r="AK262" i="112"/>
  <c r="F85" i="112"/>
  <c r="F95" i="112"/>
  <c r="B95" i="112"/>
  <c r="F94" i="112"/>
  <c r="B94" i="112"/>
  <c r="F84" i="112"/>
  <c r="F91" i="112"/>
  <c r="B91" i="112"/>
  <c r="C152" i="112"/>
  <c r="B152" i="112" s="1"/>
  <c r="C154" i="112"/>
  <c r="B154" i="112" s="1"/>
  <c r="C149" i="112"/>
  <c r="B149" i="112" s="1"/>
  <c r="C148" i="112"/>
  <c r="B148" i="112" s="1"/>
  <c r="C155" i="112"/>
  <c r="B155" i="112" s="1"/>
  <c r="C151" i="112"/>
  <c r="B151" i="112" s="1"/>
  <c r="C153" i="112"/>
  <c r="B153" i="112" s="1"/>
  <c r="C147" i="112"/>
  <c r="B147" i="112" s="1"/>
  <c r="C161" i="112"/>
  <c r="A161" i="112" s="1"/>
  <c r="C150" i="112"/>
  <c r="B150" i="112" s="1"/>
  <c r="F161" i="112"/>
  <c r="B92" i="112"/>
  <c r="F92" i="112"/>
  <c r="AK150" i="112"/>
  <c r="AE150" i="112" s="1"/>
  <c r="AK159" i="112"/>
  <c r="AB159" i="112" s="1"/>
  <c r="F93" i="112"/>
  <c r="B100" i="112"/>
  <c r="F98" i="112"/>
  <c r="B98" i="112"/>
  <c r="B85" i="112"/>
  <c r="F152" i="112"/>
  <c r="F258" i="112"/>
  <c r="F264" i="112"/>
  <c r="B264" i="112"/>
  <c r="F254" i="112"/>
  <c r="B263" i="112"/>
  <c r="B254" i="112"/>
  <c r="AK84" i="112"/>
  <c r="B260" i="112"/>
  <c r="F260" i="112"/>
  <c r="F261" i="112"/>
  <c r="B261" i="112"/>
  <c r="H80" i="112"/>
  <c r="B267" i="112"/>
  <c r="F267" i="112"/>
  <c r="F253" i="112"/>
  <c r="F262" i="112"/>
  <c r="B262" i="112"/>
  <c r="B268" i="112"/>
  <c r="AK230" i="112"/>
  <c r="AD230" i="112" s="1"/>
  <c r="AB134" i="134"/>
  <c r="AB133" i="134" s="1"/>
  <c r="AB170" i="134"/>
  <c r="AB172" i="134"/>
  <c r="AB171" i="134" s="1"/>
  <c r="AK246" i="112"/>
  <c r="AF246" i="112" s="1"/>
  <c r="AK233" i="112"/>
  <c r="AC233" i="112" s="1"/>
  <c r="AK234" i="112"/>
  <c r="AC234" i="112" s="1"/>
  <c r="AK241" i="112"/>
  <c r="AC241" i="112" s="1"/>
  <c r="AK236" i="112"/>
  <c r="AF236" i="112" s="1"/>
  <c r="AK243" i="112"/>
  <c r="AG243" i="112" s="1"/>
  <c r="AK244" i="112"/>
  <c r="AC244" i="112" s="1"/>
  <c r="AK232" i="112"/>
  <c r="AB232" i="112" s="1"/>
  <c r="AK235" i="112"/>
  <c r="AF235" i="112" s="1"/>
  <c r="AK245" i="112"/>
  <c r="AK238" i="112"/>
  <c r="AB238" i="112" s="1"/>
  <c r="AK237" i="112"/>
  <c r="AC237" i="112" s="1"/>
  <c r="AK240" i="112"/>
  <c r="AG240" i="112" s="1"/>
  <c r="G7" i="112"/>
  <c r="M7" i="112" s="1"/>
  <c r="X13" i="112"/>
  <c r="W182" i="134"/>
  <c r="W181" i="134" s="1"/>
  <c r="AK202" i="112"/>
  <c r="AC202" i="112" s="1"/>
  <c r="AK195" i="112"/>
  <c r="AF195" i="112" s="1"/>
  <c r="AK196" i="112"/>
  <c r="AB196" i="112" s="1"/>
  <c r="AK204" i="112"/>
  <c r="AG204" i="112" s="1"/>
  <c r="W134" i="134"/>
  <c r="AK201" i="112"/>
  <c r="AD201" i="112" s="1"/>
  <c r="AK191" i="112"/>
  <c r="AF191" i="112" s="1"/>
  <c r="AK203" i="112"/>
  <c r="AD203" i="112" s="1"/>
  <c r="AK199" i="112"/>
  <c r="AF199" i="112" s="1"/>
  <c r="W170" i="134"/>
  <c r="AK193" i="112"/>
  <c r="AE193" i="112" s="1"/>
  <c r="AK190" i="112"/>
  <c r="AE190" i="112" s="1"/>
  <c r="AK194" i="112"/>
  <c r="AD194" i="112" s="1"/>
  <c r="AK197" i="112"/>
  <c r="AF197" i="112" s="1"/>
  <c r="W169" i="134"/>
  <c r="AK200" i="112"/>
  <c r="AF200" i="112" s="1"/>
  <c r="AK89" i="112"/>
  <c r="AK94" i="112"/>
  <c r="AD94" i="112" s="1"/>
  <c r="AK151" i="112"/>
  <c r="AE151" i="112" s="1"/>
  <c r="AK149" i="112"/>
  <c r="AE149" i="112" s="1"/>
  <c r="AK129" i="112"/>
  <c r="AE129" i="112" s="1"/>
  <c r="AK130" i="112"/>
  <c r="AG130" i="112" s="1"/>
  <c r="AK98" i="112"/>
  <c r="AG98" i="112" s="1"/>
  <c r="AK82" i="112"/>
  <c r="AG82" i="112" s="1"/>
  <c r="AK160" i="112"/>
  <c r="AD160" i="112" s="1"/>
  <c r="AK161" i="112"/>
  <c r="AD161" i="112" s="1"/>
  <c r="AK131" i="112"/>
  <c r="AD131" i="112" s="1"/>
  <c r="AK100" i="112"/>
  <c r="AF100" i="112" s="1"/>
  <c r="AK147" i="112"/>
  <c r="AB147" i="112" s="1"/>
  <c r="AK126" i="112"/>
  <c r="AE126" i="112" s="1"/>
  <c r="AK83" i="112"/>
  <c r="AE83" i="112" s="1"/>
  <c r="AK148" i="112"/>
  <c r="AF148" i="112" s="1"/>
  <c r="AK133" i="112"/>
  <c r="AG133" i="112" s="1"/>
  <c r="AK85" i="112"/>
  <c r="AK158" i="112"/>
  <c r="AE158" i="112" s="1"/>
  <c r="AK139" i="112"/>
  <c r="AE139" i="112" s="1"/>
  <c r="AK91" i="112"/>
  <c r="AC91" i="112" s="1"/>
  <c r="AK154" i="112"/>
  <c r="AF154" i="112" s="1"/>
  <c r="AK143" i="112"/>
  <c r="AB143" i="112" s="1"/>
  <c r="AK92" i="112"/>
  <c r="AG92" i="112" s="1"/>
  <c r="AK155" i="112"/>
  <c r="AD155" i="112" s="1"/>
  <c r="AK140" i="112"/>
  <c r="AB140" i="112" s="1"/>
  <c r="AK95" i="112"/>
  <c r="AD95" i="112" s="1"/>
  <c r="AK153" i="112"/>
  <c r="AB153" i="112" s="1"/>
  <c r="AK137" i="112"/>
  <c r="AF137" i="112" s="1"/>
  <c r="AK81" i="112"/>
  <c r="AE81" i="112" s="1"/>
  <c r="AK152" i="112"/>
  <c r="AB152" i="112" s="1"/>
  <c r="AK132" i="112"/>
  <c r="AE132" i="112" s="1"/>
  <c r="AK86" i="112"/>
  <c r="AF86" i="112" s="1"/>
  <c r="AK157" i="112"/>
  <c r="AE157" i="112" s="1"/>
  <c r="AK127" i="112"/>
  <c r="AD127" i="112" s="1"/>
  <c r="AK134" i="112"/>
  <c r="AB134" i="112" s="1"/>
  <c r="AK87" i="112"/>
  <c r="AK164" i="112"/>
  <c r="AC164" i="112" s="1"/>
  <c r="AK141" i="112"/>
  <c r="AB141" i="112" s="1"/>
  <c r="R169" i="134"/>
  <c r="R172" i="134"/>
  <c r="R171" i="134" s="1"/>
  <c r="R182" i="134"/>
  <c r="R181" i="134" s="1"/>
  <c r="R170" i="134"/>
  <c r="R149" i="134"/>
  <c r="AK171" i="112"/>
  <c r="AD171" i="112" s="1"/>
  <c r="AK177" i="112"/>
  <c r="AE177" i="112" s="1"/>
  <c r="AE176" i="112"/>
  <c r="AK178" i="112"/>
  <c r="AB178" i="112" s="1"/>
  <c r="AK184" i="112"/>
  <c r="AE184" i="112" s="1"/>
  <c r="AK175" i="112"/>
  <c r="AE175" i="112" s="1"/>
  <c r="AK173" i="112"/>
  <c r="AB173" i="112" s="1"/>
  <c r="D48" i="134"/>
  <c r="AK174" i="112"/>
  <c r="AC174" i="112" s="1"/>
  <c r="F230" i="112"/>
  <c r="B230" i="112"/>
  <c r="K226" i="112"/>
  <c r="L226" i="112" s="1"/>
  <c r="B231" i="112"/>
  <c r="F231" i="112"/>
  <c r="AC176" i="112"/>
  <c r="AK183" i="112"/>
  <c r="AB183" i="112" s="1"/>
  <c r="AK180" i="112"/>
  <c r="AF180" i="112" s="1"/>
  <c r="F240" i="112"/>
  <c r="H240" i="112" s="1"/>
  <c r="B240" i="112"/>
  <c r="AK185" i="112"/>
  <c r="AB185" i="112" s="1"/>
  <c r="F245" i="112"/>
  <c r="B245" i="112"/>
  <c r="F238" i="112"/>
  <c r="B238" i="112"/>
  <c r="B235" i="112"/>
  <c r="F235" i="112"/>
  <c r="B246" i="112"/>
  <c r="F246" i="112"/>
  <c r="K241" i="112"/>
  <c r="L241" i="112" s="1"/>
  <c r="AK172" i="112"/>
  <c r="AB172" i="112" s="1"/>
  <c r="F233" i="112"/>
  <c r="B233" i="112"/>
  <c r="F237" i="112"/>
  <c r="B237" i="112"/>
  <c r="C215" i="112"/>
  <c r="C210" i="112"/>
  <c r="C208" i="112"/>
  <c r="C214" i="112"/>
  <c r="C222" i="112"/>
  <c r="A222" i="112" s="1"/>
  <c r="C211" i="112"/>
  <c r="C212" i="112"/>
  <c r="C213" i="112"/>
  <c r="C209" i="112"/>
  <c r="C216" i="112"/>
  <c r="AK181" i="112"/>
  <c r="AC181" i="112" s="1"/>
  <c r="F234" i="112"/>
  <c r="B234" i="112"/>
  <c r="F244" i="112"/>
  <c r="B244" i="112"/>
  <c r="AK182" i="112"/>
  <c r="AD182" i="112" s="1"/>
  <c r="F241" i="112"/>
  <c r="B241" i="112"/>
  <c r="D212" i="112"/>
  <c r="C219" i="112"/>
  <c r="D220" i="112"/>
  <c r="D215" i="112"/>
  <c r="D216" i="112"/>
  <c r="D210" i="112"/>
  <c r="D222" i="112"/>
  <c r="D208" i="112"/>
  <c r="D226" i="112"/>
  <c r="D225" i="112"/>
  <c r="D211" i="112"/>
  <c r="D213" i="112"/>
  <c r="D221" i="112"/>
  <c r="D219" i="112"/>
  <c r="D209" i="112"/>
  <c r="D214" i="112"/>
  <c r="D218" i="112"/>
  <c r="AK231" i="112"/>
  <c r="AD231" i="112" s="1"/>
  <c r="AB176" i="112"/>
  <c r="AF176" i="112"/>
  <c r="AK170" i="112"/>
  <c r="AB170" i="112" s="1"/>
  <c r="B243" i="112"/>
  <c r="F243" i="112"/>
  <c r="A140" i="112"/>
  <c r="B140" i="112"/>
  <c r="K221" i="112"/>
  <c r="L221" i="112" s="1"/>
  <c r="C48" i="134"/>
  <c r="K200" i="134"/>
  <c r="K201" i="134" s="1"/>
  <c r="K225" i="134" s="1"/>
  <c r="J201" i="134"/>
  <c r="J225" i="134" s="1"/>
  <c r="AG176" i="112"/>
  <c r="AG250" i="112"/>
  <c r="AG254" i="112"/>
  <c r="L180" i="112"/>
  <c r="H180" i="112" s="1"/>
  <c r="L202" i="112"/>
  <c r="H202" i="112" s="1"/>
  <c r="L185" i="112"/>
  <c r="H185" i="112" s="1"/>
  <c r="L141" i="112"/>
  <c r="H141" i="112" s="1"/>
  <c r="L200" i="112"/>
  <c r="H200" i="112" s="1"/>
  <c r="L183" i="112"/>
  <c r="H183" i="112" s="1"/>
  <c r="L158" i="112"/>
  <c r="H158" i="112" s="1"/>
  <c r="L137" i="112"/>
  <c r="H137" i="112" s="1"/>
  <c r="L160" i="112"/>
  <c r="H160" i="112" s="1"/>
  <c r="L263" i="112"/>
  <c r="L262" i="112"/>
  <c r="L201" i="112"/>
  <c r="H201" i="112" s="1"/>
  <c r="L182" i="112"/>
  <c r="H182" i="112" s="1"/>
  <c r="L246" i="112"/>
  <c r="L204" i="112"/>
  <c r="H204" i="112" s="1"/>
  <c r="L159" i="112"/>
  <c r="H159" i="112" s="1"/>
  <c r="L243" i="112"/>
  <c r="L245" i="112"/>
  <c r="L267" i="112"/>
  <c r="L136" i="112"/>
  <c r="H136" i="112" s="1"/>
  <c r="L199" i="112"/>
  <c r="H199" i="112" s="1"/>
  <c r="H268" i="112"/>
  <c r="I45" i="112"/>
  <c r="H45" i="112"/>
  <c r="C45" i="112"/>
  <c r="G45" i="112"/>
  <c r="F45" i="112"/>
  <c r="J45" i="112"/>
  <c r="D45" i="112"/>
  <c r="E45" i="112"/>
  <c r="Y15" i="112"/>
  <c r="T15" i="112"/>
  <c r="G44" i="134"/>
  <c r="AF79" i="112"/>
  <c r="H48" i="134"/>
  <c r="H139" i="112"/>
  <c r="AC13" i="112"/>
  <c r="G20" i="112"/>
  <c r="B20" i="112" s="1"/>
  <c r="G49" i="134"/>
  <c r="AE84" i="112"/>
  <c r="E51" i="134"/>
  <c r="E52" i="134" s="1"/>
  <c r="F52" i="134" s="1"/>
  <c r="F50" i="134"/>
  <c r="AD268" i="112"/>
  <c r="AB268" i="112"/>
  <c r="AE250" i="112"/>
  <c r="AD192" i="112"/>
  <c r="AF192" i="112"/>
  <c r="AF126" i="112"/>
  <c r="AD264" i="112"/>
  <c r="AF264" i="112"/>
  <c r="AE264" i="112"/>
  <c r="AC264" i="112"/>
  <c r="AB253" i="112"/>
  <c r="AE253" i="112"/>
  <c r="AC253" i="112"/>
  <c r="AF253" i="112"/>
  <c r="AD253" i="112"/>
  <c r="AG253" i="112"/>
  <c r="AC254" i="112"/>
  <c r="AB254" i="112"/>
  <c r="AF254" i="112"/>
  <c r="AD254" i="112"/>
  <c r="AE254" i="112"/>
  <c r="AE140" i="112"/>
  <c r="AE262" i="112"/>
  <c r="AC262" i="112"/>
  <c r="AF262" i="112"/>
  <c r="AD262" i="112"/>
  <c r="AB262" i="112"/>
  <c r="AD84" i="112"/>
  <c r="AE245" i="112"/>
  <c r="AC245" i="112"/>
  <c r="AD245" i="112"/>
  <c r="AG245" i="112"/>
  <c r="AF245" i="112"/>
  <c r="AB245" i="112"/>
  <c r="AC132" i="112"/>
  <c r="W171" i="134"/>
  <c r="AB181" i="134"/>
  <c r="AC166" i="112"/>
  <c r="AB166" i="112"/>
  <c r="AD166" i="112"/>
  <c r="AF166" i="112"/>
  <c r="AE166" i="112"/>
  <c r="AG166" i="112"/>
  <c r="AE258" i="112"/>
  <c r="AD258" i="112"/>
  <c r="AF258" i="112"/>
  <c r="AF242" i="112"/>
  <c r="AE242" i="112"/>
  <c r="AB148" i="134"/>
  <c r="AF160" i="112"/>
  <c r="AE160" i="112"/>
  <c r="AB160" i="112"/>
  <c r="AF263" i="112" l="1"/>
  <c r="F263" i="112"/>
  <c r="B256" i="112"/>
  <c r="AC263" i="112"/>
  <c r="AG263" i="112"/>
  <c r="AB263" i="112"/>
  <c r="AE202" i="112"/>
  <c r="B255" i="112"/>
  <c r="AB82" i="112"/>
  <c r="Q141" i="142"/>
  <c r="S141" i="142"/>
  <c r="T141" i="142" s="1"/>
  <c r="U141" i="142" s="1"/>
  <c r="V141" i="142" s="1"/>
  <c r="P141" i="142"/>
  <c r="O141" i="142"/>
  <c r="AI85" i="142"/>
  <c r="S143" i="142"/>
  <c r="T143" i="142" s="1"/>
  <c r="U143" i="142" s="1"/>
  <c r="V143" i="142" s="1"/>
  <c r="P143" i="142"/>
  <c r="S185" i="112" s="1"/>
  <c r="Q143" i="142"/>
  <c r="T185" i="112" s="1"/>
  <c r="O143" i="142"/>
  <c r="R185" i="112" s="1"/>
  <c r="S121" i="142"/>
  <c r="T121" i="142" s="1"/>
  <c r="U121" i="142" s="1"/>
  <c r="V121" i="142" s="1"/>
  <c r="P121" i="142"/>
  <c r="Q121" i="142"/>
  <c r="O121" i="142"/>
  <c r="AI88" i="142"/>
  <c r="S98" i="142"/>
  <c r="T98" i="142" s="1"/>
  <c r="U98" i="142" s="1"/>
  <c r="V98" i="142" s="1"/>
  <c r="Q98" i="142"/>
  <c r="T98" i="112" s="1"/>
  <c r="P98" i="142"/>
  <c r="S98" i="112" s="1"/>
  <c r="O98" i="142"/>
  <c r="R98" i="112" s="1"/>
  <c r="P139" i="142"/>
  <c r="S139" i="142"/>
  <c r="T139" i="142" s="1"/>
  <c r="U139" i="142" s="1"/>
  <c r="V139" i="142" s="1"/>
  <c r="Q139" i="142"/>
  <c r="O139" i="142"/>
  <c r="S140" i="142"/>
  <c r="T140" i="142" s="1"/>
  <c r="U140" i="142" s="1"/>
  <c r="V140" i="142" s="1"/>
  <c r="Q140" i="142"/>
  <c r="P140" i="142"/>
  <c r="O140" i="142"/>
  <c r="Q138" i="142"/>
  <c r="P138" i="142"/>
  <c r="O138" i="142"/>
  <c r="S138" i="142"/>
  <c r="T138" i="142" s="1"/>
  <c r="U138" i="142" s="1"/>
  <c r="V138" i="142" s="1"/>
  <c r="N142" i="142"/>
  <c r="Q184" i="112" s="1"/>
  <c r="Q137" i="112"/>
  <c r="Q204" i="112"/>
  <c r="Q202" i="112"/>
  <c r="Q138" i="112"/>
  <c r="Z15" i="112"/>
  <c r="H98" i="112"/>
  <c r="H93" i="112"/>
  <c r="H91" i="112"/>
  <c r="H94" i="112"/>
  <c r="H157" i="112"/>
  <c r="K81" i="142"/>
  <c r="L81" i="142" s="1"/>
  <c r="B251" i="112"/>
  <c r="B257" i="112"/>
  <c r="B252" i="112"/>
  <c r="H164" i="112"/>
  <c r="AG258" i="112"/>
  <c r="AG192" i="112"/>
  <c r="AB258" i="112"/>
  <c r="AC192" i="112"/>
  <c r="AE192" i="112"/>
  <c r="H84" i="142"/>
  <c r="H112" i="142"/>
  <c r="H82" i="142"/>
  <c r="H87" i="142"/>
  <c r="H151" i="142"/>
  <c r="H86" i="142"/>
  <c r="H89" i="142"/>
  <c r="H173" i="142"/>
  <c r="H83" i="142"/>
  <c r="H154" i="142"/>
  <c r="H176" i="142"/>
  <c r="H109" i="142"/>
  <c r="H132" i="142"/>
  <c r="H135" i="142"/>
  <c r="AB250" i="112"/>
  <c r="AD250" i="112"/>
  <c r="AC250" i="112"/>
  <c r="AF82" i="112"/>
  <c r="AC194" i="112"/>
  <c r="AF267" i="112"/>
  <c r="AC268" i="112"/>
  <c r="AG268" i="112"/>
  <c r="AE268" i="112"/>
  <c r="N117" i="142"/>
  <c r="N120" i="142"/>
  <c r="N122" i="142"/>
  <c r="N119" i="142"/>
  <c r="N115" i="142"/>
  <c r="N116" i="142"/>
  <c r="Q116" i="112"/>
  <c r="Q117" i="112"/>
  <c r="Q115" i="112"/>
  <c r="Q118" i="112"/>
  <c r="Q120" i="112"/>
  <c r="X119" i="112"/>
  <c r="Y119" i="112"/>
  <c r="W119" i="112"/>
  <c r="C73" i="142"/>
  <c r="AG242" i="112"/>
  <c r="AB242" i="112"/>
  <c r="AG236" i="112"/>
  <c r="AC267" i="112"/>
  <c r="AD242" i="112"/>
  <c r="AF98" i="112"/>
  <c r="AD267" i="112"/>
  <c r="AE263" i="112"/>
  <c r="AE267" i="112"/>
  <c r="H243" i="112"/>
  <c r="AG152" i="112"/>
  <c r="AB158" i="112"/>
  <c r="K58" i="112"/>
  <c r="H267" i="112"/>
  <c r="H263" i="112"/>
  <c r="H246" i="112"/>
  <c r="AB175" i="112"/>
  <c r="AC175" i="112"/>
  <c r="AD175" i="112"/>
  <c r="AD152" i="112"/>
  <c r="AG202" i="112"/>
  <c r="AG91" i="112"/>
  <c r="AE194" i="112"/>
  <c r="AE237" i="112"/>
  <c r="AF237" i="112"/>
  <c r="AD196" i="112"/>
  <c r="AG136" i="112"/>
  <c r="AD136" i="112"/>
  <c r="AE136" i="112"/>
  <c r="AC136" i="112"/>
  <c r="AF136" i="112"/>
  <c r="AF93" i="112"/>
  <c r="AF233" i="112"/>
  <c r="AB233" i="112"/>
  <c r="AC201" i="112"/>
  <c r="AG94" i="112"/>
  <c r="AB94" i="112"/>
  <c r="AD126" i="112"/>
  <c r="AC93" i="112"/>
  <c r="AG233" i="112"/>
  <c r="AE233" i="112"/>
  <c r="AG93" i="112"/>
  <c r="AD233" i="112"/>
  <c r="AE93" i="112"/>
  <c r="AD93" i="112"/>
  <c r="AC261" i="112"/>
  <c r="AG195" i="112"/>
  <c r="AG237" i="112"/>
  <c r="AB237" i="112"/>
  <c r="AD237" i="112"/>
  <c r="AC128" i="112"/>
  <c r="AB261" i="112"/>
  <c r="AF128" i="112"/>
  <c r="AD128" i="112"/>
  <c r="AE261" i="112"/>
  <c r="AG128" i="112"/>
  <c r="AE128" i="112"/>
  <c r="AD261" i="112"/>
  <c r="AB193" i="112"/>
  <c r="AC193" i="112"/>
  <c r="AF193" i="112"/>
  <c r="AD193" i="112"/>
  <c r="AG230" i="112"/>
  <c r="AG193" i="112"/>
  <c r="AF230" i="112"/>
  <c r="AC98" i="112"/>
  <c r="AB230" i="112"/>
  <c r="AE98" i="112"/>
  <c r="AF152" i="112"/>
  <c r="AC158" i="112"/>
  <c r="AD98" i="112"/>
  <c r="AD158" i="112"/>
  <c r="AB98" i="112"/>
  <c r="AE152" i="112"/>
  <c r="AC152" i="112"/>
  <c r="AF158" i="112"/>
  <c r="AC160" i="112"/>
  <c r="AF138" i="112"/>
  <c r="AD202" i="112"/>
  <c r="AE91" i="112"/>
  <c r="AE238" i="112"/>
  <c r="AD91" i="112"/>
  <c r="AG238" i="112"/>
  <c r="AF91" i="112"/>
  <c r="AB194" i="112"/>
  <c r="AF202" i="112"/>
  <c r="AF194" i="112"/>
  <c r="AB202" i="112"/>
  <c r="AB91" i="112"/>
  <c r="AG194" i="112"/>
  <c r="N118" i="142"/>
  <c r="C101" i="112"/>
  <c r="B89" i="112"/>
  <c r="AA224" i="112"/>
  <c r="E266" i="112"/>
  <c r="E185" i="142"/>
  <c r="L163" i="142"/>
  <c r="F265" i="112"/>
  <c r="B265" i="112"/>
  <c r="F266" i="112"/>
  <c r="B266" i="112"/>
  <c r="AE141" i="112"/>
  <c r="AD151" i="112"/>
  <c r="AE260" i="112"/>
  <c r="AF175" i="112"/>
  <c r="AB260" i="112"/>
  <c r="AE243" i="112"/>
  <c r="AF95" i="112"/>
  <c r="AF260" i="112"/>
  <c r="AD260" i="112"/>
  <c r="AG189" i="112"/>
  <c r="AG178" i="112"/>
  <c r="AE189" i="112"/>
  <c r="AB235" i="112"/>
  <c r="AF189" i="112"/>
  <c r="AD189" i="112"/>
  <c r="AC189" i="112"/>
  <c r="AD141" i="112"/>
  <c r="AB241" i="112"/>
  <c r="AC191" i="112"/>
  <c r="AB265" i="112"/>
  <c r="AD265" i="112"/>
  <c r="AE265" i="112"/>
  <c r="AG138" i="112"/>
  <c r="AB138" i="112"/>
  <c r="AC265" i="112"/>
  <c r="AC138" i="112"/>
  <c r="AE138" i="112"/>
  <c r="F223" i="112"/>
  <c r="B223" i="112"/>
  <c r="B224" i="112"/>
  <c r="F224" i="112"/>
  <c r="H261" i="112"/>
  <c r="H92" i="112"/>
  <c r="AF97" i="112"/>
  <c r="AE97" i="112"/>
  <c r="AI271" i="112"/>
  <c r="AG265" i="112"/>
  <c r="AB97" i="112"/>
  <c r="AD97" i="112"/>
  <c r="AK223" i="112"/>
  <c r="AB223" i="112" s="1"/>
  <c r="AK224" i="112"/>
  <c r="Q163" i="112"/>
  <c r="AG97" i="112"/>
  <c r="AC162" i="112"/>
  <c r="AB162" i="112"/>
  <c r="AD162" i="112"/>
  <c r="AG162" i="112"/>
  <c r="AF162" i="112"/>
  <c r="AE162" i="112"/>
  <c r="AC96" i="112"/>
  <c r="AG96" i="112"/>
  <c r="AB96" i="112"/>
  <c r="B269" i="112"/>
  <c r="AD96" i="112"/>
  <c r="AE96" i="112"/>
  <c r="K58" i="142"/>
  <c r="N96" i="142"/>
  <c r="S96" i="142" s="1"/>
  <c r="T96" i="142" s="1"/>
  <c r="U96" i="142" s="1"/>
  <c r="V96" i="142" s="1"/>
  <c r="N97" i="142"/>
  <c r="AF244" i="112"/>
  <c r="AE244" i="112"/>
  <c r="AG147" i="112"/>
  <c r="AB137" i="112"/>
  <c r="AC159" i="112"/>
  <c r="AD240" i="112"/>
  <c r="AB240" i="112"/>
  <c r="AB157" i="112"/>
  <c r="AE161" i="112"/>
  <c r="AF240" i="112"/>
  <c r="AD157" i="112"/>
  <c r="AG150" i="112"/>
  <c r="AC240" i="112"/>
  <c r="AC157" i="112"/>
  <c r="AE195" i="112"/>
  <c r="AF161" i="112"/>
  <c r="AE240" i="112"/>
  <c r="AC195" i="112"/>
  <c r="AG157" i="112"/>
  <c r="AD195" i="112"/>
  <c r="AE154" i="112"/>
  <c r="AE246" i="112"/>
  <c r="AE197" i="112"/>
  <c r="AB195" i="112"/>
  <c r="AB161" i="112"/>
  <c r="AC150" i="112"/>
  <c r="AC154" i="112"/>
  <c r="AD246" i="112"/>
  <c r="AG197" i="112"/>
  <c r="AC161" i="112"/>
  <c r="AB150" i="112"/>
  <c r="AD154" i="112"/>
  <c r="AB246" i="112"/>
  <c r="AB197" i="112"/>
  <c r="AB154" i="112"/>
  <c r="AC246" i="112"/>
  <c r="AD197" i="112"/>
  <c r="AC269" i="112"/>
  <c r="AD150" i="112"/>
  <c r="AF150" i="112"/>
  <c r="AF157" i="112"/>
  <c r="AG246" i="112"/>
  <c r="AC197" i="112"/>
  <c r="AB269" i="112"/>
  <c r="Q182" i="112"/>
  <c r="Y182" i="112" s="1"/>
  <c r="N91" i="142"/>
  <c r="AD269" i="112"/>
  <c r="AE241" i="112"/>
  <c r="AG241" i="112"/>
  <c r="AD241" i="112"/>
  <c r="AF241" i="112"/>
  <c r="AE155" i="112"/>
  <c r="R148" i="134"/>
  <c r="AF155" i="112"/>
  <c r="AD147" i="112"/>
  <c r="AF159" i="112"/>
  <c r="AC155" i="112"/>
  <c r="AC147" i="112"/>
  <c r="AD159" i="112"/>
  <c r="AB155" i="112"/>
  <c r="AE159" i="112"/>
  <c r="AF147" i="112"/>
  <c r="W133" i="134"/>
  <c r="AE147" i="112"/>
  <c r="AB234" i="112"/>
  <c r="AG155" i="112"/>
  <c r="Q98" i="112"/>
  <c r="Q199" i="112"/>
  <c r="AF130" i="112"/>
  <c r="AE235" i="112"/>
  <c r="AC81" i="112"/>
  <c r="AD235" i="112"/>
  <c r="AD81" i="112"/>
  <c r="E58" i="142"/>
  <c r="H58" i="142"/>
  <c r="I58" i="142"/>
  <c r="N93" i="142"/>
  <c r="N92" i="142"/>
  <c r="Q141" i="112"/>
  <c r="H260" i="112"/>
  <c r="Q185" i="112"/>
  <c r="K88" i="142"/>
  <c r="L88" i="142" s="1"/>
  <c r="L68" i="142"/>
  <c r="X204" i="112"/>
  <c r="W204" i="112"/>
  <c r="Y204" i="112"/>
  <c r="N95" i="142"/>
  <c r="S95" i="142" s="1"/>
  <c r="T95" i="142" s="1"/>
  <c r="U95" i="142" s="1"/>
  <c r="V95" i="142" s="1"/>
  <c r="H95" i="142"/>
  <c r="K85" i="142"/>
  <c r="L85" i="142" s="1"/>
  <c r="L65" i="142"/>
  <c r="F251" i="112"/>
  <c r="AK251" i="112"/>
  <c r="AG235" i="112"/>
  <c r="Q140" i="112"/>
  <c r="AB130" i="112"/>
  <c r="AD85" i="112"/>
  <c r="F257" i="112"/>
  <c r="AK257" i="112"/>
  <c r="AG257" i="112" s="1"/>
  <c r="Q181" i="112"/>
  <c r="AC130" i="112"/>
  <c r="F256" i="112"/>
  <c r="AK256" i="112"/>
  <c r="I73" i="142"/>
  <c r="AD130" i="112"/>
  <c r="Q203" i="112"/>
  <c r="N94" i="142"/>
  <c r="F255" i="112"/>
  <c r="AK255" i="112"/>
  <c r="AG255" i="112" s="1"/>
  <c r="AF81" i="112"/>
  <c r="AE130" i="112"/>
  <c r="AC235" i="112"/>
  <c r="L147" i="142"/>
  <c r="H147" i="142" s="1"/>
  <c r="J73" i="142"/>
  <c r="G58" i="142"/>
  <c r="Q201" i="112"/>
  <c r="F252" i="112"/>
  <c r="AK252" i="112"/>
  <c r="K128" i="142"/>
  <c r="L128" i="142" s="1"/>
  <c r="H73" i="142"/>
  <c r="Y137" i="112"/>
  <c r="X137" i="112"/>
  <c r="W137" i="112"/>
  <c r="AB81" i="112"/>
  <c r="AG267" i="112"/>
  <c r="AA10" i="112"/>
  <c r="C58" i="142"/>
  <c r="J58" i="142"/>
  <c r="L105" i="142"/>
  <c r="H105" i="142" s="1"/>
  <c r="G73" i="142"/>
  <c r="Q180" i="112"/>
  <c r="E73" i="142"/>
  <c r="Q200" i="112"/>
  <c r="Q183" i="112"/>
  <c r="H81" i="142"/>
  <c r="L61" i="142"/>
  <c r="Q136" i="112"/>
  <c r="Q139" i="112"/>
  <c r="AG269" i="112"/>
  <c r="AF269" i="112"/>
  <c r="B212" i="112"/>
  <c r="B161" i="112"/>
  <c r="AD236" i="112"/>
  <c r="AE230" i="112"/>
  <c r="H245" i="112"/>
  <c r="AF94" i="112"/>
  <c r="AC236" i="112"/>
  <c r="AC230" i="112"/>
  <c r="AE178" i="112"/>
  <c r="AG260" i="112"/>
  <c r="AG261" i="112"/>
  <c r="AG264" i="112"/>
  <c r="AG262" i="112"/>
  <c r="AC126" i="112"/>
  <c r="AG81" i="112"/>
  <c r="H262" i="112"/>
  <c r="AF83" i="112"/>
  <c r="AD204" i="112"/>
  <c r="AB100" i="112"/>
  <c r="AF134" i="112"/>
  <c r="AE100" i="112"/>
  <c r="AC204" i="112"/>
  <c r="AF234" i="112"/>
  <c r="AF204" i="112"/>
  <c r="AE204" i="112"/>
  <c r="AE200" i="112"/>
  <c r="AD134" i="112"/>
  <c r="AC92" i="112"/>
  <c r="AG200" i="112"/>
  <c r="AC134" i="112"/>
  <c r="AE92" i="112"/>
  <c r="AB200" i="112"/>
  <c r="AG100" i="112"/>
  <c r="AE134" i="112"/>
  <c r="AE234" i="112"/>
  <c r="AF92" i="112"/>
  <c r="AC200" i="112"/>
  <c r="AD100" i="112"/>
  <c r="AG134" i="112"/>
  <c r="AG234" i="112"/>
  <c r="AB92" i="112"/>
  <c r="AD200" i="112"/>
  <c r="AC100" i="112"/>
  <c r="AB204" i="112"/>
  <c r="AD234" i="112"/>
  <c r="AD92" i="112"/>
  <c r="AB164" i="112"/>
  <c r="AE201" i="112"/>
  <c r="AD140" i="112"/>
  <c r="AG201" i="112"/>
  <c r="AE236" i="112"/>
  <c r="AG126" i="112"/>
  <c r="AE94" i="112"/>
  <c r="AB236" i="112"/>
  <c r="AB126" i="112"/>
  <c r="AC94" i="112"/>
  <c r="AF140" i="112"/>
  <c r="AD164" i="112"/>
  <c r="AB201" i="112"/>
  <c r="AC140" i="112"/>
  <c r="AF164" i="112"/>
  <c r="AE164" i="112"/>
  <c r="AF201" i="112"/>
  <c r="AG140" i="112"/>
  <c r="AC151" i="112"/>
  <c r="AD191" i="112"/>
  <c r="AB243" i="112"/>
  <c r="AE95" i="112"/>
  <c r="AD83" i="112"/>
  <c r="AF151" i="112"/>
  <c r="AC243" i="112"/>
  <c r="AB95" i="112"/>
  <c r="AC95" i="112"/>
  <c r="AC141" i="112"/>
  <c r="AG95" i="112"/>
  <c r="AG141" i="112"/>
  <c r="AF141" i="112"/>
  <c r="AE191" i="112"/>
  <c r="AB151" i="112"/>
  <c r="AB191" i="112"/>
  <c r="AF243" i="112"/>
  <c r="AG151" i="112"/>
  <c r="AG191" i="112"/>
  <c r="AD243" i="112"/>
  <c r="AG83" i="112"/>
  <c r="AD149" i="112"/>
  <c r="AD137" i="112"/>
  <c r="AD244" i="112"/>
  <c r="AD148" i="112"/>
  <c r="AD129" i="112"/>
  <c r="AC171" i="112"/>
  <c r="AB180" i="112"/>
  <c r="AB244" i="112"/>
  <c r="AF129" i="112"/>
  <c r="AE137" i="112"/>
  <c r="AG244" i="112"/>
  <c r="AE171" i="112"/>
  <c r="AG180" i="112"/>
  <c r="AG137" i="112"/>
  <c r="AB129" i="112"/>
  <c r="AC137" i="112"/>
  <c r="AB171" i="112"/>
  <c r="AG177" i="112"/>
  <c r="AG129" i="112"/>
  <c r="AF232" i="112"/>
  <c r="AD133" i="112"/>
  <c r="AB149" i="112"/>
  <c r="AE199" i="112"/>
  <c r="AC129" i="112"/>
  <c r="AF149" i="112"/>
  <c r="AD199" i="112"/>
  <c r="AF153" i="112"/>
  <c r="AC232" i="112"/>
  <c r="AE133" i="112"/>
  <c r="AE148" i="112"/>
  <c r="AF177" i="112"/>
  <c r="AC177" i="112"/>
  <c r="AG149" i="112"/>
  <c r="AC199" i="112"/>
  <c r="AD153" i="112"/>
  <c r="AE232" i="112"/>
  <c r="AB133" i="112"/>
  <c r="AG148" i="112"/>
  <c r="AC149" i="112"/>
  <c r="AB199" i="112"/>
  <c r="AG203" i="112"/>
  <c r="AC153" i="112"/>
  <c r="AG232" i="112"/>
  <c r="AC133" i="112"/>
  <c r="AB148" i="112"/>
  <c r="AE153" i="112"/>
  <c r="AG199" i="112"/>
  <c r="AD232" i="112"/>
  <c r="AF133" i="112"/>
  <c r="AC148" i="112"/>
  <c r="AG153" i="112"/>
  <c r="AB132" i="112"/>
  <c r="AG184" i="112"/>
  <c r="AE82" i="112"/>
  <c r="AC238" i="112"/>
  <c r="AC184" i="112"/>
  <c r="AF238" i="112"/>
  <c r="AC190" i="112"/>
  <c r="AB190" i="112"/>
  <c r="AF190" i="112"/>
  <c r="AG139" i="112"/>
  <c r="AF139" i="112"/>
  <c r="AG190" i="112"/>
  <c r="AD190" i="112"/>
  <c r="AD132" i="112"/>
  <c r="AB139" i="112"/>
  <c r="AD184" i="112"/>
  <c r="AF132" i="112"/>
  <c r="AD139" i="112"/>
  <c r="AF184" i="112"/>
  <c r="AC82" i="112"/>
  <c r="AD82" i="112"/>
  <c r="AD238" i="112"/>
  <c r="AG132" i="112"/>
  <c r="AC139" i="112"/>
  <c r="AB184" i="112"/>
  <c r="AF203" i="112"/>
  <c r="AE196" i="112"/>
  <c r="AG127" i="112"/>
  <c r="AF196" i="112"/>
  <c r="AG196" i="112"/>
  <c r="AC203" i="112"/>
  <c r="AE203" i="112"/>
  <c r="AB203" i="112"/>
  <c r="AC196" i="112"/>
  <c r="AB127" i="112"/>
  <c r="AG131" i="112"/>
  <c r="AE131" i="112"/>
  <c r="AC131" i="112"/>
  <c r="AF131" i="112"/>
  <c r="AC143" i="112"/>
  <c r="AB131" i="112"/>
  <c r="AG143" i="112"/>
  <c r="AF127" i="112"/>
  <c r="AD143" i="112"/>
  <c r="AC127" i="112"/>
  <c r="AE143" i="112"/>
  <c r="AG154" i="112"/>
  <c r="AF143" i="112"/>
  <c r="AE127" i="112"/>
  <c r="AB177" i="112"/>
  <c r="AB231" i="112"/>
  <c r="AE185" i="112"/>
  <c r="AD185" i="112"/>
  <c r="AG185" i="112"/>
  <c r="AC185" i="112"/>
  <c r="AD177" i="112"/>
  <c r="AG171" i="112"/>
  <c r="AF231" i="112"/>
  <c r="AF171" i="112"/>
  <c r="AF185" i="112"/>
  <c r="AG231" i="112"/>
  <c r="AE231" i="112"/>
  <c r="AC231" i="112"/>
  <c r="AG182" i="112"/>
  <c r="AB182" i="112"/>
  <c r="AG175" i="112"/>
  <c r="AB181" i="112"/>
  <c r="AG183" i="112"/>
  <c r="AF183" i="112"/>
  <c r="AE183" i="112"/>
  <c r="AD183" i="112"/>
  <c r="AG160" i="112"/>
  <c r="AG161" i="112"/>
  <c r="AG159" i="112"/>
  <c r="AG164" i="112"/>
  <c r="AG158" i="112"/>
  <c r="AC183" i="112"/>
  <c r="AC182" i="112"/>
  <c r="AE181" i="112"/>
  <c r="AF178" i="112"/>
  <c r="AD178" i="112"/>
  <c r="AF182" i="112"/>
  <c r="AG181" i="112"/>
  <c r="AG173" i="112"/>
  <c r="AF173" i="112"/>
  <c r="AE173" i="112"/>
  <c r="AD173" i="112"/>
  <c r="AF174" i="112"/>
  <c r="AE174" i="112"/>
  <c r="AB174" i="112"/>
  <c r="AG174" i="112"/>
  <c r="AD174" i="112"/>
  <c r="AC173" i="112"/>
  <c r="AF181" i="112"/>
  <c r="AE182" i="112"/>
  <c r="AD181" i="112"/>
  <c r="AG172" i="112"/>
  <c r="AC170" i="112"/>
  <c r="AC172" i="112"/>
  <c r="AD170" i="112"/>
  <c r="AG170" i="112"/>
  <c r="AE170" i="112"/>
  <c r="AE172" i="112"/>
  <c r="AD172" i="112"/>
  <c r="AC178" i="112"/>
  <c r="AF172" i="112"/>
  <c r="AC83" i="112"/>
  <c r="D49" i="134"/>
  <c r="B208" i="112"/>
  <c r="AK208" i="112"/>
  <c r="F208" i="112"/>
  <c r="H241" i="112"/>
  <c r="B222" i="112"/>
  <c r="F222" i="112"/>
  <c r="AK222" i="112"/>
  <c r="F210" i="112"/>
  <c r="B210" i="112"/>
  <c r="AK210" i="112"/>
  <c r="B218" i="112"/>
  <c r="AK218" i="112"/>
  <c r="F218" i="112"/>
  <c r="F216" i="112"/>
  <c r="AK216" i="112"/>
  <c r="B216" i="112"/>
  <c r="AK214" i="112"/>
  <c r="AG214" i="112" s="1"/>
  <c r="B214" i="112"/>
  <c r="F214" i="112"/>
  <c r="AK215" i="112"/>
  <c r="B215" i="112"/>
  <c r="F215" i="112"/>
  <c r="B209" i="112"/>
  <c r="AK209" i="112"/>
  <c r="F209" i="112"/>
  <c r="F220" i="112"/>
  <c r="B220" i="112"/>
  <c r="AK220" i="112"/>
  <c r="AE180" i="112"/>
  <c r="AD180" i="112"/>
  <c r="AC180" i="112"/>
  <c r="B219" i="112"/>
  <c r="AK219" i="112"/>
  <c r="F219" i="112"/>
  <c r="A219" i="112"/>
  <c r="K219" i="112"/>
  <c r="L219" i="112" s="1"/>
  <c r="F221" i="112"/>
  <c r="AK221" i="112"/>
  <c r="B221" i="112"/>
  <c r="B213" i="112"/>
  <c r="AK213" i="112"/>
  <c r="F213" i="112"/>
  <c r="F212" i="112"/>
  <c r="AK212" i="112"/>
  <c r="AF170" i="112"/>
  <c r="F211" i="112"/>
  <c r="AK211" i="112"/>
  <c r="B211" i="112"/>
  <c r="B225" i="112"/>
  <c r="F225" i="112"/>
  <c r="AK225" i="112"/>
  <c r="F226" i="112"/>
  <c r="B226" i="112"/>
  <c r="AK226" i="112"/>
  <c r="AB83" i="112"/>
  <c r="C49" i="134"/>
  <c r="AF84" i="112"/>
  <c r="H49" i="134"/>
  <c r="AG84" i="112" s="1"/>
  <c r="E60" i="112"/>
  <c r="G50" i="134"/>
  <c r="AE85" i="112"/>
  <c r="B103" i="112"/>
  <c r="D60" i="112"/>
  <c r="J60" i="112"/>
  <c r="F51" i="134"/>
  <c r="AD86" i="112"/>
  <c r="F60" i="112"/>
  <c r="G60" i="112"/>
  <c r="C60" i="112"/>
  <c r="L266" i="112" s="1"/>
  <c r="H60" i="112"/>
  <c r="I60" i="112"/>
  <c r="S94" i="142" l="1"/>
  <c r="T94" i="142" s="1"/>
  <c r="U94" i="142" s="1"/>
  <c r="V94" i="142" s="1"/>
  <c r="P94" i="142"/>
  <c r="Q94" i="142"/>
  <c r="O94" i="142"/>
  <c r="O115" i="142"/>
  <c r="Q115" i="142"/>
  <c r="S115" i="142"/>
  <c r="T115" i="142" s="1"/>
  <c r="U115" i="142" s="1"/>
  <c r="V115" i="142" s="1"/>
  <c r="P115" i="142"/>
  <c r="Q91" i="112"/>
  <c r="P91" i="142"/>
  <c r="Q91" i="142"/>
  <c r="O91" i="142"/>
  <c r="S91" i="142"/>
  <c r="T91" i="142" s="1"/>
  <c r="U91" i="142" s="1"/>
  <c r="V91" i="142" s="1"/>
  <c r="Q161" i="112"/>
  <c r="O119" i="142"/>
  <c r="S119" i="142"/>
  <c r="T119" i="142" s="1"/>
  <c r="U119" i="142" s="1"/>
  <c r="V119" i="142" s="1"/>
  <c r="Q164" i="112"/>
  <c r="S122" i="142"/>
  <c r="T122" i="142" s="1"/>
  <c r="U122" i="142" s="1"/>
  <c r="V122" i="142" s="1"/>
  <c r="Q122" i="142"/>
  <c r="T164" i="112" s="1"/>
  <c r="P122" i="142"/>
  <c r="S164" i="112" s="1"/>
  <c r="O122" i="142"/>
  <c r="R164" i="112" s="1"/>
  <c r="Q162" i="112"/>
  <c r="Y162" i="112" s="1"/>
  <c r="S120" i="142"/>
  <c r="T120" i="142" s="1"/>
  <c r="U120" i="142" s="1"/>
  <c r="V120" i="142" s="1"/>
  <c r="Q142" i="142"/>
  <c r="P142" i="142"/>
  <c r="O142" i="142"/>
  <c r="S142" i="142"/>
  <c r="T142" i="142" s="1"/>
  <c r="U142" i="142" s="1"/>
  <c r="V142" i="142" s="1"/>
  <c r="Q159" i="112"/>
  <c r="Q117" i="142"/>
  <c r="P117" i="142"/>
  <c r="O117" i="142"/>
  <c r="S117" i="142"/>
  <c r="T117" i="142" s="1"/>
  <c r="U117" i="142" s="1"/>
  <c r="V117" i="142" s="1"/>
  <c r="P92" i="142"/>
  <c r="Q92" i="142"/>
  <c r="O92" i="142"/>
  <c r="S92" i="142"/>
  <c r="T92" i="142" s="1"/>
  <c r="U92" i="142" s="1"/>
  <c r="V92" i="142" s="1"/>
  <c r="S93" i="142"/>
  <c r="T93" i="142" s="1"/>
  <c r="U93" i="142" s="1"/>
  <c r="V93" i="142" s="1"/>
  <c r="P93" i="142"/>
  <c r="Q93" i="142"/>
  <c r="O93" i="142"/>
  <c r="Q160" i="112"/>
  <c r="Y160" i="112" s="1"/>
  <c r="Q118" i="142"/>
  <c r="P118" i="142"/>
  <c r="O118" i="142"/>
  <c r="S118" i="142"/>
  <c r="T118" i="142" s="1"/>
  <c r="U118" i="142" s="1"/>
  <c r="V118" i="142" s="1"/>
  <c r="O97" i="142"/>
  <c r="S97" i="142"/>
  <c r="T97" i="142" s="1"/>
  <c r="U97" i="142" s="1"/>
  <c r="V97" i="142" s="1"/>
  <c r="Q97" i="142"/>
  <c r="P97" i="142"/>
  <c r="Q158" i="112"/>
  <c r="Q116" i="142"/>
  <c r="S116" i="142"/>
  <c r="T116" i="142" s="1"/>
  <c r="U116" i="142" s="1"/>
  <c r="V116" i="142" s="1"/>
  <c r="P116" i="142"/>
  <c r="O116" i="142"/>
  <c r="H226" i="112"/>
  <c r="H225" i="112"/>
  <c r="H221" i="112"/>
  <c r="H220" i="112"/>
  <c r="H218" i="112"/>
  <c r="AA266" i="112"/>
  <c r="H85" i="142"/>
  <c r="Q157" i="112"/>
  <c r="W157" i="112" s="1"/>
  <c r="AE224" i="112"/>
  <c r="Y118" i="112"/>
  <c r="X118" i="112"/>
  <c r="W118" i="112"/>
  <c r="Y115" i="112"/>
  <c r="W115" i="112"/>
  <c r="X115" i="112"/>
  <c r="W117" i="112"/>
  <c r="Y117" i="112"/>
  <c r="X117" i="112"/>
  <c r="Y120" i="112"/>
  <c r="X120" i="112"/>
  <c r="W120" i="112"/>
  <c r="X116" i="112"/>
  <c r="W116" i="112"/>
  <c r="Y116" i="112"/>
  <c r="W160" i="112"/>
  <c r="X160" i="112"/>
  <c r="N162" i="142"/>
  <c r="S162" i="142" s="1"/>
  <c r="T162" i="142" s="1"/>
  <c r="U162" i="142" s="1"/>
  <c r="V162" i="142" s="1"/>
  <c r="N163" i="142"/>
  <c r="N161" i="142"/>
  <c r="N160" i="142"/>
  <c r="N164" i="142"/>
  <c r="N159" i="142"/>
  <c r="N157" i="142"/>
  <c r="N158" i="142"/>
  <c r="N165" i="142"/>
  <c r="L185" i="142"/>
  <c r="A101" i="112"/>
  <c r="K101" i="112"/>
  <c r="L101" i="112" s="1"/>
  <c r="H101" i="112" s="1"/>
  <c r="B101" i="112"/>
  <c r="AF223" i="112"/>
  <c r="AK266" i="112"/>
  <c r="AG266" i="112" s="1"/>
  <c r="L265" i="112"/>
  <c r="AG223" i="112"/>
  <c r="L162" i="112"/>
  <c r="L223" i="112"/>
  <c r="AE223" i="112"/>
  <c r="AB224" i="112"/>
  <c r="AD223" i="112"/>
  <c r="AC224" i="112"/>
  <c r="AC223" i="112"/>
  <c r="L224" i="112"/>
  <c r="AD224" i="112"/>
  <c r="AF224" i="112"/>
  <c r="AG224" i="112"/>
  <c r="Y163" i="112"/>
  <c r="W163" i="112"/>
  <c r="X163" i="112"/>
  <c r="AK163" i="112"/>
  <c r="AG163" i="112" s="1"/>
  <c r="L163" i="112"/>
  <c r="Q97" i="112"/>
  <c r="Q96" i="112"/>
  <c r="L96" i="112"/>
  <c r="L97" i="112"/>
  <c r="W182" i="112"/>
  <c r="X182" i="112"/>
  <c r="K73" i="142"/>
  <c r="M69" i="142" s="1"/>
  <c r="H128" i="142"/>
  <c r="Q93" i="112"/>
  <c r="W200" i="112"/>
  <c r="X200" i="112"/>
  <c r="Y200" i="112"/>
  <c r="AE255" i="112"/>
  <c r="AD255" i="112"/>
  <c r="AC255" i="112"/>
  <c r="AB255" i="112"/>
  <c r="AF255" i="112"/>
  <c r="X164" i="112"/>
  <c r="W164" i="112"/>
  <c r="Y164" i="112"/>
  <c r="AD251" i="112"/>
  <c r="AC251" i="112"/>
  <c r="AB251" i="112"/>
  <c r="AF251" i="112"/>
  <c r="AE251" i="112"/>
  <c r="Y159" i="112"/>
  <c r="X159" i="112"/>
  <c r="W159" i="112"/>
  <c r="X139" i="112"/>
  <c r="W139" i="112"/>
  <c r="Y139" i="112"/>
  <c r="X202" i="112"/>
  <c r="Y202" i="112"/>
  <c r="W202" i="112"/>
  <c r="Y199" i="112"/>
  <c r="X199" i="112"/>
  <c r="W199" i="112"/>
  <c r="Y136" i="112"/>
  <c r="X136" i="112"/>
  <c r="W136" i="112"/>
  <c r="Q94" i="112"/>
  <c r="X158" i="112"/>
  <c r="W158" i="112"/>
  <c r="Y158" i="112"/>
  <c r="H88" i="142"/>
  <c r="AF252" i="112"/>
  <c r="AE252" i="112"/>
  <c r="AC252" i="112"/>
  <c r="AB252" i="112"/>
  <c r="AD252" i="112"/>
  <c r="Y181" i="112"/>
  <c r="W181" i="112"/>
  <c r="X181" i="112"/>
  <c r="AG252" i="112"/>
  <c r="Y98" i="112"/>
  <c r="X98" i="112"/>
  <c r="W98" i="112"/>
  <c r="Y180" i="112"/>
  <c r="X180" i="112"/>
  <c r="W180" i="112"/>
  <c r="AE257" i="112"/>
  <c r="AB257" i="112"/>
  <c r="AF257" i="112"/>
  <c r="AC257" i="112"/>
  <c r="AD257" i="112"/>
  <c r="Y140" i="112"/>
  <c r="X140" i="112"/>
  <c r="W140" i="112"/>
  <c r="X161" i="112"/>
  <c r="Y161" i="112"/>
  <c r="W161" i="112"/>
  <c r="AG251" i="112"/>
  <c r="AB256" i="112"/>
  <c r="AE256" i="112"/>
  <c r="AG256" i="112"/>
  <c r="AF256" i="112"/>
  <c r="AD256" i="112"/>
  <c r="AC256" i="112"/>
  <c r="Q95" i="112"/>
  <c r="Y141" i="112"/>
  <c r="X141" i="112"/>
  <c r="W141" i="112"/>
  <c r="X203" i="112"/>
  <c r="W203" i="112"/>
  <c r="Y203" i="112"/>
  <c r="X184" i="112"/>
  <c r="Y184" i="112"/>
  <c r="W184" i="112"/>
  <c r="X201" i="112"/>
  <c r="Y201" i="112"/>
  <c r="W201" i="112"/>
  <c r="Y138" i="112"/>
  <c r="X138" i="112"/>
  <c r="W138" i="112"/>
  <c r="X185" i="112"/>
  <c r="Y185" i="112"/>
  <c r="W185" i="112"/>
  <c r="X183" i="112"/>
  <c r="W183" i="112"/>
  <c r="Y183" i="112"/>
  <c r="W91" i="112"/>
  <c r="X91" i="112"/>
  <c r="Y91" i="112"/>
  <c r="Q92" i="112"/>
  <c r="F68" i="112"/>
  <c r="F63" i="112"/>
  <c r="F70" i="112"/>
  <c r="D50" i="134"/>
  <c r="AC84" i="112"/>
  <c r="AE213" i="112"/>
  <c r="AC213" i="112"/>
  <c r="AF213" i="112"/>
  <c r="AB213" i="112"/>
  <c r="AD213" i="112"/>
  <c r="AG213" i="112"/>
  <c r="AG221" i="112"/>
  <c r="AE221" i="112"/>
  <c r="AF221" i="112"/>
  <c r="AD221" i="112"/>
  <c r="AC221" i="112"/>
  <c r="AB221" i="112"/>
  <c r="AF216" i="112"/>
  <c r="AC216" i="112"/>
  <c r="AB216" i="112"/>
  <c r="AE216" i="112"/>
  <c r="AD216" i="112"/>
  <c r="AG216" i="112"/>
  <c r="AD222" i="112"/>
  <c r="AC222" i="112"/>
  <c r="AF222" i="112"/>
  <c r="AB222" i="112"/>
  <c r="AE222" i="112"/>
  <c r="AG222" i="112"/>
  <c r="AF209" i="112"/>
  <c r="AG209" i="112"/>
  <c r="AE209" i="112"/>
  <c r="AB209" i="112"/>
  <c r="AD209" i="112"/>
  <c r="AC209" i="112"/>
  <c r="AG226" i="112"/>
  <c r="AE226" i="112"/>
  <c r="AF226" i="112"/>
  <c r="AB226" i="112"/>
  <c r="AD226" i="112"/>
  <c r="AC226" i="112"/>
  <c r="H219" i="112"/>
  <c r="AE215" i="112"/>
  <c r="AG215" i="112"/>
  <c r="AB215" i="112"/>
  <c r="AD215" i="112"/>
  <c r="AF215" i="112"/>
  <c r="AC215" i="112"/>
  <c r="AB212" i="112"/>
  <c r="AD212" i="112"/>
  <c r="AF212" i="112"/>
  <c r="AC212" i="112"/>
  <c r="AG212" i="112"/>
  <c r="AE212" i="112"/>
  <c r="E62" i="112"/>
  <c r="K127" i="112" s="1"/>
  <c r="AF218" i="112"/>
  <c r="AG218" i="112"/>
  <c r="AC218" i="112"/>
  <c r="AD218" i="112"/>
  <c r="AB218" i="112"/>
  <c r="AE218" i="112"/>
  <c r="AE208" i="112"/>
  <c r="AF208" i="112"/>
  <c r="AD208" i="112"/>
  <c r="AG208" i="112"/>
  <c r="AC208" i="112"/>
  <c r="AB208" i="112"/>
  <c r="AF211" i="112"/>
  <c r="AC211" i="112"/>
  <c r="AG211" i="112"/>
  <c r="AD211" i="112"/>
  <c r="AB211" i="112"/>
  <c r="AE211" i="112"/>
  <c r="AG219" i="112"/>
  <c r="AD219" i="112"/>
  <c r="AC219" i="112"/>
  <c r="AE219" i="112"/>
  <c r="AF219" i="112"/>
  <c r="AB219" i="112"/>
  <c r="AD220" i="112"/>
  <c r="AE220" i="112"/>
  <c r="AF220" i="112"/>
  <c r="AB220" i="112"/>
  <c r="AG220" i="112"/>
  <c r="AC220" i="112"/>
  <c r="AD214" i="112"/>
  <c r="AB214" i="112"/>
  <c r="AE214" i="112"/>
  <c r="AF214" i="112"/>
  <c r="AC214" i="112"/>
  <c r="AE210" i="112"/>
  <c r="AC210" i="112"/>
  <c r="AD210" i="112"/>
  <c r="AG210" i="112"/>
  <c r="AF210" i="112"/>
  <c r="AB210" i="112"/>
  <c r="C50" i="134"/>
  <c r="AB84" i="112"/>
  <c r="F66" i="112"/>
  <c r="E64" i="112"/>
  <c r="K129" i="112" s="1"/>
  <c r="E66" i="112"/>
  <c r="K131" i="112" s="1"/>
  <c r="G62" i="112"/>
  <c r="K148" i="112" s="1"/>
  <c r="E65" i="112"/>
  <c r="K130" i="112" s="1"/>
  <c r="H70" i="112"/>
  <c r="H65" i="112"/>
  <c r="G68" i="112"/>
  <c r="K154" i="112" s="1"/>
  <c r="L154" i="112" s="1"/>
  <c r="F67" i="112"/>
  <c r="E68" i="112"/>
  <c r="K133" i="112" s="1"/>
  <c r="G67" i="112"/>
  <c r="F69" i="112"/>
  <c r="H66" i="112"/>
  <c r="K175" i="112" s="1"/>
  <c r="H64" i="112"/>
  <c r="K173" i="112" s="1"/>
  <c r="G64" i="112"/>
  <c r="K150" i="112" s="1"/>
  <c r="F64" i="112"/>
  <c r="I63" i="112"/>
  <c r="K191" i="112" s="1"/>
  <c r="I66" i="112"/>
  <c r="H62" i="112"/>
  <c r="K171" i="112" s="1"/>
  <c r="C64" i="112"/>
  <c r="K84" i="112" s="1"/>
  <c r="L84" i="112" s="1"/>
  <c r="G63" i="112"/>
  <c r="K149" i="112" s="1"/>
  <c r="F62" i="112"/>
  <c r="J63" i="112"/>
  <c r="E67" i="112"/>
  <c r="K132" i="112" s="1"/>
  <c r="H68" i="112"/>
  <c r="G66" i="112"/>
  <c r="K152" i="112" s="1"/>
  <c r="F65" i="112"/>
  <c r="E69" i="112"/>
  <c r="K134" i="112" s="1"/>
  <c r="I67" i="112"/>
  <c r="H61" i="112"/>
  <c r="K170" i="112" s="1"/>
  <c r="H58" i="112"/>
  <c r="C66" i="112"/>
  <c r="K86" i="112" s="1"/>
  <c r="L86" i="112" s="1"/>
  <c r="G58" i="112"/>
  <c r="G61" i="112"/>
  <c r="J67" i="112"/>
  <c r="K236" i="112" s="1"/>
  <c r="F61" i="112"/>
  <c r="F58" i="112"/>
  <c r="K232" i="112"/>
  <c r="I68" i="112"/>
  <c r="H69" i="112"/>
  <c r="C67" i="112"/>
  <c r="K87" i="112" s="1"/>
  <c r="L87" i="112" s="1"/>
  <c r="G65" i="112"/>
  <c r="AD87" i="112"/>
  <c r="E53" i="134"/>
  <c r="J66" i="112"/>
  <c r="K235" i="112" s="1"/>
  <c r="E70" i="112"/>
  <c r="K140" i="112" s="1"/>
  <c r="L140" i="112" s="1"/>
  <c r="C68" i="112"/>
  <c r="K88" i="112" s="1"/>
  <c r="L88" i="112" s="1"/>
  <c r="G70" i="112"/>
  <c r="K161" i="112" s="1"/>
  <c r="L161" i="112" s="1"/>
  <c r="G51" i="134"/>
  <c r="AE86" i="112"/>
  <c r="J65" i="112"/>
  <c r="K234" i="112" s="1"/>
  <c r="I64" i="112"/>
  <c r="K192" i="112" s="1"/>
  <c r="H63" i="112"/>
  <c r="K172" i="112" s="1"/>
  <c r="C62" i="112"/>
  <c r="K82" i="112" s="1"/>
  <c r="L82" i="112" s="1"/>
  <c r="J68" i="112"/>
  <c r="K237" i="112" s="1"/>
  <c r="E63" i="112"/>
  <c r="K128" i="112" s="1"/>
  <c r="C58" i="112"/>
  <c r="C61" i="112"/>
  <c r="K81" i="112" s="1"/>
  <c r="L81" i="112" s="1"/>
  <c r="J62" i="112"/>
  <c r="K231" i="112" s="1"/>
  <c r="I58" i="112"/>
  <c r="I61" i="112"/>
  <c r="C70" i="112"/>
  <c r="K95" i="112" s="1"/>
  <c r="L95" i="112" s="1"/>
  <c r="J58" i="112"/>
  <c r="J61" i="112"/>
  <c r="K230" i="112" s="1"/>
  <c r="I70" i="112"/>
  <c r="C65" i="112"/>
  <c r="K85" i="112" s="1"/>
  <c r="L85" i="112" s="1"/>
  <c r="I65" i="112"/>
  <c r="H67" i="112"/>
  <c r="C63" i="112"/>
  <c r="K83" i="112" s="1"/>
  <c r="L83" i="112" s="1"/>
  <c r="G69" i="112"/>
  <c r="J64" i="112"/>
  <c r="K233" i="112" s="1"/>
  <c r="D70" i="112"/>
  <c r="K119" i="112" s="1"/>
  <c r="L119" i="112" s="1"/>
  <c r="D64" i="112"/>
  <c r="K108" i="112" s="1"/>
  <c r="L108" i="112" s="1"/>
  <c r="D68" i="112"/>
  <c r="K112" i="112" s="1"/>
  <c r="L112" i="112" s="1"/>
  <c r="D61" i="112"/>
  <c r="K105" i="112" s="1"/>
  <c r="L105" i="112" s="1"/>
  <c r="D65" i="112"/>
  <c r="K109" i="112" s="1"/>
  <c r="L109" i="112" s="1"/>
  <c r="D69" i="112"/>
  <c r="K113" i="112" s="1"/>
  <c r="L113" i="112" s="1"/>
  <c r="D67" i="112"/>
  <c r="K111" i="112" s="1"/>
  <c r="L111" i="112" s="1"/>
  <c r="D62" i="112"/>
  <c r="K106" i="112" s="1"/>
  <c r="L106" i="112" s="1"/>
  <c r="D66" i="112"/>
  <c r="K110" i="112" s="1"/>
  <c r="L110" i="112" s="1"/>
  <c r="D63" i="112"/>
  <c r="K107" i="112" s="1"/>
  <c r="L107" i="112" s="1"/>
  <c r="E58" i="112"/>
  <c r="E61" i="112"/>
  <c r="K126" i="112" s="1"/>
  <c r="I69" i="112"/>
  <c r="K252" i="112"/>
  <c r="K256" i="112"/>
  <c r="K254" i="112"/>
  <c r="K258" i="112"/>
  <c r="K264" i="112"/>
  <c r="L264" i="112" s="1"/>
  <c r="K251" i="112"/>
  <c r="K255" i="112"/>
  <c r="K257" i="112"/>
  <c r="K253" i="112"/>
  <c r="L253" i="112" s="1"/>
  <c r="K250" i="112"/>
  <c r="L250" i="112" s="1"/>
  <c r="J69" i="112"/>
  <c r="K238" i="112" s="1"/>
  <c r="D111" i="112"/>
  <c r="D113" i="112"/>
  <c r="D116" i="112"/>
  <c r="D105" i="112"/>
  <c r="D118" i="112"/>
  <c r="D108" i="112"/>
  <c r="D122" i="112"/>
  <c r="D106" i="112"/>
  <c r="D107" i="112"/>
  <c r="D109" i="112"/>
  <c r="D110" i="112"/>
  <c r="D112" i="112"/>
  <c r="D115" i="112"/>
  <c r="D117" i="112"/>
  <c r="D119" i="112"/>
  <c r="C116" i="112"/>
  <c r="A116" i="112" s="1"/>
  <c r="D120" i="112"/>
  <c r="K115" i="112"/>
  <c r="L115" i="112" s="1"/>
  <c r="K118" i="112"/>
  <c r="L118" i="112" s="1"/>
  <c r="K120" i="112"/>
  <c r="L120" i="112" s="1"/>
  <c r="K117" i="112"/>
  <c r="L117" i="112" s="1"/>
  <c r="I62" i="112"/>
  <c r="C69" i="112"/>
  <c r="J70" i="112"/>
  <c r="K244" i="112" s="1"/>
  <c r="L244" i="112" s="1"/>
  <c r="AF85" i="112"/>
  <c r="H50" i="134"/>
  <c r="AG85" i="112" s="1"/>
  <c r="W162" i="112" l="1"/>
  <c r="X162" i="112"/>
  <c r="Q161" i="142"/>
  <c r="S161" i="142"/>
  <c r="T161" i="142" s="1"/>
  <c r="U161" i="142" s="1"/>
  <c r="V161" i="142" s="1"/>
  <c r="P161" i="142"/>
  <c r="O161" i="142"/>
  <c r="Q163" i="142"/>
  <c r="P163" i="142"/>
  <c r="O163" i="142"/>
  <c r="S163" i="142"/>
  <c r="T163" i="142" s="1"/>
  <c r="U163" i="142" s="1"/>
  <c r="V163" i="142" s="1"/>
  <c r="S165" i="142"/>
  <c r="T165" i="142" s="1"/>
  <c r="U165" i="142" s="1"/>
  <c r="V165" i="142" s="1"/>
  <c r="P165" i="142"/>
  <c r="S226" i="112" s="1"/>
  <c r="Q165" i="142"/>
  <c r="T226" i="112" s="1"/>
  <c r="O165" i="142"/>
  <c r="R226" i="112" s="1"/>
  <c r="Q158" i="142"/>
  <c r="P158" i="142"/>
  <c r="O158" i="142"/>
  <c r="S158" i="142"/>
  <c r="T158" i="142" s="1"/>
  <c r="U158" i="142" s="1"/>
  <c r="V158" i="142" s="1"/>
  <c r="S157" i="142"/>
  <c r="T157" i="142" s="1"/>
  <c r="U157" i="142" s="1"/>
  <c r="V157" i="142" s="1"/>
  <c r="Q157" i="142"/>
  <c r="P157" i="142"/>
  <c r="O157" i="142"/>
  <c r="Q159" i="142"/>
  <c r="P159" i="142"/>
  <c r="O159" i="142"/>
  <c r="S159" i="142"/>
  <c r="T159" i="142" s="1"/>
  <c r="U159" i="142" s="1"/>
  <c r="V159" i="142" s="1"/>
  <c r="Q164" i="142"/>
  <c r="T225" i="112" s="1"/>
  <c r="P164" i="142"/>
  <c r="S225" i="112" s="1"/>
  <c r="O164" i="142"/>
  <c r="R225" i="112" s="1"/>
  <c r="S164" i="142"/>
  <c r="T164" i="142" s="1"/>
  <c r="U164" i="142" s="1"/>
  <c r="V164" i="142" s="1"/>
  <c r="S160" i="142"/>
  <c r="T160" i="142" s="1"/>
  <c r="U160" i="142" s="1"/>
  <c r="V160" i="142" s="1"/>
  <c r="Q160" i="142"/>
  <c r="O160" i="142"/>
  <c r="P160" i="142"/>
  <c r="X157" i="112"/>
  <c r="Y157" i="112"/>
  <c r="Q223" i="112"/>
  <c r="N185" i="142"/>
  <c r="N184" i="142"/>
  <c r="S184" i="142" s="1"/>
  <c r="T184" i="142" s="1"/>
  <c r="U184" i="142" s="1"/>
  <c r="V184" i="142" s="1"/>
  <c r="N179" i="142"/>
  <c r="N182" i="142"/>
  <c r="N186" i="142"/>
  <c r="N183" i="142"/>
  <c r="S183" i="142" s="1"/>
  <c r="T183" i="142" s="1"/>
  <c r="U183" i="142" s="1"/>
  <c r="V183" i="142" s="1"/>
  <c r="N180" i="142"/>
  <c r="N181" i="142"/>
  <c r="Q226" i="112"/>
  <c r="Q219" i="112"/>
  <c r="Q218" i="112"/>
  <c r="Q220" i="112"/>
  <c r="Q225" i="112"/>
  <c r="Q221" i="112"/>
  <c r="Q222" i="112"/>
  <c r="Q224" i="112"/>
  <c r="AE266" i="112"/>
  <c r="AC266" i="112"/>
  <c r="AF266" i="112"/>
  <c r="AB266" i="112"/>
  <c r="P162" i="112"/>
  <c r="V162" i="112" s="1"/>
  <c r="AD266" i="112"/>
  <c r="P265" i="112"/>
  <c r="P266" i="112"/>
  <c r="P163" i="112"/>
  <c r="AB163" i="112"/>
  <c r="AC163" i="112"/>
  <c r="AD163" i="112"/>
  <c r="AE163" i="112"/>
  <c r="AF163" i="112"/>
  <c r="X96" i="112"/>
  <c r="Y96" i="112"/>
  <c r="W96" i="112"/>
  <c r="Y97" i="112"/>
  <c r="W97" i="112"/>
  <c r="X97" i="112"/>
  <c r="P97" i="112"/>
  <c r="P96" i="112"/>
  <c r="M68" i="142"/>
  <c r="M64" i="142"/>
  <c r="M65" i="142"/>
  <c r="M62" i="142"/>
  <c r="L73" i="142"/>
  <c r="M70" i="142"/>
  <c r="M61" i="142"/>
  <c r="M67" i="142"/>
  <c r="M66" i="142"/>
  <c r="M63" i="142"/>
  <c r="X95" i="112"/>
  <c r="W95" i="112"/>
  <c r="Y95" i="112"/>
  <c r="Y93" i="112"/>
  <c r="X93" i="112"/>
  <c r="W93" i="112"/>
  <c r="X92" i="112"/>
  <c r="Y92" i="112"/>
  <c r="W92" i="112"/>
  <c r="X94" i="112"/>
  <c r="Y94" i="112"/>
  <c r="W94" i="112"/>
  <c r="P101" i="112"/>
  <c r="V101" i="112" s="1"/>
  <c r="P269" i="112"/>
  <c r="K174" i="112"/>
  <c r="L174" i="112" s="1"/>
  <c r="D51" i="134"/>
  <c r="AC85" i="112"/>
  <c r="AB85" i="112"/>
  <c r="C51" i="134"/>
  <c r="L148" i="112"/>
  <c r="H148" i="112" s="1"/>
  <c r="L192" i="112"/>
  <c r="H192" i="112" s="1"/>
  <c r="L256" i="112"/>
  <c r="H256" i="112" s="1"/>
  <c r="L252" i="112"/>
  <c r="H252" i="112" s="1"/>
  <c r="L257" i="112"/>
  <c r="H257" i="112" s="1"/>
  <c r="L231" i="112"/>
  <c r="H231" i="112" s="1"/>
  <c r="L128" i="112"/>
  <c r="H128" i="112" s="1"/>
  <c r="L130" i="112"/>
  <c r="H130" i="112" s="1"/>
  <c r="L237" i="112"/>
  <c r="H237" i="112" s="1"/>
  <c r="L127" i="112"/>
  <c r="H127" i="112" s="1"/>
  <c r="L129" i="112"/>
  <c r="H129" i="112" s="1"/>
  <c r="L232" i="112"/>
  <c r="H232" i="112" s="1"/>
  <c r="L133" i="112"/>
  <c r="H133" i="112" s="1"/>
  <c r="L235" i="112"/>
  <c r="H235" i="112" s="1"/>
  <c r="L150" i="112"/>
  <c r="L191" i="112"/>
  <c r="H191" i="112" s="1"/>
  <c r="L255" i="112"/>
  <c r="H255" i="112" s="1"/>
  <c r="L134" i="112"/>
  <c r="H134" i="112" s="1"/>
  <c r="L251" i="112"/>
  <c r="H251" i="112" s="1"/>
  <c r="L126" i="112"/>
  <c r="H126" i="112" s="1"/>
  <c r="L233" i="112"/>
  <c r="H233" i="112" s="1"/>
  <c r="L172" i="112"/>
  <c r="H172" i="112" s="1"/>
  <c r="L175" i="112"/>
  <c r="L238" i="112"/>
  <c r="H238" i="112" s="1"/>
  <c r="L258" i="112"/>
  <c r="H258" i="112" s="1"/>
  <c r="L234" i="112"/>
  <c r="H234" i="112" s="1"/>
  <c r="L131" i="112"/>
  <c r="H131" i="112" s="1"/>
  <c r="L132" i="112"/>
  <c r="H132" i="112" s="1"/>
  <c r="L254" i="112"/>
  <c r="H254" i="112" s="1"/>
  <c r="L236" i="112"/>
  <c r="H236" i="112" s="1"/>
  <c r="L149" i="112"/>
  <c r="H149" i="112" s="1"/>
  <c r="L230" i="112"/>
  <c r="H230" i="112" s="1"/>
  <c r="L171" i="112"/>
  <c r="H171" i="112" s="1"/>
  <c r="L170" i="112"/>
  <c r="H170" i="112" s="1"/>
  <c r="L152" i="112"/>
  <c r="H152" i="112" s="1"/>
  <c r="L173" i="112"/>
  <c r="H173" i="112" s="1"/>
  <c r="K176" i="112"/>
  <c r="K151" i="112"/>
  <c r="K212" i="112"/>
  <c r="K197" i="112"/>
  <c r="K209" i="112"/>
  <c r="K214" i="112"/>
  <c r="K196" i="112"/>
  <c r="K222" i="112"/>
  <c r="L222" i="112" s="1"/>
  <c r="P221" i="112" s="1"/>
  <c r="L69" i="112"/>
  <c r="K116" i="112"/>
  <c r="L116" i="112" s="1"/>
  <c r="P118" i="112" s="1"/>
  <c r="K190" i="112"/>
  <c r="K213" i="112"/>
  <c r="K153" i="112"/>
  <c r="K210" i="112"/>
  <c r="K184" i="112"/>
  <c r="L184" i="112" s="1"/>
  <c r="P180" i="112" s="1"/>
  <c r="K215" i="112"/>
  <c r="K178" i="112"/>
  <c r="K194" i="112"/>
  <c r="K155" i="112"/>
  <c r="K177" i="112"/>
  <c r="K195" i="112"/>
  <c r="K193" i="112"/>
  <c r="K211" i="112"/>
  <c r="L211" i="112" s="1"/>
  <c r="H211" i="112" s="1"/>
  <c r="K203" i="112"/>
  <c r="K216" i="112"/>
  <c r="P98" i="112"/>
  <c r="H95" i="112"/>
  <c r="P93" i="112"/>
  <c r="P95" i="112"/>
  <c r="P91" i="112"/>
  <c r="P94" i="112"/>
  <c r="R94" i="112" s="1"/>
  <c r="P92" i="112"/>
  <c r="AK105" i="112"/>
  <c r="AF105" i="112" s="1"/>
  <c r="F105" i="112"/>
  <c r="H105" i="112" s="1"/>
  <c r="B105" i="112"/>
  <c r="A105" i="112"/>
  <c r="P143" i="112"/>
  <c r="Q143" i="112" s="1"/>
  <c r="P139" i="112"/>
  <c r="P260" i="112"/>
  <c r="P246" i="112"/>
  <c r="P159" i="112"/>
  <c r="P137" i="112"/>
  <c r="P141" i="112"/>
  <c r="P243" i="112"/>
  <c r="P242" i="112"/>
  <c r="P240" i="112"/>
  <c r="P164" i="112"/>
  <c r="P158" i="112"/>
  <c r="P261" i="112"/>
  <c r="P160" i="112"/>
  <c r="P241" i="112"/>
  <c r="P262" i="112"/>
  <c r="P136" i="112"/>
  <c r="P267" i="112"/>
  <c r="P100" i="112"/>
  <c r="R100" i="112" s="1"/>
  <c r="P157" i="112"/>
  <c r="P138" i="112"/>
  <c r="P263" i="112"/>
  <c r="P245" i="112"/>
  <c r="P268" i="112"/>
  <c r="P166" i="112"/>
  <c r="B117" i="112"/>
  <c r="F117" i="112"/>
  <c r="H117" i="112" s="1"/>
  <c r="AK117" i="112"/>
  <c r="AC117" i="112" s="1"/>
  <c r="A113" i="112"/>
  <c r="F113" i="112"/>
  <c r="H113" i="112" s="1"/>
  <c r="AK113" i="112"/>
  <c r="AG113" i="112" s="1"/>
  <c r="B113" i="112"/>
  <c r="H264" i="112"/>
  <c r="P264" i="112"/>
  <c r="L65" i="112"/>
  <c r="G52" i="134"/>
  <c r="H52" i="134" s="1"/>
  <c r="AE87" i="112"/>
  <c r="F115" i="112"/>
  <c r="H115" i="112" s="1"/>
  <c r="AK115" i="112"/>
  <c r="AC115" i="112" s="1"/>
  <c r="B115" i="112"/>
  <c r="A111" i="112"/>
  <c r="B111" i="112"/>
  <c r="F111" i="112"/>
  <c r="H111" i="112" s="1"/>
  <c r="AK111" i="112"/>
  <c r="AE111" i="112" s="1"/>
  <c r="L63" i="112"/>
  <c r="B112" i="112"/>
  <c r="F112" i="112"/>
  <c r="H112" i="112" s="1"/>
  <c r="A112" i="112"/>
  <c r="AK112" i="112"/>
  <c r="AG112" i="112" s="1"/>
  <c r="H82" i="112"/>
  <c r="L70" i="112"/>
  <c r="H51" i="134"/>
  <c r="AG86" i="112" s="1"/>
  <c r="AK110" i="112"/>
  <c r="AF110" i="112" s="1"/>
  <c r="A110" i="112"/>
  <c r="B110" i="112"/>
  <c r="F110" i="112"/>
  <c r="H110" i="112" s="1"/>
  <c r="H84" i="112"/>
  <c r="H87" i="112"/>
  <c r="P117" i="112"/>
  <c r="A109" i="112"/>
  <c r="B109" i="112"/>
  <c r="F109" i="112"/>
  <c r="H109" i="112" s="1"/>
  <c r="AK109" i="112"/>
  <c r="AC109" i="112" s="1"/>
  <c r="H86" i="112"/>
  <c r="L67" i="112"/>
  <c r="P120" i="112"/>
  <c r="F107" i="112"/>
  <c r="H107" i="112" s="1"/>
  <c r="AK107" i="112"/>
  <c r="AF107" i="112" s="1"/>
  <c r="B107" i="112"/>
  <c r="A107" i="112"/>
  <c r="H83" i="112"/>
  <c r="H154" i="112"/>
  <c r="L68" i="112"/>
  <c r="G73" i="112"/>
  <c r="AK106" i="112"/>
  <c r="AG106" i="112" s="1"/>
  <c r="A106" i="112"/>
  <c r="B106" i="112"/>
  <c r="F106" i="112"/>
  <c r="H106" i="112" s="1"/>
  <c r="H85" i="112"/>
  <c r="K208" i="112"/>
  <c r="L208" i="112" s="1"/>
  <c r="I73" i="112"/>
  <c r="H140" i="112"/>
  <c r="P140" i="112"/>
  <c r="P115" i="112"/>
  <c r="AK122" i="112"/>
  <c r="AF122" i="112" s="1"/>
  <c r="B122" i="112"/>
  <c r="P122" i="112"/>
  <c r="K89" i="112"/>
  <c r="L89" i="112" s="1"/>
  <c r="D73" i="112"/>
  <c r="L61" i="112"/>
  <c r="C73" i="112"/>
  <c r="L62" i="112"/>
  <c r="L66" i="112"/>
  <c r="K189" i="112"/>
  <c r="H73" i="112"/>
  <c r="F120" i="112"/>
  <c r="H120" i="112" s="1"/>
  <c r="AK120" i="112"/>
  <c r="AC120" i="112" s="1"/>
  <c r="B120" i="112"/>
  <c r="B108" i="112"/>
  <c r="AK108" i="112"/>
  <c r="AF108" i="112" s="1"/>
  <c r="A108" i="112"/>
  <c r="F108" i="112"/>
  <c r="H108" i="112" s="1"/>
  <c r="H250" i="112"/>
  <c r="H88" i="112"/>
  <c r="J73" i="112"/>
  <c r="K147" i="112"/>
  <c r="L147" i="112" s="1"/>
  <c r="F73" i="112"/>
  <c r="H244" i="112"/>
  <c r="P244" i="112"/>
  <c r="B118" i="112"/>
  <c r="F118" i="112"/>
  <c r="H118" i="112" s="1"/>
  <c r="AK118" i="112"/>
  <c r="AF118" i="112" s="1"/>
  <c r="H253" i="112"/>
  <c r="L64" i="112"/>
  <c r="P119" i="112"/>
  <c r="H161" i="112"/>
  <c r="P161" i="112"/>
  <c r="AD88" i="112"/>
  <c r="E54" i="134"/>
  <c r="F53" i="134"/>
  <c r="G53" i="134" s="1"/>
  <c r="F119" i="112"/>
  <c r="H119" i="112" s="1"/>
  <c r="AK119" i="112"/>
  <c r="AB119" i="112" s="1"/>
  <c r="B119" i="112"/>
  <c r="F116" i="112"/>
  <c r="H116" i="112" s="1"/>
  <c r="AK116" i="112"/>
  <c r="AG116" i="112" s="1"/>
  <c r="B116" i="112"/>
  <c r="H81" i="112"/>
  <c r="E73" i="112"/>
  <c r="Q181" i="142" l="1"/>
  <c r="P181" i="142"/>
  <c r="O181" i="142"/>
  <c r="S181" i="142"/>
  <c r="T181" i="142" s="1"/>
  <c r="U181" i="142" s="1"/>
  <c r="V181" i="142" s="1"/>
  <c r="Q180" i="142"/>
  <c r="P180" i="142"/>
  <c r="S180" i="142"/>
  <c r="T180" i="142" s="1"/>
  <c r="U180" i="142" s="1"/>
  <c r="V180" i="142" s="1"/>
  <c r="O180" i="142"/>
  <c r="S186" i="142"/>
  <c r="T186" i="142" s="1"/>
  <c r="U186" i="142" s="1"/>
  <c r="V186" i="142" s="1"/>
  <c r="Q186" i="142"/>
  <c r="T267" i="112" s="1"/>
  <c r="P186" i="142"/>
  <c r="S267" i="112" s="1"/>
  <c r="O186" i="142"/>
  <c r="Q182" i="142"/>
  <c r="P182" i="142"/>
  <c r="O182" i="142"/>
  <c r="S182" i="142"/>
  <c r="T182" i="142" s="1"/>
  <c r="U182" i="142" s="1"/>
  <c r="V182" i="142" s="1"/>
  <c r="S179" i="142"/>
  <c r="T179" i="142" s="1"/>
  <c r="U179" i="142" s="1"/>
  <c r="V179" i="142" s="1"/>
  <c r="O179" i="142"/>
  <c r="P179" i="142" s="1"/>
  <c r="Q179" i="142" s="1"/>
  <c r="P185" i="142"/>
  <c r="S185" i="142"/>
  <c r="T185" i="142" s="1"/>
  <c r="U185" i="142" s="1"/>
  <c r="V185" i="142" s="1"/>
  <c r="Q185" i="142"/>
  <c r="O185" i="142"/>
  <c r="P218" i="112"/>
  <c r="S218" i="112" s="1"/>
  <c r="P225" i="112"/>
  <c r="V225" i="112" s="1"/>
  <c r="P219" i="112"/>
  <c r="S219" i="112" s="1"/>
  <c r="H222" i="112"/>
  <c r="P222" i="112"/>
  <c r="T222" i="112" s="1"/>
  <c r="P226" i="112"/>
  <c r="V226" i="112" s="1"/>
  <c r="Y225" i="112"/>
  <c r="X225" i="112"/>
  <c r="W225" i="112"/>
  <c r="W220" i="112"/>
  <c r="Y220" i="112"/>
  <c r="X220" i="112"/>
  <c r="Q262" i="112"/>
  <c r="Q261" i="112"/>
  <c r="W223" i="112"/>
  <c r="X223" i="112"/>
  <c r="Y223" i="112"/>
  <c r="X218" i="112"/>
  <c r="Y218" i="112"/>
  <c r="W218" i="112"/>
  <c r="Y226" i="112"/>
  <c r="X226" i="112"/>
  <c r="W226" i="112"/>
  <c r="Q264" i="112"/>
  <c r="Q267" i="112"/>
  <c r="P116" i="112"/>
  <c r="R116" i="112" s="1"/>
  <c r="Q263" i="112"/>
  <c r="Q260" i="112"/>
  <c r="R260" i="112" s="1"/>
  <c r="S260" i="112" s="1"/>
  <c r="T260" i="112" s="1"/>
  <c r="Q265" i="112"/>
  <c r="Y219" i="112"/>
  <c r="X219" i="112"/>
  <c r="W219" i="112"/>
  <c r="Q266" i="112"/>
  <c r="Y222" i="112"/>
  <c r="X222" i="112"/>
  <c r="W222" i="112"/>
  <c r="Y221" i="112"/>
  <c r="W221" i="112"/>
  <c r="X221" i="112"/>
  <c r="Y224" i="112"/>
  <c r="W224" i="112"/>
  <c r="X224" i="112"/>
  <c r="H184" i="112"/>
  <c r="T266" i="112"/>
  <c r="S266" i="112"/>
  <c r="V266" i="112"/>
  <c r="V265" i="112"/>
  <c r="P184" i="112"/>
  <c r="T184" i="112" s="1"/>
  <c r="P220" i="112"/>
  <c r="R220" i="112" s="1"/>
  <c r="P223" i="112"/>
  <c r="P224" i="112"/>
  <c r="T163" i="112"/>
  <c r="S163" i="112"/>
  <c r="R163" i="112"/>
  <c r="V163" i="112"/>
  <c r="V96" i="112"/>
  <c r="V97" i="112"/>
  <c r="T97" i="112"/>
  <c r="S97" i="112"/>
  <c r="S101" i="112"/>
  <c r="T101" i="112"/>
  <c r="V269" i="112"/>
  <c r="T269" i="112"/>
  <c r="S269" i="112"/>
  <c r="P185" i="112"/>
  <c r="V185" i="112" s="1"/>
  <c r="P183" i="112"/>
  <c r="R183" i="112" s="1"/>
  <c r="P182" i="112"/>
  <c r="R182" i="112" s="1"/>
  <c r="P181" i="112"/>
  <c r="R181" i="112" s="1"/>
  <c r="AC86" i="112"/>
  <c r="D52" i="134"/>
  <c r="C52" i="134"/>
  <c r="AB86" i="112"/>
  <c r="AG105" i="112"/>
  <c r="AG111" i="112"/>
  <c r="AC105" i="112"/>
  <c r="H175" i="112"/>
  <c r="H150" i="112"/>
  <c r="H174" i="112"/>
  <c r="L155" i="112"/>
  <c r="L189" i="112"/>
  <c r="H189" i="112" s="1"/>
  <c r="L193" i="112"/>
  <c r="H193" i="112" s="1"/>
  <c r="L194" i="112"/>
  <c r="H194" i="112" s="1"/>
  <c r="L195" i="112"/>
  <c r="H195" i="112" s="1"/>
  <c r="L178" i="112"/>
  <c r="H178" i="112" s="1"/>
  <c r="L196" i="112"/>
  <c r="H196" i="112" s="1"/>
  <c r="L177" i="112"/>
  <c r="H177" i="112" s="1"/>
  <c r="L215" i="112"/>
  <c r="L214" i="112"/>
  <c r="L209" i="112"/>
  <c r="L210" i="112"/>
  <c r="L197" i="112"/>
  <c r="H197" i="112" s="1"/>
  <c r="L153" i="112"/>
  <c r="L212" i="112"/>
  <c r="L203" i="112"/>
  <c r="P199" i="112" s="1"/>
  <c r="L213" i="112"/>
  <c r="L151" i="112"/>
  <c r="L176" i="112"/>
  <c r="L216" i="112"/>
  <c r="L190" i="112"/>
  <c r="H190" i="112" s="1"/>
  <c r="T91" i="112"/>
  <c r="V91" i="112"/>
  <c r="X143" i="112"/>
  <c r="W143" i="112"/>
  <c r="Y143" i="112"/>
  <c r="AG107" i="112"/>
  <c r="AD107" i="112"/>
  <c r="AB117" i="112"/>
  <c r="AE112" i="112"/>
  <c r="AE117" i="112"/>
  <c r="AE119" i="112"/>
  <c r="AE110" i="112"/>
  <c r="AD106" i="112"/>
  <c r="AF109" i="112"/>
  <c r="AB109" i="112"/>
  <c r="AG119" i="112"/>
  <c r="AG118" i="112"/>
  <c r="AE106" i="112"/>
  <c r="AG120" i="112"/>
  <c r="AD122" i="112"/>
  <c r="AC106" i="112"/>
  <c r="AC107" i="112"/>
  <c r="AC110" i="112"/>
  <c r="AB115" i="112"/>
  <c r="AB107" i="112"/>
  <c r="AG109" i="112"/>
  <c r="AF117" i="112"/>
  <c r="AB108" i="112"/>
  <c r="AF120" i="112"/>
  <c r="AC119" i="112"/>
  <c r="AD108" i="112"/>
  <c r="AE120" i="112"/>
  <c r="AC113" i="112"/>
  <c r="AE108" i="112"/>
  <c r="AD120" i="112"/>
  <c r="AB113" i="112"/>
  <c r="AC108" i="112"/>
  <c r="AB120" i="112"/>
  <c r="AF106" i="112"/>
  <c r="AD113" i="112"/>
  <c r="AG108" i="112"/>
  <c r="AG122" i="112"/>
  <c r="AD115" i="112"/>
  <c r="AE122" i="112"/>
  <c r="AB106" i="112"/>
  <c r="AE107" i="112"/>
  <c r="AG110" i="112"/>
  <c r="AF115" i="112"/>
  <c r="T115" i="112"/>
  <c r="S115" i="112"/>
  <c r="V115" i="112"/>
  <c r="R115" i="112"/>
  <c r="AC116" i="112"/>
  <c r="S117" i="112"/>
  <c r="V117" i="112"/>
  <c r="R117" i="112"/>
  <c r="T117" i="112"/>
  <c r="AC112" i="112"/>
  <c r="AE113" i="112"/>
  <c r="AG117" i="112"/>
  <c r="V157" i="112"/>
  <c r="S157" i="112"/>
  <c r="T157" i="112"/>
  <c r="R157" i="112"/>
  <c r="V164" i="112"/>
  <c r="R243" i="112"/>
  <c r="T243" i="112"/>
  <c r="V243" i="112"/>
  <c r="Q243" i="112"/>
  <c r="S243" i="112"/>
  <c r="V139" i="112"/>
  <c r="T139" i="112"/>
  <c r="R139" i="112"/>
  <c r="S139" i="112"/>
  <c r="S122" i="112"/>
  <c r="R122" i="112"/>
  <c r="T122" i="112"/>
  <c r="Q122" i="112"/>
  <c r="V122" i="112"/>
  <c r="S263" i="112"/>
  <c r="R263" i="112"/>
  <c r="T263" i="112"/>
  <c r="V263" i="112"/>
  <c r="V267" i="112"/>
  <c r="S141" i="112"/>
  <c r="V141" i="112"/>
  <c r="R141" i="112"/>
  <c r="T141" i="112"/>
  <c r="T100" i="112"/>
  <c r="V100" i="112"/>
  <c r="S100" i="112"/>
  <c r="AG87" i="112"/>
  <c r="AF87" i="112"/>
  <c r="S221" i="112"/>
  <c r="T221" i="112"/>
  <c r="V221" i="112"/>
  <c r="R221" i="112"/>
  <c r="S143" i="112"/>
  <c r="T143" i="112"/>
  <c r="V143" i="112"/>
  <c r="R143" i="112"/>
  <c r="R92" i="112"/>
  <c r="S92" i="112"/>
  <c r="T92" i="112"/>
  <c r="V92" i="112"/>
  <c r="AE88" i="112"/>
  <c r="R240" i="112"/>
  <c r="Q240" i="112"/>
  <c r="T240" i="112"/>
  <c r="V240" i="112"/>
  <c r="S240" i="112"/>
  <c r="AC118" i="112"/>
  <c r="AD118" i="112"/>
  <c r="AF116" i="112"/>
  <c r="AB118" i="112"/>
  <c r="AB122" i="112"/>
  <c r="AD109" i="112"/>
  <c r="AB110" i="112"/>
  <c r="AD111" i="112"/>
  <c r="AG115" i="112"/>
  <c r="AF113" i="112"/>
  <c r="T138" i="112"/>
  <c r="S138" i="112"/>
  <c r="R138" i="112"/>
  <c r="V138" i="112"/>
  <c r="S136" i="112"/>
  <c r="V136" i="112"/>
  <c r="R136" i="112"/>
  <c r="T136" i="112"/>
  <c r="R261" i="112"/>
  <c r="T261" i="112"/>
  <c r="V261" i="112"/>
  <c r="S261" i="112"/>
  <c r="AB105" i="112"/>
  <c r="T94" i="112"/>
  <c r="V94" i="112"/>
  <c r="S94" i="112"/>
  <c r="R160" i="112"/>
  <c r="S160" i="112"/>
  <c r="V160" i="112"/>
  <c r="T160" i="112"/>
  <c r="F54" i="134"/>
  <c r="AD89" i="112"/>
  <c r="H208" i="112"/>
  <c r="AE116" i="112"/>
  <c r="AE118" i="112"/>
  <c r="AC122" i="112"/>
  <c r="AE109" i="112"/>
  <c r="AD110" i="112"/>
  <c r="AC111" i="112"/>
  <c r="AE115" i="112"/>
  <c r="R137" i="112"/>
  <c r="T137" i="112"/>
  <c r="V137" i="112"/>
  <c r="S137" i="112"/>
  <c r="AE105" i="112"/>
  <c r="R91" i="112"/>
  <c r="S91" i="112"/>
  <c r="K73" i="112"/>
  <c r="M63" i="112" s="1"/>
  <c r="S222" i="112"/>
  <c r="AF111" i="112"/>
  <c r="V166" i="112"/>
  <c r="R166" i="112"/>
  <c r="S166" i="112"/>
  <c r="T166" i="112"/>
  <c r="Q166" i="112"/>
  <c r="S158" i="112"/>
  <c r="R158" i="112"/>
  <c r="T158" i="112"/>
  <c r="V158" i="112"/>
  <c r="V180" i="112"/>
  <c r="S180" i="112"/>
  <c r="R180" i="112"/>
  <c r="T180" i="112"/>
  <c r="V95" i="112"/>
  <c r="H89" i="112"/>
  <c r="S244" i="112"/>
  <c r="T244" i="112"/>
  <c r="V244" i="112"/>
  <c r="R244" i="112"/>
  <c r="Q244" i="112"/>
  <c r="R118" i="112"/>
  <c r="V118" i="112"/>
  <c r="S118" i="112"/>
  <c r="T118" i="112"/>
  <c r="V120" i="112"/>
  <c r="R120" i="112"/>
  <c r="S120" i="112"/>
  <c r="T120" i="112"/>
  <c r="V219" i="112"/>
  <c r="T93" i="112"/>
  <c r="R93" i="112"/>
  <c r="S93" i="112"/>
  <c r="V93" i="112"/>
  <c r="S140" i="112"/>
  <c r="T140" i="112"/>
  <c r="V140" i="112"/>
  <c r="R140" i="112"/>
  <c r="AB111" i="112"/>
  <c r="V262" i="112"/>
  <c r="S262" i="112"/>
  <c r="T262" i="112"/>
  <c r="R262" i="112"/>
  <c r="S159" i="112"/>
  <c r="V159" i="112"/>
  <c r="T159" i="112"/>
  <c r="R159" i="112"/>
  <c r="AD105" i="112"/>
  <c r="V119" i="112"/>
  <c r="R119" i="112"/>
  <c r="S119" i="112"/>
  <c r="T119" i="112"/>
  <c r="AB112" i="112"/>
  <c r="V264" i="112"/>
  <c r="R246" i="112"/>
  <c r="Q246" i="112"/>
  <c r="V246" i="112"/>
  <c r="T246" i="112"/>
  <c r="S246" i="112"/>
  <c r="R161" i="112"/>
  <c r="V161" i="112"/>
  <c r="AD116" i="112"/>
  <c r="AD119" i="112"/>
  <c r="H147" i="112"/>
  <c r="AD112" i="112"/>
  <c r="S268" i="112"/>
  <c r="T268" i="112"/>
  <c r="R268" i="112"/>
  <c r="V268" i="112"/>
  <c r="V241" i="112"/>
  <c r="S241" i="112"/>
  <c r="Q241" i="112"/>
  <c r="T241" i="112"/>
  <c r="R241" i="112"/>
  <c r="V98" i="112"/>
  <c r="AB116" i="112"/>
  <c r="AF119" i="112"/>
  <c r="AF112" i="112"/>
  <c r="AD117" i="112"/>
  <c r="R245" i="112"/>
  <c r="T245" i="112"/>
  <c r="S245" i="112"/>
  <c r="Q245" i="112"/>
  <c r="V245" i="112"/>
  <c r="V242" i="112"/>
  <c r="Q242" i="112"/>
  <c r="R242" i="112"/>
  <c r="S242" i="112"/>
  <c r="T242" i="112"/>
  <c r="V260" i="112"/>
  <c r="R222" i="112" l="1"/>
  <c r="V222" i="112"/>
  <c r="R218" i="112"/>
  <c r="V218" i="112"/>
  <c r="T218" i="112"/>
  <c r="R219" i="112"/>
  <c r="T219" i="112"/>
  <c r="S116" i="112"/>
  <c r="S184" i="112"/>
  <c r="V184" i="112"/>
  <c r="V116" i="112"/>
  <c r="R184" i="112"/>
  <c r="V220" i="112"/>
  <c r="S220" i="112"/>
  <c r="T220" i="112"/>
  <c r="T116" i="112"/>
  <c r="X267" i="112"/>
  <c r="Y267" i="112"/>
  <c r="W267" i="112"/>
  <c r="X261" i="112"/>
  <c r="W261" i="112"/>
  <c r="Y261" i="112"/>
  <c r="Y266" i="112"/>
  <c r="X266" i="112"/>
  <c r="W266" i="112"/>
  <c r="X262" i="112"/>
  <c r="W262" i="112"/>
  <c r="Y262" i="112"/>
  <c r="W265" i="112"/>
  <c r="Y265" i="112"/>
  <c r="X265" i="112"/>
  <c r="X263" i="112"/>
  <c r="Y263" i="112"/>
  <c r="W263" i="112"/>
  <c r="X260" i="112"/>
  <c r="W260" i="112"/>
  <c r="Y260" i="112"/>
  <c r="W264" i="112"/>
  <c r="Y264" i="112"/>
  <c r="X264" i="112"/>
  <c r="V183" i="112"/>
  <c r="S183" i="112"/>
  <c r="T183" i="112"/>
  <c r="V181" i="112"/>
  <c r="V224" i="112"/>
  <c r="R224" i="112"/>
  <c r="T224" i="112"/>
  <c r="S224" i="112"/>
  <c r="V223" i="112"/>
  <c r="S181" i="112"/>
  <c r="T181" i="112"/>
  <c r="S182" i="112"/>
  <c r="V182" i="112"/>
  <c r="T182" i="112"/>
  <c r="H209" i="112"/>
  <c r="D53" i="134"/>
  <c r="AC87" i="112"/>
  <c r="P203" i="112"/>
  <c r="T203" i="112" s="1"/>
  <c r="P201" i="112"/>
  <c r="S201" i="112" s="1"/>
  <c r="P204" i="112"/>
  <c r="V204" i="112" s="1"/>
  <c r="P202" i="112"/>
  <c r="S202" i="112" s="1"/>
  <c r="AB87" i="112"/>
  <c r="C53" i="134"/>
  <c r="H210" i="112"/>
  <c r="H213" i="112"/>
  <c r="T199" i="112"/>
  <c r="R199" i="112"/>
  <c r="S199" i="112"/>
  <c r="V199" i="112"/>
  <c r="L271" i="112"/>
  <c r="H151" i="112"/>
  <c r="H203" i="112"/>
  <c r="H214" i="112"/>
  <c r="H212" i="112"/>
  <c r="H215" i="112"/>
  <c r="P200" i="112"/>
  <c r="T200" i="112" s="1"/>
  <c r="H216" i="112"/>
  <c r="H153" i="112"/>
  <c r="H176" i="112"/>
  <c r="H155" i="112"/>
  <c r="Y166" i="112"/>
  <c r="X166" i="112"/>
  <c r="W166" i="112"/>
  <c r="X241" i="112"/>
  <c r="W241" i="112"/>
  <c r="Y241" i="112"/>
  <c r="Y240" i="112"/>
  <c r="X240" i="112"/>
  <c r="W240" i="112"/>
  <c r="W242" i="112"/>
  <c r="Y242" i="112"/>
  <c r="X242" i="112"/>
  <c r="Y246" i="112"/>
  <c r="W246" i="112"/>
  <c r="X246" i="112"/>
  <c r="X245" i="112"/>
  <c r="W245" i="112"/>
  <c r="Y245" i="112"/>
  <c r="Y243" i="112"/>
  <c r="X243" i="112"/>
  <c r="W243" i="112"/>
  <c r="Y244" i="112"/>
  <c r="X244" i="112"/>
  <c r="W244" i="112"/>
  <c r="M64" i="112"/>
  <c r="AE89" i="112"/>
  <c r="G54" i="134"/>
  <c r="AF88" i="112"/>
  <c r="H53" i="134"/>
  <c r="AG88" i="112" s="1"/>
  <c r="M62" i="112"/>
  <c r="M70" i="112"/>
  <c r="M67" i="112"/>
  <c r="M68" i="112"/>
  <c r="M66" i="112"/>
  <c r="M61" i="112"/>
  <c r="X122" i="112"/>
  <c r="W122" i="112"/>
  <c r="Y122" i="112"/>
  <c r="L73" i="112"/>
  <c r="M69" i="112"/>
  <c r="M65" i="112"/>
  <c r="V201" i="112" l="1"/>
  <c r="T204" i="112"/>
  <c r="V203" i="112"/>
  <c r="T202" i="112"/>
  <c r="R202" i="112"/>
  <c r="V202" i="112"/>
  <c r="R201" i="112"/>
  <c r="R204" i="112"/>
  <c r="S204" i="112"/>
  <c r="S203" i="112"/>
  <c r="T201" i="112"/>
  <c r="R203" i="112"/>
  <c r="D54" i="134"/>
  <c r="AC89" i="112" s="1"/>
  <c r="AC88" i="112"/>
  <c r="C54" i="134"/>
  <c r="AB89" i="112" s="1"/>
  <c r="AB88" i="112"/>
  <c r="V200" i="112"/>
  <c r="R200" i="112"/>
  <c r="S200" i="112"/>
  <c r="AF89" i="112"/>
  <c r="H54" i="134"/>
  <c r="AG89" i="112" s="1"/>
  <c r="AB177" i="134" l="1"/>
  <c r="R177" i="134"/>
  <c r="W177" i="134"/>
  <c r="AB163" i="134"/>
  <c r="W163" i="134"/>
  <c r="R163" i="134"/>
  <c r="W176" i="134" l="1"/>
  <c r="AB175" i="134"/>
  <c r="W175" i="134"/>
  <c r="R175" i="134"/>
  <c r="R176" i="134"/>
  <c r="AB176" i="134"/>
  <c r="AB140" i="134"/>
  <c r="W140" i="134"/>
  <c r="R140" i="134"/>
  <c r="AB139" i="134" l="1"/>
  <c r="R139" i="134"/>
  <c r="W139" i="134"/>
  <c r="R126" i="134"/>
  <c r="W126" i="134" l="1"/>
  <c r="AB126" i="134" l="1"/>
  <c r="R165" i="134" l="1"/>
  <c r="W165" i="134"/>
  <c r="AB165" i="134"/>
  <c r="AB138" i="134"/>
  <c r="R138" i="134"/>
  <c r="W138" i="134"/>
  <c r="R128" i="134"/>
  <c r="W128" i="134"/>
  <c r="R142" i="134"/>
  <c r="AB142" i="134"/>
  <c r="W142" i="134"/>
  <c r="AB162" i="134"/>
  <c r="W162" i="134"/>
  <c r="R162" i="134"/>
  <c r="AB152" i="134"/>
  <c r="W152" i="134"/>
  <c r="R152" i="134"/>
  <c r="R125" i="134"/>
  <c r="AB164" i="134" l="1"/>
  <c r="W141" i="134"/>
  <c r="W164" i="134"/>
  <c r="AB141" i="134"/>
  <c r="R164" i="134"/>
  <c r="R141" i="134"/>
  <c r="W127" i="134"/>
  <c r="W125" i="134"/>
  <c r="R154" i="134"/>
  <c r="AB154" i="134"/>
  <c r="W154" i="134"/>
  <c r="AB128" i="134"/>
  <c r="R127" i="134"/>
  <c r="AB153" i="134" l="1"/>
  <c r="R153" i="134"/>
  <c r="AB125" i="134"/>
  <c r="AB127" i="134"/>
  <c r="W153" i="134"/>
  <c r="W180" i="134" l="1"/>
  <c r="AB180" i="134"/>
  <c r="R180" i="134"/>
  <c r="W147" i="134"/>
  <c r="R147" i="134"/>
  <c r="AB147" i="134"/>
  <c r="AB146" i="134" l="1"/>
  <c r="R146" i="134"/>
  <c r="W146" i="134"/>
  <c r="AB132" i="134" l="1"/>
  <c r="R132" i="134"/>
  <c r="W132" i="134"/>
  <c r="R131" i="134" l="1"/>
  <c r="W131" i="134"/>
  <c r="AB131" i="134"/>
  <c r="W157" i="134"/>
  <c r="R157" i="134"/>
  <c r="AB157" i="134"/>
  <c r="AB145" i="134"/>
  <c r="W145" i="134"/>
  <c r="R145" i="134"/>
  <c r="W168" i="134"/>
  <c r="R168" i="134"/>
  <c r="AB168" i="134"/>
  <c r="R159" i="134" l="1"/>
  <c r="R158" i="134" s="1"/>
  <c r="W159" i="134"/>
  <c r="W158" i="134" s="1"/>
  <c r="AB159" i="134"/>
  <c r="AB158" i="134" s="1"/>
  <c r="J16" i="14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Fadiel Ahjum</author>
  </authors>
  <commentList>
    <comment ref="B5" authorId="0" shapeId="0" xr:uid="{00000000-0006-0000-0100-000001000000}">
      <text>
        <r>
          <rPr>
            <sz val="9"/>
            <color indexed="81"/>
            <rFont val="Tahoma"/>
            <family val="2"/>
          </rPr>
          <t>Flag should be be set in TCH_TIME_SLICES where all sectors can be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Bryce McCall</author>
  </authors>
  <commentList>
    <comment ref="J30" authorId="0" shapeId="0" xr:uid="{00000000-0006-0000-3C00-000001000000}">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Bryce McCall</author>
    <author>tc={67680548-6112-48C7-AC72-C916D0F9B352}</author>
    <author>tc={5928A78B-1FD1-4105-B82D-7C9CBF7D7D8B}</author>
    <author>tc={88782C11-BBD7-4FA0-8173-C6D21BB0C753}</author>
    <author>tc={FC2E07BA-085B-4252-8B5B-27168F6F6AF3}</author>
  </authors>
  <commentList>
    <comment ref="J30" authorId="0" shapeId="0" xr:uid="{BF0B09C0-41CE-4B8E-A642-888B9D12A044}">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V48" authorId="0" shapeId="0" xr:uid="{8B67E2DF-463C-460C-985A-3D46A70A3E15}">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I49" authorId="1" shapeId="0" xr:uid="{67680548-6112-48C7-AC72-C916D0F9B352}">
      <text>
        <t>[Threaded comment]
Your version of Excel allows you to read this threaded comment; however, any edits to it will get removed if the file is opened in a newer version of Excel. Learn more: https://go.microsoft.com/fwlink/?linkid=870924
Comment:
    Updated Diesel Balance</t>
      </text>
    </comment>
    <comment ref="H52" authorId="2" shapeId="0" xr:uid="{5928A78B-1FD1-4105-B82D-7C9CBF7D7D8B}">
      <text>
        <t>[Threaded comment]
Your version of Excel allows you to read this threaded comment; however, any edits to it will get removed if the file is opened in a newer version of Excel. Learn more: https://go.microsoft.com/fwlink/?linkid=870924
Comment:
    updated Gas Balance</t>
      </text>
    </comment>
    <comment ref="B58" authorId="3" shapeId="0" xr:uid="{88782C11-BBD7-4FA0-8173-C6D21BB0C753}">
      <text>
        <t>[Threaded comment]
Your version of Excel allows you to read this threaded comment; however, any edits to it will get removed if the file is opened in a newer version of Excel. Learn more: https://go.microsoft.com/fwlink/?linkid=870924
Comment:
    this is probably out by a factor of 2 and is used to balance total coal use.</t>
      </text>
    </comment>
    <comment ref="I58" authorId="4" shapeId="0" xr:uid="{FC2E07BA-085B-4252-8B5B-27168F6F6AF3}">
      <text>
        <t>[Threaded comment]
Your version of Excel allows you to read this threaded comment; however, any edits to it will get removed if the file is opened in a newer version of Excel. Learn more: https://go.microsoft.com/fwlink/?linkid=870924
Comment:
    Updated Diesel Balance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Joseph Masenda</author>
    <author>Alison Hughes</author>
  </authors>
  <commentList>
    <comment ref="F3" authorId="0" shapeId="0" xr:uid="{E09B56F1-74B3-48AF-A25B-9219B1605915}">
      <text>
        <r>
          <rPr>
            <b/>
            <sz val="9"/>
            <color indexed="81"/>
            <rFont val="Tahoma"/>
            <family val="2"/>
          </rPr>
          <t>Joseph Masenda:</t>
        </r>
        <r>
          <rPr>
            <sz val="9"/>
            <color indexed="81"/>
            <rFont val="Tahoma"/>
            <family val="2"/>
          </rPr>
          <t xml:space="preserve">
Sources mainly from IEA end use spreadsheet J881-J886</t>
        </r>
      </text>
    </comment>
    <comment ref="J8" authorId="0" shapeId="0" xr:uid="{4D3FCA81-A021-494F-A582-573D52510C69}">
      <text>
        <r>
          <rPr>
            <b/>
            <sz val="9"/>
            <color indexed="81"/>
            <rFont val="Tahoma"/>
            <family val="2"/>
          </rPr>
          <t>Joseph Masenda:</t>
        </r>
        <r>
          <rPr>
            <sz val="9"/>
            <color indexed="81"/>
            <rFont val="Tahoma"/>
            <family val="2"/>
          </rPr>
          <t xml:space="preserve">
no methodological ref
</t>
        </r>
      </text>
    </comment>
    <comment ref="L13" authorId="0" shapeId="0" xr:uid="{18FE0571-E2AE-4233-88D3-02701839B865}">
      <text>
        <r>
          <rPr>
            <b/>
            <sz val="9"/>
            <color indexed="81"/>
            <rFont val="Tahoma"/>
            <family val="2"/>
          </rPr>
          <t>Joseph Masenda:</t>
        </r>
        <r>
          <rPr>
            <sz val="9"/>
            <color indexed="81"/>
            <rFont val="Tahoma"/>
            <family val="2"/>
          </rPr>
          <t xml:space="preserve">
=INDEX('REPORT TABLES'!$B$120:$I$129,MATCH($A55,'REPORT TABLES'!$A$120:$A$129,0),MATCH(K$45,'REPORT TABLES'!$B$118:$I$118,0))/100</t>
        </r>
      </text>
    </comment>
    <comment ref="F15" authorId="0" shapeId="0" xr:uid="{D2F121C5-FFCA-47A4-81CB-E7342C500A1E}">
      <text>
        <r>
          <rPr>
            <b/>
            <sz val="9"/>
            <color indexed="81"/>
            <rFont val="Tahoma"/>
            <family val="2"/>
          </rPr>
          <t>Joseph Masenda:</t>
        </r>
        <r>
          <rPr>
            <sz val="9"/>
            <color indexed="81"/>
            <rFont val="Tahoma"/>
            <family val="2"/>
          </rPr>
          <t xml:space="preserve">
=+'REPORT TABLES'!D122/100</t>
        </r>
      </text>
    </comment>
    <comment ref="I57" authorId="0" shapeId="0" xr:uid="{B65080C5-9DB2-452A-B329-FC4877F7464A}">
      <text>
        <r>
          <rPr>
            <b/>
            <sz val="9"/>
            <color indexed="81"/>
            <rFont val="Tahoma"/>
            <family val="2"/>
          </rPr>
          <t>Joseph Masenda:</t>
        </r>
        <r>
          <rPr>
            <sz val="9"/>
            <color indexed="81"/>
            <rFont val="Tahoma"/>
            <family val="2"/>
          </rPr>
          <t xml:space="preserve">
Numbers gotten from http://www.eia.gov/emeu/mecs/mecs98/datatables/contents.html#enduse
Table N6.3.    End Uses of Fuel Consumption, 1998;</t>
        </r>
      </text>
    </comment>
    <comment ref="S57" authorId="0" shapeId="0" xr:uid="{7B52C025-0528-46BD-809C-55516365938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T57" authorId="0" shapeId="0" xr:uid="{90372687-7BEA-4E09-90DF-DBDB93278D3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U57" authorId="0" shapeId="0" xr:uid="{B737EA18-3D3A-43F7-941A-9269F9647047}">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D58" authorId="1" shapeId="0" xr:uid="{483659BC-F0ED-4925-AC50-B28548D6202A}">
      <text>
        <r>
          <rPr>
            <b/>
            <sz val="9"/>
            <color indexed="81"/>
            <rFont val="Verdana"/>
            <family val="2"/>
          </rPr>
          <t>Alison Hughes:</t>
        </r>
        <r>
          <rPr>
            <sz val="9"/>
            <color indexed="81"/>
            <rFont val="Verdana"/>
            <family val="2"/>
          </rPr>
          <t xml:space="preserve">
called basic metals</t>
        </r>
      </text>
    </comment>
    <comment ref="I73" authorId="0" shapeId="0" xr:uid="{681A9986-E466-4EBC-B46E-6D9450FA952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N73" authorId="0" shapeId="0" xr:uid="{38FCF3FE-A7D0-4D0C-A5F0-310A3550B4BA}">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C93" authorId="0" shapeId="0" xr:uid="{06C1802F-9789-44BB-AC61-3159DF2C86F9}">
      <text>
        <r>
          <rPr>
            <b/>
            <sz val="9"/>
            <color indexed="81"/>
            <rFont val="Tahoma"/>
            <family val="2"/>
          </rPr>
          <t>Joseph Masenda:</t>
        </r>
        <r>
          <rPr>
            <sz val="9"/>
            <color indexed="81"/>
            <rFont val="Tahoma"/>
            <family val="2"/>
          </rPr>
          <t xml:space="preserve">
=+'[TCH_IND_archive_jm_v1.xlsx]Eskom sales data'!AB5/'[TCH_IND_archive_jm_v1.xlsx]Eskom sales data'!AB17</t>
        </r>
      </text>
    </comment>
    <comment ref="D93" authorId="0" shapeId="0" xr:uid="{79647EEC-5627-4053-A176-6D9C1CAB94A6}">
      <text>
        <r>
          <rPr>
            <b/>
            <sz val="9"/>
            <color indexed="81"/>
            <rFont val="Tahoma"/>
            <family val="2"/>
          </rPr>
          <t>Joseph Masenda:</t>
        </r>
        <r>
          <rPr>
            <sz val="9"/>
            <color indexed="81"/>
            <rFont val="Tahoma"/>
            <family val="2"/>
          </rPr>
          <t xml:space="preserve">
=+'[TCH_IND_archive_jm_v1.xlsx]Eskom sales data'!AB6/'[TCH_IND_archive_jm_v1.xlsx]Eskom sales data'!AB17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bruno merven</author>
    <author>Fadiel Ahjum</author>
    <author>tc={96C27980-F8F1-4CDB-85E5-FFBD5D37C3AB}</author>
    <author>Bryce McCall</author>
    <author>Bruno Merven</author>
    <author>Alison hughes</author>
    <author>tc={AA9E5FA4-597B-4742-8129-AA1AC9DEB2B6}</author>
    <author>tc={7371293C-3D8E-4581-B79C-324E6FF3049C}</author>
    <author>tc={3309F63F-7FA2-44F4-AFD9-1DF289A77F17}</author>
    <author>tc={A3DC0B35-BF4A-4B33-8349-6F6FAC4AD041}</author>
    <author>tc={C22DBD76-6A18-4CB1-91E5-B47A87372780}</author>
    <author>tc={2559AB22-9D95-4421-ABA3-E77F2EC4CD3F}</author>
    <author>tc={B642980B-5BC3-4609-86F7-645888955D95}</author>
  </authors>
  <commentList>
    <comment ref="S5" authorId="0" shapeId="0" xr:uid="{00000000-0006-0000-3E00-000001000000}">
      <text>
        <r>
          <rPr>
            <b/>
            <sz val="9"/>
            <color indexed="81"/>
            <rFont val="Tahoma"/>
            <family val="2"/>
          </rPr>
          <t>bruno merven:</t>
        </r>
        <r>
          <rPr>
            <sz val="9"/>
            <color indexed="81"/>
            <rFont val="Tahoma"/>
            <family val="2"/>
          </rPr>
          <t xml:space="preserve">
This needs to be updated if changed in TCH_SUP.
</t>
        </r>
      </text>
    </comment>
    <comment ref="Y5" authorId="0" shapeId="0" xr:uid="{00000000-0006-0000-3E00-000002000000}">
      <text>
        <r>
          <rPr>
            <b/>
            <sz val="9"/>
            <color indexed="81"/>
            <rFont val="Tahoma"/>
            <family val="2"/>
          </rPr>
          <t>bruno merven:</t>
        </r>
        <r>
          <rPr>
            <sz val="9"/>
            <color indexed="81"/>
            <rFont val="Tahoma"/>
            <family val="2"/>
          </rPr>
          <t xml:space="preserve">
This needs to be updated if changed in TCH_SUP.</t>
        </r>
      </text>
    </comment>
    <comment ref="M9" authorId="0" shapeId="0" xr:uid="{00000000-0006-0000-3E00-000003000000}">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R10" authorId="1" shapeId="0" xr:uid="{00000000-0006-0000-3E00-000004000000}">
      <text>
        <r>
          <rPr>
            <b/>
            <sz val="9"/>
            <color indexed="81"/>
            <rFont val="Tahoma"/>
            <family val="2"/>
          </rPr>
          <t>Fadiel Ahjum:</t>
        </r>
        <r>
          <rPr>
            <sz val="9"/>
            <color indexed="81"/>
            <rFont val="Tahoma"/>
            <family val="2"/>
          </rPr>
          <t xml:space="preserve">
Determined from SATIM-I run with an initial value of zero.</t>
        </r>
      </text>
    </comment>
    <comment ref="G14" authorId="2" shapeId="0" xr:uid="{96C27980-F8F1-4CDB-85E5-FFBD5D37C3AB}">
      <text>
        <t>[Threaded comment]
Your version of Excel allows you to read this threaded comment; however, any edits to it will get removed if the file is opened in a newer version of Excel. Learn more: https://go.microsoft.com/fwlink/?linkid=870924
Comment:
    based on Derek's numbers for 2012. It should be slightly higher than this but sticking to import limit in EB.</t>
      </text>
    </comment>
    <comment ref="S19" authorId="1" shapeId="0" xr:uid="{00000000-0006-0000-3E00-000005000000}">
      <text>
        <r>
          <rPr>
            <sz val="9"/>
            <color indexed="81"/>
            <rFont val="Tahoma"/>
            <family val="2"/>
          </rPr>
          <t>Indicative figure from TCH_SUP::NameConv</t>
        </r>
      </text>
    </comment>
    <comment ref="A41" authorId="1" shapeId="0" xr:uid="{00000000-0006-0000-3E00-000006000000}">
      <text>
        <r>
          <rPr>
            <b/>
            <sz val="9"/>
            <color indexed="81"/>
            <rFont val="Tahoma"/>
            <family val="2"/>
          </rPr>
          <t>Fadiel Ahjum:</t>
        </r>
        <r>
          <rPr>
            <sz val="9"/>
            <color indexed="81"/>
            <rFont val="Tahoma"/>
            <family val="2"/>
          </rPr>
          <t xml:space="preserve">
Discussion with Bruno (19/4/2013).
Demand for ancillary commodities. Change code to 'T'</t>
        </r>
      </text>
    </comment>
    <comment ref="AB58" authorId="3" shapeId="0" xr:uid="{00000000-0006-0000-3E00-000007000000}">
      <text>
        <r>
          <rPr>
            <b/>
            <sz val="9"/>
            <color indexed="81"/>
            <rFont val="Tahoma"/>
            <family val="2"/>
          </rPr>
          <t>Bryce McCall:</t>
        </r>
        <r>
          <rPr>
            <sz val="9"/>
            <color indexed="81"/>
            <rFont val="Tahoma"/>
            <family val="2"/>
          </rPr>
          <t xml:space="preserve">
Made this 2016 as part of the 2012 update. But this links to 2012 numbers in worksheets. This is fine, since according to Alison these numbers are all very loose guestimates by now.</t>
        </r>
      </text>
    </comment>
    <comment ref="AB70" authorId="4" shapeId="0" xr:uid="{00000000-0006-0000-3E00-000008000000}">
      <text>
        <r>
          <rPr>
            <b/>
            <sz val="8"/>
            <color indexed="81"/>
            <rFont val="Tahoma"/>
            <family val="2"/>
          </rPr>
          <t>Bruno Merven:</t>
        </r>
        <r>
          <rPr>
            <sz val="8"/>
            <color indexed="81"/>
            <rFont val="Tahoma"/>
            <family val="2"/>
          </rPr>
          <t xml:space="preserve">
Based on 20% Boiler fuel improvement potential in LTMS</t>
        </r>
      </text>
    </comment>
    <comment ref="AC70" authorId="4" shapeId="0" xr:uid="{00000000-0006-0000-3E00-000009000000}">
      <text>
        <r>
          <rPr>
            <b/>
            <sz val="8"/>
            <color indexed="81"/>
            <rFont val="Tahoma"/>
            <family val="2"/>
          </rPr>
          <t>Bruno Merven:</t>
        </r>
        <r>
          <rPr>
            <sz val="8"/>
            <color indexed="81"/>
            <rFont val="Tahoma"/>
            <family val="2"/>
          </rPr>
          <t xml:space="preserve">
Based on 20% Boiler fuel improvement potential in LTMS</t>
        </r>
      </text>
    </comment>
    <comment ref="AD70" authorId="4" shapeId="0" xr:uid="{00000000-0006-0000-3E00-00000A000000}">
      <text>
        <r>
          <rPr>
            <b/>
            <sz val="8"/>
            <color indexed="81"/>
            <rFont val="Tahoma"/>
            <family val="2"/>
          </rPr>
          <t>Bruno Merven:</t>
        </r>
        <r>
          <rPr>
            <sz val="8"/>
            <color indexed="81"/>
            <rFont val="Tahoma"/>
            <family val="2"/>
          </rPr>
          <t xml:space="preserve">
Based on 20% Boiler fuel improvement potential in LTMS</t>
        </r>
      </text>
    </comment>
    <comment ref="AE70" authorId="4" shapeId="0" xr:uid="{00000000-0006-0000-3E00-00000B000000}">
      <text>
        <r>
          <rPr>
            <b/>
            <sz val="8"/>
            <color indexed="81"/>
            <rFont val="Tahoma"/>
            <family val="2"/>
          </rPr>
          <t>Bruno Merven:</t>
        </r>
        <r>
          <rPr>
            <sz val="8"/>
            <color indexed="81"/>
            <rFont val="Tahoma"/>
            <family val="2"/>
          </rPr>
          <t xml:space="preserve">
Based on 20% Boiler fuel improvement potential in LTMS</t>
        </r>
      </text>
    </comment>
    <comment ref="AF70" authorId="4" shapeId="0" xr:uid="{00000000-0006-0000-3E00-00000C000000}">
      <text>
        <r>
          <rPr>
            <b/>
            <sz val="8"/>
            <color indexed="81"/>
            <rFont val="Tahoma"/>
            <family val="2"/>
          </rPr>
          <t>Bruno Merven:</t>
        </r>
        <r>
          <rPr>
            <sz val="8"/>
            <color indexed="81"/>
            <rFont val="Tahoma"/>
            <family val="2"/>
          </rPr>
          <t xml:space="preserve">
Based on 20% Boiler fuel improvement potential in LTMS</t>
        </r>
      </text>
    </comment>
    <comment ref="AG70" authorId="4" shapeId="0" xr:uid="{00000000-0006-0000-3E00-00000D000000}">
      <text>
        <r>
          <rPr>
            <b/>
            <sz val="8"/>
            <color indexed="81"/>
            <rFont val="Tahoma"/>
            <family val="2"/>
          </rPr>
          <t>Bruno Merven:</t>
        </r>
        <r>
          <rPr>
            <sz val="8"/>
            <color indexed="81"/>
            <rFont val="Tahoma"/>
            <family val="2"/>
          </rPr>
          <t xml:space="preserve">
Based on 20% Boiler fuel improvement potential in LTMS</t>
        </r>
      </text>
    </comment>
    <comment ref="A71" authorId="5" shapeId="0" xr:uid="{00000000-0006-0000-3E00-00000E000000}">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4" shapeId="0" xr:uid="{00000000-0006-0000-3E00-00000F000000}">
      <text>
        <r>
          <rPr>
            <b/>
            <sz val="8"/>
            <color indexed="81"/>
            <rFont val="Tahoma"/>
            <family val="2"/>
          </rPr>
          <t>Bruno Merven:</t>
        </r>
        <r>
          <rPr>
            <sz val="8"/>
            <color indexed="81"/>
            <rFont val="Tahoma"/>
            <family val="2"/>
          </rPr>
          <t xml:space="preserve">
From load curve data</t>
        </r>
      </text>
    </comment>
    <comment ref="P81" authorId="4" shapeId="0" xr:uid="{00000000-0006-0000-3E00-000010000000}">
      <text>
        <r>
          <rPr>
            <b/>
            <sz val="8"/>
            <color indexed="81"/>
            <rFont val="Tahoma"/>
            <family val="2"/>
          </rPr>
          <t>Bruno Merven:</t>
        </r>
        <r>
          <rPr>
            <sz val="8"/>
            <color indexed="81"/>
            <rFont val="Tahoma"/>
            <family val="2"/>
          </rPr>
          <t xml:space="preserve">
must equal "" if no fuel constraint imposed.</t>
        </r>
      </text>
    </comment>
    <comment ref="E96" authorId="6" shapeId="0" xr:uid="{AA9E5FA4-597B-4742-8129-AA1AC9DEB2B6}">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R96" authorId="7" shapeId="0" xr:uid="{7371293C-3D8E-4581-B79C-324E6FF3049C}">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F126" authorId="4" shapeId="0" xr:uid="{00000000-0006-0000-3E00-000011000000}">
      <text>
        <r>
          <rPr>
            <b/>
            <sz val="8"/>
            <color indexed="81"/>
            <rFont val="Tahoma"/>
            <family val="2"/>
          </rPr>
          <t>Bruno Merven:</t>
        </r>
        <r>
          <rPr>
            <sz val="8"/>
            <color indexed="81"/>
            <rFont val="Tahoma"/>
            <family val="2"/>
          </rPr>
          <t xml:space="preserve">
From load curve data</t>
        </r>
      </text>
    </comment>
    <comment ref="R162" authorId="8" shapeId="0" xr:uid="{3309F63F-7FA2-44F4-AFD9-1DF289A77F17}">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C166" authorId="9" shapeId="0" xr:uid="{A3DC0B35-BF4A-4B33-8349-6F6FAC4AD041}">
      <text>
        <t>[Threaded comment]
Your version of Excel allows you to read this threaded comment; however, any edits to it will get removed if the file is opened in a newer version of Excel. Learn more: https://go.microsoft.com/fwlink/?linkid=870924
Comment:
    Need to change this to ICPGMU once commodity has been added to RES/topology</t>
      </text>
    </comment>
    <comment ref="K166" authorId="1" shapeId="0" xr:uid="{00000000-0006-0000-3E00-000012000000}">
      <text>
        <r>
          <rPr>
            <sz val="9"/>
            <color indexed="81"/>
            <rFont val="Tahoma"/>
            <family val="2"/>
          </rPr>
          <t>Gas utilsied in FT process.
% determined by Base Year Tech Share</t>
        </r>
      </text>
    </comment>
    <comment ref="R223" authorId="10" shapeId="0" xr:uid="{C22DBD76-6A18-4CB1-91E5-B47A87372780}">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K225" authorId="11" shapeId="0" xr:uid="{2559AB22-9D95-4421-ABA3-E77F2EC4CD3F}">
      <text>
        <t>[Threaded comment]
Your version of Excel allows you to read this threaded comment; however, any edits to it will get removed if the file is opened in a newer version of Excel. Learn more: https://go.microsoft.com/fwlink/?linkid=870924
Comment:
    All bagasse used in CHP plants (currently missing from model)</t>
      </text>
    </comment>
    <comment ref="S265" authorId="12" shapeId="0" xr:uid="{B642980B-5BC3-4609-86F7-645888955D95}">
      <text>
        <t>[Threaded comment]
Your version of Excel allows you to read this threaded comment; however, any edits to it will get removed if the file is opened in a newer version of Excel. Learn more: https://go.microsoft.com/fwlink/?linkid=870924
Comment:
    Naegler 2015.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bruno merven</author>
    <author>tc={CDF7E1BC-555D-4D03-A881-32CABF0F4970}</author>
    <author>Fadiel Ahjum</author>
    <author>tc={ACE2788D-1B96-457B-806C-87A97403E0DF}</author>
    <author>tc={BE95FD93-31B8-4F7D-A33D-8224DFBFA9EB}</author>
    <author>tc={908347E6-2EB0-4A93-BB40-54454D92B30A}</author>
    <author>tc={C6960185-E510-40E3-A7D5-D6F454FC1729}</author>
    <author>tc={455948A2-577A-40B3-A6D3-4DFD17B01144}</author>
    <author>Joseph Masenda</author>
    <author>Alison hughes</author>
    <author>Bruno Merven</author>
    <author>tc={438EEBAE-C6DE-4D95-A186-FB8DD21E22A9}</author>
    <author>tc={B9095C67-4FBB-4A94-811E-5F4D0F103E84}</author>
    <author>tc={FD5A7AB5-70B8-41C9-BB14-94B90A8DF78A}</author>
    <author>tc={16AF8BCC-B711-41D6-95BD-A77818D0BEFF}</author>
    <author>tc={5C3E8C51-2AE3-4D71-A4E8-F6F154C651D3}</author>
    <author>tc={053FB0CB-74D1-468D-949E-8F84503664D8}</author>
    <author>tc={88DD101A-68D2-4551-94F4-BB819052EC8C}</author>
    <author>tc={27E55DBF-2AA0-4EE1-B02D-134D0CB5E6D6}</author>
  </authors>
  <commentList>
    <comment ref="S5" authorId="0" shapeId="0" xr:uid="{20292780-C68B-4159-8209-739E2BEB68E2}">
      <text>
        <r>
          <rPr>
            <b/>
            <sz val="9"/>
            <color indexed="81"/>
            <rFont val="Tahoma"/>
            <family val="2"/>
          </rPr>
          <t>bruno merven:</t>
        </r>
        <r>
          <rPr>
            <sz val="9"/>
            <color indexed="81"/>
            <rFont val="Tahoma"/>
            <family val="2"/>
          </rPr>
          <t xml:space="preserve">
This needs to be updated if changed in TCH_SUP.
</t>
        </r>
      </text>
    </comment>
    <comment ref="Y5" authorId="0" shapeId="0" xr:uid="{3B9212E3-6472-4149-A2B1-C0DBC3DE4592}">
      <text>
        <r>
          <rPr>
            <b/>
            <sz val="9"/>
            <color indexed="81"/>
            <rFont val="Tahoma"/>
            <family val="2"/>
          </rPr>
          <t>bruno merven:</t>
        </r>
        <r>
          <rPr>
            <sz val="9"/>
            <color indexed="81"/>
            <rFont val="Tahoma"/>
            <family val="2"/>
          </rPr>
          <t xml:space="preserve">
This needs to be updated if changed in TCH_SUP.</t>
        </r>
      </text>
    </comment>
    <comment ref="M9" authorId="0" shapeId="0" xr:uid="{2FFE8FA2-8E4D-415E-A2E9-FC0AE2F75DF7}">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G10" authorId="1" shapeId="0" xr:uid="{CDF7E1BC-555D-4D03-A881-32CABF0F4970}">
      <text>
        <t>[Threaded comment]
Your version of Excel allows you to read this threaded comment; however, any edits to it will get removed if the file is opened in a newer version of Excel. Learn more: https://go.microsoft.com/fwlink/?linkid=870924
Comment:
    From DMRE EB</t>
      </text>
    </comment>
    <comment ref="R10" authorId="2" shapeId="0" xr:uid="{609665D4-6AFE-4EC3-9DC6-F3B9362EFF1C}">
      <text>
        <r>
          <rPr>
            <b/>
            <sz val="9"/>
            <color indexed="81"/>
            <rFont val="Tahoma"/>
            <family val="2"/>
          </rPr>
          <t>Fadiel Ahjum:</t>
        </r>
        <r>
          <rPr>
            <sz val="9"/>
            <color indexed="81"/>
            <rFont val="Tahoma"/>
            <family val="2"/>
          </rPr>
          <t xml:space="preserve">
Determined from SATIM-I run with an initial value of zero.</t>
        </r>
      </text>
    </comment>
    <comment ref="G12" authorId="3" shapeId="0" xr:uid="{ACE2788D-1B96-457B-806C-87A97403E0DF}">
      <text>
        <t>[Threaded comment]
Your version of Excel allows you to read this threaded comment; however, any edits to it will get removed if the file is opened in a newer version of Excel. Learn more: https://go.microsoft.com/fwlink/?linkid=870924
Comment:
    From DMRE EB</t>
      </text>
    </comment>
    <comment ref="H14" authorId="4" shapeId="0" xr:uid="{BE95FD93-31B8-4F7D-A33D-8224DFBFA9EB}">
      <text>
        <t>[Threaded comment]
Your version of Excel allows you to read this threaded comment; however, any edits to it will get removed if the file is opened in a newer version of Excel. Learn more: https://go.microsoft.com/fwlink/?linkid=870924
Comment:
    From Sasol - in ESRG EB 2017</t>
      </text>
    </comment>
    <comment ref="G15" authorId="5" shapeId="0" xr:uid="{908347E6-2EB0-4A93-BB40-54454D92B30A}">
      <text>
        <t>[Threaded comment]
Your version of Excel allows you to read this threaded comment; however, any edits to it will get removed if the file is opened in a newer version of Excel. Learn more: https://go.microsoft.com/fwlink/?linkid=870924
Comment:
    From DMRE EB, excludes gas for material use</t>
      </text>
    </comment>
    <comment ref="G17" authorId="6" shapeId="0" xr:uid="{C6960185-E510-40E3-A7D5-D6F454FC1729}">
      <text>
        <t>[Threaded comment]
Your version of Excel allows you to read this threaded comment; however, any edits to it will get removed if the file is opened in a newer version of Excel. Learn more: https://go.microsoft.com/fwlink/?linkid=870924
Comment:
    From DMRE EB</t>
      </text>
    </comment>
    <comment ref="G19" authorId="7" shapeId="0" xr:uid="{455948A2-577A-40B3-A6D3-4DFD17B01144}">
      <text>
        <t>[Threaded comment]
Your version of Excel allows you to read this threaded comment; however, any edits to it will get removed if the file is opened in a newer version of Excel. Learn more: https://go.microsoft.com/fwlink/?linkid=870924
Comment:
    From DMRE EB</t>
      </text>
    </comment>
    <comment ref="S19" authorId="2" shapeId="0" xr:uid="{C3B44458-EC7B-4F08-8703-B0AE341D8682}">
      <text>
        <r>
          <rPr>
            <sz val="9"/>
            <color indexed="81"/>
            <rFont val="Tahoma"/>
            <family val="2"/>
          </rPr>
          <t>Indicative figure from TCH_SUP::NameConv</t>
        </r>
      </text>
    </comment>
    <comment ref="A31" authorId="8" shapeId="0" xr:uid="{B1CCC920-FEE3-4F77-B736-4E47A1EE135C}">
      <text>
        <r>
          <rPr>
            <b/>
            <sz val="9"/>
            <color indexed="81"/>
            <rFont val="Tahoma"/>
            <family val="2"/>
          </rPr>
          <t>Joseph Masenda:</t>
        </r>
        <r>
          <rPr>
            <sz val="9"/>
            <color indexed="81"/>
            <rFont val="Tahoma"/>
            <family val="2"/>
          </rPr>
          <t xml:space="preserve">
=+'REPORT TABLES'!A120-A129</t>
        </r>
      </text>
    </comment>
    <comment ref="A41" authorId="2" shapeId="0" xr:uid="{9886EE1C-A847-4E39-B097-AAD372AAD67D}">
      <text>
        <r>
          <rPr>
            <b/>
            <sz val="9"/>
            <color indexed="81"/>
            <rFont val="Tahoma"/>
            <family val="2"/>
          </rPr>
          <t>Fadiel Ahjum:</t>
        </r>
        <r>
          <rPr>
            <sz val="9"/>
            <color indexed="81"/>
            <rFont val="Tahoma"/>
            <family val="2"/>
          </rPr>
          <t xml:space="preserve">
Discussion with Bruno (19/4/2013).
Demand for ancillary commodities. Change code to 'T'</t>
        </r>
      </text>
    </comment>
    <comment ref="A71" authorId="9" shapeId="0" xr:uid="{0885A785-F965-4F91-9863-202D2FA33CCA}">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10" shapeId="0" xr:uid="{1BC2F6F0-8A84-401B-930F-A806A0D5A065}">
      <text>
        <r>
          <rPr>
            <b/>
            <sz val="8"/>
            <color indexed="81"/>
            <rFont val="Tahoma"/>
            <family val="2"/>
          </rPr>
          <t>Bruno Merven:</t>
        </r>
        <r>
          <rPr>
            <sz val="8"/>
            <color indexed="81"/>
            <rFont val="Tahoma"/>
            <family val="2"/>
          </rPr>
          <t xml:space="preserve">
From load curve data</t>
        </r>
      </text>
    </comment>
    <comment ref="E96" authorId="11" shapeId="0" xr:uid="{438EEBAE-C6DE-4D95-A186-FB8DD21E22A9}">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O96" authorId="12" shapeId="0" xr:uid="{B9095C67-4FBB-4A94-811E-5F4D0F103E84}">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C101" authorId="13" shapeId="0" xr:uid="{FD5A7AB5-70B8-41C9-BB14-94B90A8DF78A}">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 ref="O120" authorId="14" shapeId="0" xr:uid="{16AF8BCC-B711-41D6-95BD-A77818D0BEFF}">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K124" authorId="15" shapeId="0" xr:uid="{5C3E8C51-2AE3-4D71-A4E8-F6F154C651D3}">
      <text>
        <t>[Threaded comment]
Your version of Excel allows you to read this threaded comment; however, any edits to it will get removed if the file is opened in a newer version of Excel. Learn more: https://go.microsoft.com/fwlink/?linkid=870924
Comment:
    From Gas Balance - used for polymers etc.</t>
      </text>
    </comment>
    <comment ref="O162" authorId="16" shapeId="0" xr:uid="{053FB0CB-74D1-468D-949E-8F84503664D8}">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P184" authorId="17" shapeId="0" xr:uid="{88DD101A-68D2-4551-94F4-BB819052EC8C}">
      <text>
        <t>[Threaded comment]
Your version of Excel allows you to read this threaded comment; however, any edits to it will get removed if the file is opened in a newer version of Excel. Learn more: https://go.microsoft.com/fwlink/?linkid=870924
Comment:
    Naegler 2015.</t>
      </text>
    </comment>
    <comment ref="C188" authorId="18" shapeId="0" xr:uid="{27E55DBF-2AA0-4EE1-B02D-134D0CB5E6D6}">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Joseph Masenda</author>
  </authors>
  <commentList>
    <comment ref="C4" authorId="0" shapeId="0" xr:uid="{503A3BA6-1FF0-4C4D-93E0-A27DEE90ACBC}">
      <text>
        <r>
          <rPr>
            <b/>
            <sz val="9"/>
            <color indexed="81"/>
            <rFont val="Tahoma"/>
            <family val="2"/>
          </rPr>
          <t>Joseph Masenda:</t>
        </r>
        <r>
          <rPr>
            <sz val="9"/>
            <color indexed="81"/>
            <rFont val="Tahoma"/>
            <family val="2"/>
          </rPr>
          <t xml:space="preserve">
=IF('[TCH_IND_archive_jm_v1.xlsx]TS COMFR_10'!$A$1&lt;&gt;"",AFA!C36,AFA!C35)</t>
        </r>
      </text>
    </comment>
    <comment ref="D4" authorId="0" shapeId="0" xr:uid="{E75F43E5-6C78-4397-896F-071213B9176E}">
      <text>
        <r>
          <rPr>
            <b/>
            <sz val="9"/>
            <color indexed="81"/>
            <rFont val="Tahoma"/>
            <family val="2"/>
          </rPr>
          <t>Joseph Masenda:</t>
        </r>
        <r>
          <rPr>
            <sz val="9"/>
            <color indexed="81"/>
            <rFont val="Tahoma"/>
            <family val="2"/>
          </rPr>
          <t xml:space="preserve">
=IF('[TCH_IND_archive_jm_v1.xlsx]TS COMFR_10'!$A$1&lt;&gt;"",AFA!D36,AFA!D35)</t>
        </r>
      </text>
    </comment>
    <comment ref="E4" authorId="0" shapeId="0" xr:uid="{4AFC6083-2A9F-4B83-8381-C01E69B8E79E}">
      <text>
        <r>
          <rPr>
            <b/>
            <sz val="9"/>
            <color indexed="81"/>
            <rFont val="Tahoma"/>
            <family val="2"/>
          </rPr>
          <t>Joseph Masenda:</t>
        </r>
        <r>
          <rPr>
            <sz val="9"/>
            <color indexed="81"/>
            <rFont val="Tahoma"/>
            <family val="2"/>
          </rPr>
          <t xml:space="preserve">
=IF('[TCH_IND_archive_jm_v1.xlsx]TS COMFR_10'!$A$1&lt;&gt;"",AFA!E36,AFA!E35)</t>
        </r>
      </text>
    </comment>
    <comment ref="F4" authorId="0" shapeId="0" xr:uid="{029BC6CB-791D-47B8-A1B8-10116257B031}">
      <text>
        <r>
          <rPr>
            <b/>
            <sz val="9"/>
            <color indexed="81"/>
            <rFont val="Tahoma"/>
            <family val="2"/>
          </rPr>
          <t>Joseph Masenda:</t>
        </r>
        <r>
          <rPr>
            <sz val="9"/>
            <color indexed="81"/>
            <rFont val="Tahoma"/>
            <family val="2"/>
          </rPr>
          <t xml:space="preserve">
=IF('[TCH_IND_archive_jm_v1.xlsx]TS COMFR_10'!$A$1&lt;&gt;"",AFA!F36,AFA!F35)</t>
        </r>
      </text>
    </comment>
    <comment ref="G4" authorId="0" shapeId="0" xr:uid="{D7BFFF51-9EF1-4F7B-B184-5C4179092193}">
      <text>
        <r>
          <rPr>
            <b/>
            <sz val="9"/>
            <color indexed="81"/>
            <rFont val="Tahoma"/>
            <family val="2"/>
          </rPr>
          <t>Joseph Masenda:</t>
        </r>
        <r>
          <rPr>
            <sz val="9"/>
            <color indexed="81"/>
            <rFont val="Tahoma"/>
            <family val="2"/>
          </rPr>
          <t xml:space="preserve">
=IF('[TCH_IND_archive_jm_v1.xlsx]TS COMFR_10'!$A$1&lt;&gt;"",AFA!G36,AFA!G35)</t>
        </r>
      </text>
    </comment>
    <comment ref="H4" authorId="0" shapeId="0" xr:uid="{2EDE1DDE-7369-4472-84AB-716FB7257C16}">
      <text>
        <r>
          <rPr>
            <b/>
            <sz val="9"/>
            <color indexed="81"/>
            <rFont val="Tahoma"/>
            <family val="2"/>
          </rPr>
          <t>Joseph Masenda:</t>
        </r>
        <r>
          <rPr>
            <sz val="9"/>
            <color indexed="81"/>
            <rFont val="Tahoma"/>
            <family val="2"/>
          </rPr>
          <t xml:space="preserve">
=IF('[TCH_IND_archive_jm_v1.xlsx]TS COMFR_10'!$A$1&lt;&gt;"",AFA!H36,AFA!H35)</t>
        </r>
      </text>
    </comment>
    <comment ref="I4" authorId="0" shapeId="0" xr:uid="{B401F0D7-D227-4B6F-B1CD-CC98C705A2C8}">
      <text>
        <r>
          <rPr>
            <b/>
            <sz val="9"/>
            <color indexed="81"/>
            <rFont val="Tahoma"/>
            <family val="2"/>
          </rPr>
          <t>Joseph Masenda:</t>
        </r>
        <r>
          <rPr>
            <sz val="9"/>
            <color indexed="81"/>
            <rFont val="Tahoma"/>
            <family val="2"/>
          </rPr>
          <t xml:space="preserve">
=IF('[TCH_IND_archive_jm_v1.xlsx]TS COMFR_10'!$A$1&lt;&gt;"",AFA!I36,AFA!I35)</t>
        </r>
      </text>
    </comment>
    <comment ref="J4" authorId="0" shapeId="0" xr:uid="{2B72AEB7-1CE5-4A09-B5FD-AD7B95E9882D}">
      <text>
        <r>
          <rPr>
            <b/>
            <sz val="9"/>
            <color indexed="81"/>
            <rFont val="Tahoma"/>
            <family val="2"/>
          </rPr>
          <t>Joseph Masenda:</t>
        </r>
        <r>
          <rPr>
            <sz val="9"/>
            <color indexed="81"/>
            <rFont val="Tahoma"/>
            <family val="2"/>
          </rPr>
          <t xml:space="preserve">
=IF('[TCH_IND_archive_jm_v1.xlsx]TS COMFR_10'!$A$1&lt;&gt;"",AFA!J36,AFA!J35)</t>
        </r>
      </text>
    </comment>
    <comment ref="K4" authorId="0" shapeId="0" xr:uid="{A54F6EEB-8E21-4B5C-B614-90955FBD014B}">
      <text>
        <r>
          <rPr>
            <b/>
            <sz val="9"/>
            <color indexed="81"/>
            <rFont val="Tahoma"/>
            <family val="2"/>
          </rPr>
          <t>Joseph Masenda:</t>
        </r>
        <r>
          <rPr>
            <sz val="9"/>
            <color indexed="81"/>
            <rFont val="Tahoma"/>
            <family val="2"/>
          </rPr>
          <t xml:space="preserve">
=IF('[TCH_IND_archive_jm_v1.xlsx]TS COMFR_10'!$A$1&lt;&gt;"",AFA!K36,AFA!K35)</t>
        </r>
      </text>
    </comment>
    <comment ref="L4" authorId="0" shapeId="0" xr:uid="{F67AAF87-EE0B-4C4C-924F-67A9F3A1F808}">
      <text>
        <r>
          <rPr>
            <b/>
            <sz val="9"/>
            <color indexed="81"/>
            <rFont val="Tahoma"/>
            <family val="2"/>
          </rPr>
          <t>Joseph Masenda:</t>
        </r>
        <r>
          <rPr>
            <sz val="9"/>
            <color indexed="81"/>
            <rFont val="Tahoma"/>
            <family val="2"/>
          </rPr>
          <t xml:space="preserve">
=IF('[TCH_IND_archive_jm_v1.xlsx]TS COMFR_10'!$A$1&lt;&gt;"",AFA!L36,AFA!L35)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<sst xmlns="http://schemas.openxmlformats.org/spreadsheetml/2006/main" count="3232" uniqueCount="839">
  <si>
    <t>TimeSlice Version</t>
  </si>
  <si>
    <t>Short 8</t>
  </si>
  <si>
    <t>Long 20</t>
  </si>
  <si>
    <t>zar.year</t>
  </si>
  <si>
    <t xml:space="preserve">The currency year being used for the model. </t>
  </si>
  <si>
    <t>zar.2010</t>
  </si>
  <si>
    <t>Import sheet components</t>
  </si>
  <si>
    <t>I&amp;S</t>
  </si>
  <si>
    <t>FA</t>
  </si>
  <si>
    <t>AL</t>
  </si>
  <si>
    <t>NMM</t>
  </si>
  <si>
    <t>PP</t>
  </si>
  <si>
    <t>Change History _ Fill this in when anything is changed in this workbook</t>
  </si>
  <si>
    <t>Change</t>
  </si>
  <si>
    <t>Date</t>
  </si>
  <si>
    <t>Modeller</t>
  </si>
  <si>
    <t>Added waste as industrial fuel (IPCC  municipal waste -non biomass fraction - EF)</t>
  </si>
  <si>
    <t>Fadiel</t>
  </si>
  <si>
    <t>Split INDELC into subsector distribution ELC (e.g. xIMIELC)</t>
  </si>
  <si>
    <t>Removed Comm_proj definitions (*) from TS_BYDEM as this resides in DMD_PRJ</t>
  </si>
  <si>
    <t>Set efficiency  of waste as fuel for boilers/process heat equal to biomass</t>
  </si>
  <si>
    <t>Added Back DMD_PRJ to TS_BYDEM as this is useful for base year runs and checks</t>
  </si>
  <si>
    <t>Bruno</t>
  </si>
  <si>
    <t>Added  gas-process material use for CP</t>
  </si>
  <si>
    <t>Fixed ICPTGAS-E to consume ICPGAS instead of INDGAS and coal in mining</t>
  </si>
  <si>
    <t>Added 'Efficiencies' sheet. Part of the CLEAN OUT SHEETS process</t>
  </si>
  <si>
    <t>Bryce</t>
  </si>
  <si>
    <t>Colour coded the tabs to help with organisation of this messy workbook, although some sheets will probably have to be recoloured because I didn’t check thoroughly whats in each</t>
  </si>
  <si>
    <t>Made new sheet - SIC codes. Renamed the old sic codes sheet to 'old'. The sic codes have changed. I am updating it</t>
  </si>
  <si>
    <t>Updated industry to 2012 energy balance</t>
  </si>
  <si>
    <t>Added in ferro alloys subsector to Industry</t>
  </si>
  <si>
    <t>Ferroalloys is now either specific subsector detail or its through the standard industry methodology. There is a toggle switch</t>
  </si>
  <si>
    <t>Readded in Ind efficiency sheets</t>
  </si>
  <si>
    <t xml:space="preserve">Moved about the minimum bounds for fuel share of thermal fuels for NMM. </t>
  </si>
  <si>
    <t>12-09-2017</t>
  </si>
  <si>
    <t xml:space="preserve">They were out of alignment with years but some also didn’t quick look right. </t>
  </si>
  <si>
    <t>Removed lower bound on activity for NMM</t>
  </si>
  <si>
    <t>Changed efficiency scenarios to start from 2016</t>
  </si>
  <si>
    <t>15-09-2017</t>
  </si>
  <si>
    <t>moved ferro alloys back to methodology one group (ie not like tamaryns sectors)</t>
  </si>
  <si>
    <t xml:space="preserve">Coal upper limit share for IndOther fixed to BY value for all years. Industry likely already using as much as they can (cost). </t>
  </si>
  <si>
    <t>12-12-2017</t>
  </si>
  <si>
    <t xml:space="preserve"> mistakenly had IISCKC (Coal for coking) and not IISCKE (Coke) as input . Fixed this</t>
  </si>
  <si>
    <t>Changed boiler/process heating techs from DAYNITE to ANNUAL</t>
  </si>
  <si>
    <t>13-12-2017</t>
  </si>
  <si>
    <t>This is to stop model from switching on and off technologies to avoid dispatching elec during peaks</t>
  </si>
  <si>
    <t>Steel scrap ratio tweaked - now upper bound = lower bound until 2020, from there it creeps up to max 0.5</t>
  </si>
  <si>
    <t>18 -01 - 2018</t>
  </si>
  <si>
    <t xml:space="preserve">added ncap start for IS new builds. Set to 2017. </t>
  </si>
  <si>
    <t>added process emissions for NMM. This is called CO2SP - suffix P, for carbon dioxide process emissiosn</t>
  </si>
  <si>
    <t xml:space="preserve">Added ncap bounds to PP techs for steam boilers mainly. </t>
  </si>
  <si>
    <t>22-01-2018</t>
  </si>
  <si>
    <t>Added lower bound on NCAP_AFA for Iron and steel to prevent it from building techs for one year only.</t>
  </si>
  <si>
    <t>Looks like industry HVAC/lights/cooling etc. were set to ANNUAL commodities. Fixed this to daynite</t>
  </si>
  <si>
    <t>23-01-2018</t>
  </si>
  <si>
    <t>bryce</t>
  </si>
  <si>
    <t xml:space="preserve">fixed the amount of biomass allowed in the P&amp;P sector on XIPPBIB process. </t>
  </si>
  <si>
    <t>26-01-2018</t>
  </si>
  <si>
    <t>Cement finish grinding do not have efficiency or flo_func!!!</t>
  </si>
  <si>
    <t>28-01-2018</t>
  </si>
  <si>
    <t xml:space="preserve">added prc resid for IS - part of annualisation process. </t>
  </si>
  <si>
    <t xml:space="preserve">Switched off Cement (not all NMM) items. This has been moved to it's own spreadsheet. </t>
  </si>
  <si>
    <t xml:space="preserve">Added HDRI (for steel) into this workbook. </t>
  </si>
  <si>
    <t>Removed P&amp;P from this workbook into it's own workbook TCH_IND_PP</t>
  </si>
  <si>
    <t>Removed NMM from this workbook into it’s own workbook TCH_IND_NMM</t>
  </si>
  <si>
    <t>removed I&amp;S from this workbook, put it into it's own workbook TCH_IND_IS</t>
  </si>
  <si>
    <t>COMMODITIES</t>
  </si>
  <si>
    <t>ABRV.</t>
  </si>
  <si>
    <t>Biomass bagasse</t>
  </si>
  <si>
    <t>BIB</t>
  </si>
  <si>
    <t>Biomass Wood</t>
  </si>
  <si>
    <t>BIW</t>
  </si>
  <si>
    <t>Coal</t>
  </si>
  <si>
    <t>COA</t>
  </si>
  <si>
    <t>Low Grade Coal</t>
  </si>
  <si>
    <t>CLE</t>
  </si>
  <si>
    <t>Coke</t>
  </si>
  <si>
    <t>COK</t>
  </si>
  <si>
    <t>Electricity</t>
  </si>
  <si>
    <t>ELC</t>
  </si>
  <si>
    <t>Gas</t>
  </si>
  <si>
    <t>GAS</t>
  </si>
  <si>
    <t>Oil Diesel</t>
  </si>
  <si>
    <t>ODS</t>
  </si>
  <si>
    <t>Oil HFO</t>
  </si>
  <si>
    <t>OHF</t>
  </si>
  <si>
    <t>Oil LPG</t>
  </si>
  <si>
    <t>OLP</t>
  </si>
  <si>
    <t>Waste</t>
  </si>
  <si>
    <t>WAS</t>
  </si>
  <si>
    <t>Solar PV</t>
  </si>
  <si>
    <t>SPV</t>
  </si>
  <si>
    <t>SolarThermal</t>
  </si>
  <si>
    <t>STH</t>
  </si>
  <si>
    <t>Oil Paraffin</t>
  </si>
  <si>
    <t>OLK</t>
  </si>
  <si>
    <t>Gas Material Use</t>
  </si>
  <si>
    <t>GMU</t>
  </si>
  <si>
    <t>Hydrogen</t>
  </si>
  <si>
    <t>HGN</t>
  </si>
  <si>
    <t>SECTORS</t>
  </si>
  <si>
    <t xml:space="preserve">ABRV. </t>
  </si>
  <si>
    <t>SIC codes</t>
  </si>
  <si>
    <t>Mining</t>
  </si>
  <si>
    <t>MI</t>
  </si>
  <si>
    <t>Ferro Alloys</t>
  </si>
  <si>
    <t>Iron &amp; Steel</t>
  </si>
  <si>
    <t>IS</t>
  </si>
  <si>
    <t>Chemicals</t>
  </si>
  <si>
    <t>CP</t>
  </si>
  <si>
    <t>Precious &amp; Non-Ferrous metals</t>
  </si>
  <si>
    <t>NF</t>
  </si>
  <si>
    <t>N.M.M Products</t>
  </si>
  <si>
    <t>NM</t>
  </si>
  <si>
    <t>Food, Beverage &amp; Tabacco</t>
  </si>
  <si>
    <t>FB</t>
  </si>
  <si>
    <t>Pulp &amp; Paper Products</t>
  </si>
  <si>
    <t>Aluminium</t>
  </si>
  <si>
    <t>Other</t>
  </si>
  <si>
    <t>OT</t>
  </si>
  <si>
    <t>eps</t>
  </si>
  <si>
    <t>Iron  &amp; Steel  - 351</t>
  </si>
  <si>
    <t>Chemicals  -33</t>
  </si>
  <si>
    <t>Precious &amp; Non-Ferrous metals  - 352</t>
  </si>
  <si>
    <t>N.M.M Products  -34</t>
  </si>
  <si>
    <t>Food, Beverage &amp; Tabacco  - 30</t>
  </si>
  <si>
    <t>Pulp &amp; Paper Products  -323</t>
  </si>
  <si>
    <t>Manufacture of basic iron and steel</t>
  </si>
  <si>
    <t>Petroleum refineries/synthesisers</t>
  </si>
  <si>
    <t>Processing of nuclear fuel</t>
  </si>
  <si>
    <t>Manufacture of basic chemicals</t>
  </si>
  <si>
    <t>Manufacture of other chemical products</t>
  </si>
  <si>
    <t>Manufacture of man-made fibres</t>
  </si>
  <si>
    <t>Manufacture of rubber products</t>
  </si>
  <si>
    <t>Manufacture of plastic products</t>
  </si>
  <si>
    <t>Industry</t>
    <phoneticPr fontId="14" type="noConversion"/>
  </si>
  <si>
    <t>What do they produce</t>
    <phoneticPr fontId="14" type="noConversion"/>
  </si>
  <si>
    <t>Energy used</t>
    <phoneticPr fontId="14" type="noConversion"/>
  </si>
  <si>
    <t>Value add</t>
    <phoneticPr fontId="14" type="noConversion"/>
  </si>
  <si>
    <t>Number of industies in category</t>
    <phoneticPr fontId="14" type="noConversion"/>
  </si>
  <si>
    <t>Source</t>
    <phoneticPr fontId="14" type="noConversion"/>
  </si>
  <si>
    <t>International Standard Industrial Classification of all economic activities (ISIC rev.4) Statistical papers series M no 4 rev 4, United nations, Department of Economic and Social Affairs, Statistics division, new York, 2008</t>
    <phoneticPr fontId="14" type="noConversion"/>
  </si>
  <si>
    <t>IEA statistical handbook?</t>
    <phoneticPr fontId="14" type="noConversion"/>
  </si>
  <si>
    <t>Rev 3 of the ISIC, or was it 4? Check</t>
    <phoneticPr fontId="14" type="noConversion"/>
  </si>
  <si>
    <t>Manufacturing, physical or chemical transformation of materials, substances or components into new products, products transformed are either raw materials (from ag, forestry, fishing, mining and quarrying, as well as products of other manufacturing activities. plants, factories or mills. includes bakeries and goods made by hand at home.</t>
    <phoneticPr fontId="14" type="noConversion"/>
  </si>
  <si>
    <t>Source for SIC, Description and further description: Standard industrial classification of all economic activities (SIC). 5th ed. / Central Statistical Service. - Pretoria: Statistics South Africa, 1993- vii, 217 p. (CSS Report No. 09-90-02)http://www.statssa.gov.za/additional_services/sic/mdvdvmg2.htm</t>
    <phoneticPr fontId="14" type="noConversion"/>
  </si>
  <si>
    <t>Classified according to the division which forms the main component of their output, where there are more than one process in one factory or manufacturing unit</t>
    <phoneticPr fontId="14" type="noConversion"/>
  </si>
  <si>
    <t>SIC</t>
    <phoneticPr fontId="14" type="noConversion"/>
  </si>
  <si>
    <t>ISIC</t>
    <phoneticPr fontId="14" type="noConversion"/>
  </si>
  <si>
    <t>Description</t>
    <phoneticPr fontId="14" type="noConversion"/>
  </si>
  <si>
    <t>Further description</t>
    <phoneticPr fontId="14" type="noConversion"/>
  </si>
  <si>
    <t>Energy Sector</t>
    <phoneticPr fontId="14" type="noConversion"/>
  </si>
  <si>
    <t>MAJOR DIVISION 2: MINING AND QUARRYING</t>
  </si>
  <si>
    <t>Mining activities include extrating, dressing and beneficiation of minerals occuring naturally, this would include solids, liwuids or gases. Mining methods such as underground, surface, quarries, wells included as well as beneficiation of ores and other materials processing such as crushing, screening, washing, cleaning, grading etc when it occurs in conjunction with mining, if there activities do not occur in conjunction with mining, they are recorded under "manufacture of other non-metallic mineral products" also includes the reclaiming of minerals in mine dumps. includes prospecting undertaken by mines, but not prospecting for minerals on contract basis</t>
    <phoneticPr fontId="14" type="noConversion"/>
  </si>
  <si>
    <t xml:space="preserve"> </t>
    <phoneticPr fontId="14" type="noConversion"/>
  </si>
  <si>
    <t>Mining of coal and lignite</t>
  </si>
  <si>
    <t xml:space="preserve">Extraction of crude petroleum and natural gas; </t>
    <phoneticPr fontId="14" type="noConversion"/>
  </si>
  <si>
    <t>extraction of crude, petroleum and natural gas and Service activities incidental to oil and gas extraction excluding surveying</t>
    <phoneticPr fontId="14" type="noConversion"/>
  </si>
  <si>
    <t>Mining of gold and uranium ore</t>
  </si>
  <si>
    <t>Mining of metal ores, except gold and uranium</t>
  </si>
  <si>
    <t>mining of iron ore, mining of non-ferrous ores except gold and uranium</t>
    <phoneticPr fontId="14" type="noConversion"/>
  </si>
  <si>
    <t>Other mining and quarrying</t>
  </si>
  <si>
    <t>stone quarrying and sand pits, mining of diamonds, mining and quarrying for eg chemical and fertilizer minerals, phosphates, mining of precious and semi precious stones, extraction and evaporation of salt, asbestos, other minerals and materials</t>
    <phoneticPr fontId="14" type="noConversion"/>
  </si>
  <si>
    <t>Service activities incidental to mining of minerals</t>
  </si>
  <si>
    <t>MAJOR DIVISION 3: MANUFACTURING</t>
  </si>
  <si>
    <t>transformation of physical or chemical compounds into new products, either by machinery or by hand, in a factory or household. Also includes assembly of products from components.</t>
    <phoneticPr fontId="14" type="noConversion"/>
  </si>
  <si>
    <t>Manufacture of food products, beverages and tobacco products</t>
  </si>
  <si>
    <t>Production, processing and preservation of meat, fish, fruit, vegetables, oils and fats, manufacture of dairy products (which have been processed in some way, ie not raw milk), manufacture of grain mill products, starches and starch products and prepared animal feeds, manufacture of bakery products, manufacture of sugar, including golden syrup and castor sugar, manufacture of cocoa, chocolate and sugar confectionery, manufacture of macaroni, noodles, cousous and similar farinaceous products, manufacture of other food products eg roasting and grinding of coffee, coffee substitutes, nuts, artificial foods, baking powder etc, flavoured cold drinks....manufacture of pre-cooked meals for resale. Manufacture of beverages, inluding alcoholic or non-alcoholic beverages, manufacture of tobacco products.</t>
    <phoneticPr fontId="14" type="noConversion"/>
  </si>
  <si>
    <t>Manufacture of textiles, clothing and leather goods</t>
  </si>
  <si>
    <t>Preparation and spinning of textile fibres and weaving, finishing of textiles and made up textile articles, carpets, rugs and mats. Manufacture of cordage and ropes, twine and netting and other textiles such as bandages or labels. Manufacture of knitted or crocheted articles. Dressing and dying of leather, fur etc and the manufacture of luggage, handbags etc from leather. Manufacture of footwear, also includes products like rubber footwear, luggage etc</t>
    <phoneticPr fontId="14" type="noConversion"/>
  </si>
  <si>
    <t>321, 322</t>
    <phoneticPr fontId="14" type="noConversion"/>
  </si>
  <si>
    <t xml:space="preserve">Manufacture of wood and of products of wood and cork, except furniture; manufacture of articles of straw and plaiting materials; </t>
    <phoneticPr fontId="14" type="noConversion"/>
  </si>
  <si>
    <t>Sawmilling and planing of wood, manufacture of products of wood, cork, straw and plaiting materials</t>
    <phoneticPr fontId="14" type="noConversion"/>
  </si>
  <si>
    <t>manufacture of paper and paper products; publishing, printing and reproduction of recorded media</t>
  </si>
  <si>
    <t>manufacture of pulp paper and paperboard, manufacture of corrugated paper and paperboard and containers of paper and paperboard, manufacture of other articles of paperboard, publishing of books, newspapers, journals etc, printing and service activities relating to printing</t>
    <phoneticPr fontId="14" type="noConversion"/>
  </si>
  <si>
    <t>Manufacture of coke, refined petroleum products and nuclear fuel; manufacture of chemicals and chemical products; manufacture of rubber and plastic products</t>
  </si>
  <si>
    <t xml:space="preserve">Manufacture of coke including operation of coke ovens, manufacture of materials for building roads eg asphalt, (ISIC) Transformation of crude and coal into products, eg refining through cracking and distallation. Includes the manufacture of some gases. Transformation of organic and inorganic raw materials by chemical processes and the formation of products. Manufacture of pharmaceutical products. Manufacture of rubber and plastics. Solid carbon, usually in the form of coke, is used for several non-energy processes in the chemicals sector. These include the manufacture of soda ash, silicon carbide and carbon anodes. </t>
    <phoneticPr fontId="14" type="noConversion"/>
  </si>
  <si>
    <t>Manufacture of other non-metallic mineral products</t>
  </si>
  <si>
    <t>manufacture of glass and glass products, ceramic products, non-refractory clay, cement, lime, plaster, concrete, cutting shaping and finishing of stone, manufature of other non-metallic mineral products includes products manufactured from asbestos, mineral insulating materials, glass or wool insulating products, articles of other mineral substances etc</t>
    <phoneticPr fontId="14" type="noConversion"/>
  </si>
  <si>
    <t>Manufacture of basic metals, fabricated metal products, machinery and equipment and of office, accounting and computing machinery</t>
  </si>
  <si>
    <t>Manufacture of basic iron and steel</t>
    <phoneticPr fontId="14" type="noConversion"/>
  </si>
  <si>
    <t>Manufacture of basic and precious and non-ferrous metals</t>
    <phoneticPr fontId="14" type="noConversion"/>
  </si>
  <si>
    <t>Includes manufacture of gold, silver, and metals of the platinum group, the refining of these metals, the production of wrought and unwrought precious metals, production of clad precious metals. Production of alumina and mattes of nickel or copper, operations carried out by smelters or electrolytic refineries or by ther means to produce unwrought non-ferrous base metals, smelters and refiners of copper, lead, chrome, manganses, zinc, aluminium, nickel, tin or other non-ferrous base metals and alloys of such metals.manufacture of base metal products by rolling, drawing or extruding. production of monetary gold</t>
    <phoneticPr fontId="14" type="noConversion"/>
  </si>
  <si>
    <t>353,354 etc</t>
    <phoneticPr fontId="14" type="noConversion"/>
  </si>
  <si>
    <t xml:space="preserve">Casting of metals, manufacture of structural metal products, tanks or containers, manufacture of fabricated metal products, manufacture of general purpose machinery, manufacture of special purpose machinery, manufacture of household appliances, </t>
    <phoneticPr fontId="14" type="noConversion"/>
  </si>
  <si>
    <t>Manufacture of electrical machinery and apparatus n.e.c.</t>
  </si>
  <si>
    <t>manufacture of electric motors, generators and transformers, apparatus for electricity distribution and control, insulated wire and cable, batteries, accumulators, electric lamps and lighting equipment, other electrical equipment eg magnets, ignition equipment, dynamos, windscreen wipers, sound signalling devices, electrical insulators except glass and ceramics, electronic engine parts etc</t>
    <phoneticPr fontId="14" type="noConversion"/>
  </si>
  <si>
    <t>Manufacture of radio, television and communication equipment and apparatus and of medical, precision and optical instruments, watches and clocks</t>
  </si>
  <si>
    <t xml:space="preserve">Manufacture of electronic valves and tubes and other elctronic components, television and radio transmittes and apparatus for line telephony and line telegraphy, television and radio receivers, sound or video recording and reproducing apparatus and associated goods, medical and surgical equipment and orthopaedic appliances, instruments and appliances for measureing checking testing and navigating and for other purposes except industrial process control equipment, industrial process control equipment, optical instruments adn photographic equipment, watches and clocks, </t>
    <phoneticPr fontId="14" type="noConversion"/>
  </si>
  <si>
    <t>Manufacture of transport equipment</t>
  </si>
  <si>
    <t>manufacture of motor vehicles (bodies, electrical equipment, parts, accessories, engines etc), trailers and semi-trailers, building and repairing of ships and boats, railway and rolling stock, aircraft and spacecraft, motorcycles and bicycles. Includes manufacture of hand propelled vehicles like supermarket trolleys, luggage, wheelbarrows etc, and the manufacture of vehicles drawn by animals.</t>
    <phoneticPr fontId="14" type="noConversion"/>
  </si>
  <si>
    <t>Manufacture of furniture; manufacturing n.e.c.; recycling</t>
  </si>
  <si>
    <t xml:space="preserve">furniture, jewellery and related articles, musical instruments, sporting goods, games and toys, writing instruments, umbreallas, floor coverings,  etc etc, recycling is included where it is not carried out as part of or in the same unit as the further processing of the products into new materials. </t>
    <phoneticPr fontId="14" type="noConversion"/>
  </si>
  <si>
    <t xml:space="preserve">SIC codes are from: </t>
  </si>
  <si>
    <t>http://www.statssa.gov.za/classifications/codelists/Web_SIC7a/SIC_7_Final_Manual_Errata.pdf</t>
  </si>
  <si>
    <t>Industry sectors categories in the SATIM model</t>
  </si>
  <si>
    <t>Pre 2012 SIC codes</t>
  </si>
  <si>
    <t>2012 SIC codes</t>
  </si>
  <si>
    <t>Descriptions</t>
  </si>
  <si>
    <t>Example products</t>
  </si>
  <si>
    <t>Note</t>
  </si>
  <si>
    <t>Mining and quarrying</t>
  </si>
  <si>
    <t>Iron and Steel</t>
  </si>
  <si>
    <t>Manufacture of basic iron or steel - Billets etc.</t>
  </si>
  <si>
    <t>Iron/Steel billets. Steel from scrap</t>
  </si>
  <si>
    <t xml:space="preserve">Does not include cast products - like engine blocks, even though those industries will have a furnace too. </t>
  </si>
  <si>
    <t>Precious and Non Ferrous Metals</t>
  </si>
  <si>
    <t>Non Metallic Minerals</t>
  </si>
  <si>
    <t>Food,Beverages and Tobacco</t>
  </si>
  <si>
    <t>Pulp and Paper</t>
  </si>
  <si>
    <t xml:space="preserve">Manufacture of textiles, products, and goods in general. </t>
  </si>
  <si>
    <t>Clothing, food packages, pots, pans, car parts</t>
  </si>
  <si>
    <t xml:space="preserve">The energy balance for the industry sector </t>
  </si>
  <si>
    <t>for 2012</t>
  </si>
  <si>
    <t xml:space="preserve">Data linked from EB workbook. </t>
  </si>
  <si>
    <t>Fuel consumed - TJ</t>
  </si>
  <si>
    <t>Index for SATIM</t>
  </si>
  <si>
    <t>SATIM fuel names</t>
  </si>
  <si>
    <t>Group EB from EB2012 update to SATIM grouping</t>
  </si>
  <si>
    <t>TJ to PJ</t>
  </si>
  <si>
    <t>Consumption - PJ</t>
  </si>
  <si>
    <t>Biomass Bagasse</t>
  </si>
  <si>
    <t>adjust or not?</t>
  </si>
  <si>
    <t>PGM calibration</t>
  </si>
  <si>
    <t>PJ to take from other sectors to calibrate for PGM sector</t>
  </si>
  <si>
    <t>From ESRG Gooogle spreadsheet</t>
  </si>
  <si>
    <t>Consumption - TJ</t>
  </si>
  <si>
    <t>coal discard</t>
  </si>
  <si>
    <t>coal low grade</t>
  </si>
  <si>
    <t>Elec with autogen</t>
  </si>
  <si>
    <t>Petrol</t>
  </si>
  <si>
    <t>Jet fuel</t>
  </si>
  <si>
    <t>Crude Oil</t>
  </si>
  <si>
    <t>hydrogen</t>
  </si>
  <si>
    <t>Bagasse</t>
  </si>
  <si>
    <t>biodiesel</t>
  </si>
  <si>
    <t>bioethanol</t>
  </si>
  <si>
    <t>biogas</t>
  </si>
  <si>
    <t>Steam?</t>
  </si>
  <si>
    <t>waste</t>
  </si>
  <si>
    <t>Added</t>
  </si>
  <si>
    <t>Was</t>
  </si>
  <si>
    <t>Now</t>
  </si>
  <si>
    <t>Added (TJ)</t>
  </si>
  <si>
    <t>CV</t>
  </si>
  <si>
    <t>Added (mtons)</t>
  </si>
  <si>
    <t>Need</t>
  </si>
  <si>
    <t>Still need</t>
  </si>
  <si>
    <t>Total added</t>
  </si>
  <si>
    <t>Food</t>
  </si>
  <si>
    <t>Pulp and paper is short relative to what is in SUT, transferring some of this to INDOTH for now</t>
  </si>
  <si>
    <t>Pulp and paper transfer</t>
  </si>
  <si>
    <t>NMM is short relative to what is in SUT, transferring some of this to INDOTH</t>
  </si>
  <si>
    <t>NMM transfer</t>
  </si>
  <si>
    <t>Other added to match XMP</t>
  </si>
  <si>
    <t>Total Other</t>
  </si>
  <si>
    <t>End-Use methodology</t>
  </si>
  <si>
    <t>End-use Shares by Fuel - All sourced from Interim report (other than LPG)</t>
  </si>
  <si>
    <t>End-use Fractional Shares by Sub-sector</t>
  </si>
  <si>
    <t>Demand ID</t>
  </si>
  <si>
    <t>K</t>
  </si>
  <si>
    <t>A</t>
  </si>
  <si>
    <t>L</t>
  </si>
  <si>
    <t>No referencefor source data:</t>
  </si>
  <si>
    <t>C</t>
  </si>
  <si>
    <t>H</t>
  </si>
  <si>
    <t>P</t>
  </si>
  <si>
    <t>F</t>
  </si>
  <si>
    <t>O</t>
  </si>
  <si>
    <t>E</t>
  </si>
  <si>
    <t>S</t>
  </si>
  <si>
    <t>Non-Energy Use</t>
  </si>
  <si>
    <t>T</t>
  </si>
  <si>
    <t>Transport</t>
  </si>
  <si>
    <t>R</t>
  </si>
  <si>
    <t>Total</t>
  </si>
  <si>
    <t>Technology efficiency data for model inputs</t>
  </si>
  <si>
    <t>Efficiencies</t>
  </si>
  <si>
    <t>boiler</t>
  </si>
  <si>
    <t>High Temperature heat</t>
  </si>
  <si>
    <t>Compressed air</t>
  </si>
  <si>
    <t>Lighting</t>
  </si>
  <si>
    <t>Cooling</t>
  </si>
  <si>
    <t>HVAC</t>
  </si>
  <si>
    <t>Pumping</t>
  </si>
  <si>
    <t>Fans</t>
  </si>
  <si>
    <t>Other motive</t>
  </si>
  <si>
    <t>Electrochemical</t>
  </si>
  <si>
    <t>HFO</t>
  </si>
  <si>
    <t>LPG</t>
  </si>
  <si>
    <t>wood</t>
  </si>
  <si>
    <t>bagasse</t>
  </si>
  <si>
    <t>SolarPV</t>
  </si>
  <si>
    <t>SolarTH</t>
  </si>
  <si>
    <t>End Uses</t>
    <phoneticPr fontId="23" type="noConversion"/>
  </si>
  <si>
    <t>put in</t>
    <phoneticPr fontId="23" type="noConversion"/>
  </si>
  <si>
    <t>REFERENCES</t>
  </si>
  <si>
    <t>Iron and Steel</t>
    <phoneticPr fontId="23" type="noConversion"/>
  </si>
  <si>
    <t>Non-metallic minerals</t>
    <phoneticPr fontId="23" type="noConversion"/>
  </si>
  <si>
    <t>total plant use</t>
    <phoneticPr fontId="23" type="noConversion"/>
  </si>
  <si>
    <t>1998 data</t>
    <phoneticPr fontId="23" type="noConversion"/>
  </si>
  <si>
    <t>Saldanha MWh/month</t>
    <phoneticPr fontId="23" type="noConversion"/>
  </si>
  <si>
    <t>IEA Steel</t>
    <phoneticPr fontId="23" type="noConversion"/>
  </si>
  <si>
    <t>Glass</t>
  </si>
  <si>
    <t>Cement</t>
    <phoneticPr fontId="23" type="noConversion"/>
  </si>
  <si>
    <t>averageover sector</t>
    <phoneticPr fontId="23" type="noConversion"/>
  </si>
  <si>
    <t>Mark 2004a</t>
    <phoneticPr fontId="23" type="noConversion"/>
  </si>
  <si>
    <t>Eskom</t>
    <phoneticPr fontId="23" type="noConversion"/>
  </si>
  <si>
    <t>DSM (Saldanha case study)</t>
    <phoneticPr fontId="23" type="noConversion"/>
  </si>
  <si>
    <t>Bennett</t>
    <phoneticPr fontId="23" type="noConversion"/>
  </si>
  <si>
    <t>USA IEA</t>
    <phoneticPr fontId="23" type="noConversion"/>
  </si>
  <si>
    <t>EIA (1998) end uses</t>
  </si>
  <si>
    <t>own calcs</t>
    <phoneticPr fontId="23" type="noConversion"/>
  </si>
  <si>
    <t>my number</t>
    <phoneticPr fontId="23" type="noConversion"/>
  </si>
  <si>
    <t>DSM</t>
    <phoneticPr fontId="23" type="noConversion"/>
  </si>
  <si>
    <t>Bennett Glass</t>
    <phoneticPr fontId="23" type="noConversion"/>
  </si>
  <si>
    <t>Others</t>
    <phoneticPr fontId="23" type="noConversion"/>
  </si>
  <si>
    <t>My number</t>
    <phoneticPr fontId="23" type="noConversion"/>
  </si>
  <si>
    <t>boiler/process heating</t>
    <phoneticPr fontId="23" type="noConversion"/>
  </si>
  <si>
    <t xml:space="preserve"> </t>
    <phoneticPr fontId="23" type="noConversion"/>
  </si>
  <si>
    <t>boiler</t>
    <phoneticPr fontId="23" type="noConversion"/>
  </si>
  <si>
    <t>Elec Heating</t>
  </si>
  <si>
    <t>High Temperature heat</t>
    <phoneticPr fontId="23" type="noConversion"/>
  </si>
  <si>
    <t>Compressed air</t>
    <phoneticPr fontId="23" type="noConversion"/>
  </si>
  <si>
    <t>Lighting</t>
    <phoneticPr fontId="23" type="noConversion"/>
  </si>
  <si>
    <t>Cooling</t>
    <phoneticPr fontId="23" type="noConversion"/>
  </si>
  <si>
    <t>HVAC</t>
    <phoneticPr fontId="23" type="noConversion"/>
  </si>
  <si>
    <t>Pumping</t>
    <phoneticPr fontId="23" type="noConversion"/>
  </si>
  <si>
    <t>Fans</t>
    <phoneticPr fontId="23" type="noConversion"/>
  </si>
  <si>
    <t>Other motive</t>
    <phoneticPr fontId="23" type="noConversion"/>
  </si>
  <si>
    <t>Electrochemical</t>
    <phoneticPr fontId="23" type="noConversion"/>
  </si>
  <si>
    <t>Arc furnace</t>
    <phoneticPr fontId="23" type="noConversion"/>
  </si>
  <si>
    <t xml:space="preserve">Other including textiles, </t>
    <phoneticPr fontId="14" type="noConversion"/>
  </si>
  <si>
    <t>Textiles</t>
    <phoneticPr fontId="14" type="noConversion"/>
  </si>
  <si>
    <t xml:space="preserve">Textiles </t>
    <phoneticPr fontId="14" type="noConversion"/>
  </si>
  <si>
    <t>Other man EKSOM</t>
    <phoneticPr fontId="14" type="noConversion"/>
  </si>
  <si>
    <t xml:space="preserve"> </t>
  </si>
  <si>
    <t>textiles are 7% of total elec use</t>
  </si>
  <si>
    <t>Other this study</t>
    <phoneticPr fontId="14" type="noConversion"/>
  </si>
  <si>
    <t>Mark 2004a</t>
    <phoneticPr fontId="14" type="noConversion"/>
  </si>
  <si>
    <t>Eskom</t>
    <phoneticPr fontId="14" type="noConversion"/>
  </si>
  <si>
    <t>DSM</t>
    <phoneticPr fontId="14" type="noConversion"/>
  </si>
  <si>
    <t>Bennett</t>
    <phoneticPr fontId="14" type="noConversion"/>
  </si>
  <si>
    <t>my number</t>
    <phoneticPr fontId="14" type="noConversion"/>
  </si>
  <si>
    <t>EIA (1998)</t>
  </si>
  <si>
    <t>Mark</t>
    <phoneticPr fontId="14" type="noConversion"/>
  </si>
  <si>
    <t>Prof B</t>
    <phoneticPr fontId="14" type="noConversion"/>
  </si>
  <si>
    <t>IEA (1998) (average)</t>
  </si>
  <si>
    <t>Mark</t>
  </si>
  <si>
    <t>my number textiles</t>
  </si>
  <si>
    <t>my number other</t>
  </si>
  <si>
    <t>boiler</t>
    <phoneticPr fontId="14" type="noConversion"/>
  </si>
  <si>
    <t>High Temperature heat</t>
    <phoneticPr fontId="14" type="noConversion"/>
  </si>
  <si>
    <t>Compressed air</t>
    <phoneticPr fontId="14" type="noConversion"/>
  </si>
  <si>
    <t>Lighting</t>
    <phoneticPr fontId="14" type="noConversion"/>
  </si>
  <si>
    <t>Cooling</t>
    <phoneticPr fontId="14" type="noConversion"/>
  </si>
  <si>
    <t>HVAC</t>
    <phoneticPr fontId="14" type="noConversion"/>
  </si>
  <si>
    <t>Pumping</t>
    <phoneticPr fontId="14" type="noConversion"/>
  </si>
  <si>
    <t>Fans</t>
    <phoneticPr fontId="14" type="noConversion"/>
  </si>
  <si>
    <t>Other motive</t>
    <phoneticPr fontId="14" type="noConversion"/>
  </si>
  <si>
    <t>Electrochemical</t>
    <phoneticPr fontId="14" type="noConversion"/>
  </si>
  <si>
    <t>All MINING</t>
  </si>
  <si>
    <t>MINING</t>
    <phoneticPr fontId="14" type="noConversion"/>
  </si>
  <si>
    <t>Gold Mining</t>
    <phoneticPr fontId="14" type="noConversion"/>
  </si>
  <si>
    <t>Platinum Mining</t>
    <phoneticPr fontId="14" type="noConversion"/>
  </si>
  <si>
    <t>Rest of mining</t>
    <phoneticPr fontId="14" type="noConversion"/>
  </si>
  <si>
    <t>Rest of mining includes platinum here</t>
    <phoneticPr fontId="14" type="noConversion"/>
  </si>
  <si>
    <t>Others</t>
    <phoneticPr fontId="14" type="noConversion"/>
  </si>
  <si>
    <t>Gold mining</t>
  </si>
  <si>
    <t>Platinum</t>
  </si>
  <si>
    <t>rest of mining</t>
  </si>
  <si>
    <t>percentage of elec</t>
  </si>
  <si>
    <t>electrochem</t>
    <phoneticPr fontId="14" type="noConversion"/>
  </si>
  <si>
    <t>electrochemical</t>
    <phoneticPr fontId="14" type="noConversion"/>
  </si>
  <si>
    <t>Electrochem</t>
    <phoneticPr fontId="14" type="noConversion"/>
  </si>
  <si>
    <t>South Africa</t>
  </si>
  <si>
    <t>Base Year Energy Balance</t>
  </si>
  <si>
    <t>* Fuel #</t>
  </si>
  <si>
    <t>Base-year final energy aggregated by sector fuel</t>
  </si>
  <si>
    <t>Entry #</t>
  </si>
  <si>
    <t>Subsector commodities</t>
  </si>
  <si>
    <t>Fuel #</t>
  </si>
  <si>
    <t>Residential</t>
  </si>
  <si>
    <t>Industry</t>
  </si>
  <si>
    <t>I</t>
  </si>
  <si>
    <t>Sectoral Fuel Names</t>
  </si>
  <si>
    <t>IND</t>
  </si>
  <si>
    <t>PJ</t>
  </si>
  <si>
    <t>NCAP_COST</t>
  </si>
  <si>
    <t>NCAP_COST for gas</t>
  </si>
  <si>
    <t xml:space="preserve">Sector fuel use </t>
  </si>
  <si>
    <t>Units: PJ</t>
  </si>
  <si>
    <t>Use M1 methodology?</t>
  </si>
  <si>
    <t>Distribution Losses</t>
  </si>
  <si>
    <t>Distribution Capacity (GW)</t>
  </si>
  <si>
    <t>Investment Cost</t>
  </si>
  <si>
    <t>Levelized Check (c/kwh)</t>
  </si>
  <si>
    <t>Distribution Capacity Pja</t>
  </si>
  <si>
    <t>Levelised Check R/GJ</t>
  </si>
  <si>
    <t>Aggregate</t>
  </si>
  <si>
    <t>End use demands</t>
  </si>
  <si>
    <t>Demand</t>
  </si>
  <si>
    <t>Ancillary</t>
  </si>
  <si>
    <t>Energy Efficiency control. Excluding PAMS control</t>
  </si>
  <si>
    <t xml:space="preserve">Select: </t>
  </si>
  <si>
    <t>No Efficiency</t>
  </si>
  <si>
    <t>Sc1 Standards</t>
  </si>
  <si>
    <t>Sc2 Audits</t>
  </si>
  <si>
    <t>Sc3 En Man</t>
  </si>
  <si>
    <t>Sc4 Accreditation</t>
  </si>
  <si>
    <t>Sc5 Education</t>
  </si>
  <si>
    <t>Sc6 NEEA</t>
  </si>
  <si>
    <t>Sc7 Finance</t>
  </si>
  <si>
    <t>PAMS</t>
  </si>
  <si>
    <t>NOTE:moved to new sheet now/</t>
  </si>
  <si>
    <t>% Savings</t>
  </si>
  <si>
    <t>End-use Final Energy Consumption by Sub-sector (PJ)</t>
  </si>
  <si>
    <t>c</t>
  </si>
  <si>
    <t>d</t>
  </si>
  <si>
    <t>e</t>
  </si>
  <si>
    <t>f</t>
  </si>
  <si>
    <t>g</t>
  </si>
  <si>
    <t>h</t>
  </si>
  <si>
    <t>High Temp Heat</t>
  </si>
  <si>
    <t>Compressed Air</t>
  </si>
  <si>
    <t>Boiler heat</t>
  </si>
  <si>
    <t>LINK TO 2017</t>
  </si>
  <si>
    <t>Boiler Fuel Upper Limits</t>
  </si>
  <si>
    <t>Boiler Fuel Lower Limits</t>
  </si>
  <si>
    <t>Calibration of shares</t>
  </si>
  <si>
    <t>TechDesc</t>
  </si>
  <si>
    <t>TechName</t>
  </si>
  <si>
    <t>Comm-IN</t>
  </si>
  <si>
    <t>Comm-Out</t>
  </si>
  <si>
    <t>EFF</t>
  </si>
  <si>
    <t>AFA</t>
  </si>
  <si>
    <t>Life</t>
  </si>
  <si>
    <t>STOCK</t>
  </si>
  <si>
    <t>\I:Technology Description</t>
  </si>
  <si>
    <t>Technology Name</t>
  </si>
  <si>
    <t>Input Commodity</t>
  </si>
  <si>
    <t>Useful Energy Service</t>
  </si>
  <si>
    <t>Efficiency</t>
  </si>
  <si>
    <t>Utlisation</t>
  </si>
  <si>
    <t>Lifetime</t>
  </si>
  <si>
    <t>Existing Installed Cap.</t>
  </si>
  <si>
    <t>Base Year Technology Share</t>
  </si>
  <si>
    <t>Final Energy</t>
  </si>
  <si>
    <t>Useful Energy</t>
  </si>
  <si>
    <t>Tech Data Source</t>
  </si>
  <si>
    <t>Row #</t>
  </si>
  <si>
    <t>Boiler Fuel Upper Limit Overide</t>
  </si>
  <si>
    <t>Base Year Tech Share</t>
  </si>
  <si>
    <t>Upper Limit</t>
  </si>
  <si>
    <t>Lower Limit</t>
  </si>
  <si>
    <t>Base Efficiency</t>
  </si>
  <si>
    <t>Apply PAMS?</t>
  </si>
  <si>
    <t>\I: Units</t>
  </si>
  <si>
    <t>(sum OUT/IN)</t>
  </si>
  <si>
    <t>(Fraction)</t>
  </si>
  <si>
    <t>(Years)</t>
  </si>
  <si>
    <t>(PJa)</t>
  </si>
  <si>
    <t>(%)</t>
  </si>
  <si>
    <t>(PJ)</t>
  </si>
  <si>
    <t>E2012</t>
  </si>
  <si>
    <t>\I:</t>
  </si>
  <si>
    <t>Industry-Mining-boiler/process heating - Hydrogen - New</t>
  </si>
  <si>
    <t>INDHGN</t>
  </si>
  <si>
    <t>INDCLE</t>
  </si>
  <si>
    <t>Industry-Chemicals-boiler/process heating - Hydrogen - New</t>
  </si>
  <si>
    <t>ICPGMU</t>
  </si>
  <si>
    <t>Industry-Food, Beverage &amp; Tabacco-boiler/process heating - Electricity - Hydrogen New</t>
  </si>
  <si>
    <t>Industry-Other-boiler/process heating - Hydrogen - New</t>
  </si>
  <si>
    <t>FROM IND SHEET</t>
  </si>
  <si>
    <t>Reference from archived sheet 'REPORT TABLES' (cells A121-A129)</t>
  </si>
  <si>
    <t>REGION1</t>
  </si>
  <si>
    <t>*</t>
  </si>
  <si>
    <t>ACT_EFF</t>
  </si>
  <si>
    <t>NCAP_TLIFE</t>
  </si>
  <si>
    <t>PRC_RESID</t>
  </si>
  <si>
    <t>ANNUAL</t>
  </si>
  <si>
    <t>boiler/process heating</t>
  </si>
  <si>
    <t>Set Memberships</t>
  </si>
  <si>
    <t>Comment</t>
  </si>
  <si>
    <t>Commodities</t>
  </si>
  <si>
    <t>CommName</t>
  </si>
  <si>
    <t>CommDesc</t>
  </si>
  <si>
    <t>CommUnit</t>
  </si>
  <si>
    <t>COM,NRG,DAYNITE,ELC</t>
  </si>
  <si>
    <t>COM,NRG,ANNUAL,FOSSIL</t>
  </si>
  <si>
    <t>COM,DEM,ANNUAL,RES</t>
  </si>
  <si>
    <t>INDGAS</t>
  </si>
  <si>
    <t>Industry Gas South Africa</t>
  </si>
  <si>
    <t>Coal Coking</t>
  </si>
  <si>
    <t>Gas South Africa</t>
  </si>
  <si>
    <t>-</t>
  </si>
  <si>
    <t>Activate PAMS:</t>
  </si>
  <si>
    <t>Waste PAMS on:</t>
  </si>
  <si>
    <t>Glass recycling improves on energy requirement, reduces IPPU too.</t>
  </si>
  <si>
    <t>Need to relink metal recycling to I&amp;S</t>
  </si>
  <si>
    <t>PAMS levels</t>
  </si>
  <si>
    <t>High</t>
  </si>
  <si>
    <t>This is the original PAMS work. Now includes hydrogen for steel option</t>
  </si>
  <si>
    <t>Low</t>
  </si>
  <si>
    <t>This is high level but with 50% implementation across all PAMS (sectors). Hydrogen for steel only from 2040.</t>
  </si>
  <si>
    <t>Select:</t>
  </si>
  <si>
    <t>Current PAMS status in the other sheets:</t>
  </si>
  <si>
    <t>(are they switched on?)</t>
  </si>
  <si>
    <t xml:space="preserve">Applies to </t>
  </si>
  <si>
    <t>Sector</t>
  </si>
  <si>
    <t>PAMS on?</t>
  </si>
  <si>
    <t>PAMS level in that workbook</t>
  </si>
  <si>
    <t>P&amp;P</t>
  </si>
  <si>
    <t xml:space="preserve">includes Mn. </t>
  </si>
  <si>
    <t>PGM</t>
  </si>
  <si>
    <t>NFM PAM + mining</t>
  </si>
  <si>
    <t>NFM PAM</t>
  </si>
  <si>
    <t xml:space="preserve">Manufacturing: </t>
  </si>
  <si>
    <t>Mining PAMS into the model</t>
  </si>
  <si>
    <t>Mining reduction estimate for equivalent of 40PJ cummualtive by 2030:</t>
  </si>
  <si>
    <t xml:space="preserve">Based using an assumption that 10PJ or 25% of this is saved already from 2015 to 2020. </t>
  </si>
  <si>
    <t>Savings:</t>
  </si>
  <si>
    <t>PAMS - manufacturing 35% reduction</t>
  </si>
  <si>
    <t>at this time - does not apply to PGM and AL (the other sheets)</t>
  </si>
  <si>
    <t>NFM</t>
  </si>
  <si>
    <t xml:space="preserve">this is the 5% target for furnaces etc. </t>
  </si>
  <si>
    <t>F&amp;B</t>
  </si>
  <si>
    <t>Pulp and paper (special)</t>
  </si>
  <si>
    <t xml:space="preserve">Boiler energy consumption and efficiencies excluded. </t>
  </si>
  <si>
    <t>Assumption of total energy consumption in P&amp;P used for lights, motors, HVACs, pumps, etc. but not boilers/process heat</t>
  </si>
  <si>
    <t>Efficiency PAM:</t>
  </si>
  <si>
    <t>nett plant gain:</t>
  </si>
  <si>
    <t>Apply PAM?</t>
  </si>
  <si>
    <t>from input sheet</t>
  </si>
  <si>
    <t>to input sheet</t>
  </si>
  <si>
    <t>IPPCHE-E</t>
  </si>
  <si>
    <t>FLO_FUNC</t>
  </si>
  <si>
    <t>IPPPULP</t>
  </si>
  <si>
    <t>CG-IPPCHE-E-I</t>
  </si>
  <si>
    <t>IPPCOA</t>
  </si>
  <si>
    <t>FLO_SHAR</t>
  </si>
  <si>
    <t>IPPELC</t>
  </si>
  <si>
    <t>FX</t>
  </si>
  <si>
    <t>IPPSTM</t>
  </si>
  <si>
    <t>IPPCHE-N</t>
  </si>
  <si>
    <t>CG-IPPCHE-N-I</t>
  </si>
  <si>
    <t>IPPDIS-E</t>
  </si>
  <si>
    <t>IPPPULPD</t>
  </si>
  <si>
    <t>CG-IPPDIS-E-I</t>
  </si>
  <si>
    <t>IPPODS</t>
  </si>
  <si>
    <t>IPPDIS-N</t>
  </si>
  <si>
    <t>CG-IPPDIS-N-I</t>
  </si>
  <si>
    <t>IPPMCH-E</t>
  </si>
  <si>
    <t>CG-IPPMCH-E-I</t>
  </si>
  <si>
    <t>IPPMCH-N</t>
  </si>
  <si>
    <t>CG-IPPMCH-N-I</t>
  </si>
  <si>
    <t>IPPPAP-E</t>
  </si>
  <si>
    <t>IPPPAP</t>
  </si>
  <si>
    <t>CG-IPPPAP-E-I</t>
  </si>
  <si>
    <t>IPPPAP-N</t>
  </si>
  <si>
    <t>CG-IPPPAP-N-I</t>
  </si>
  <si>
    <t>IPPREC-E</t>
  </si>
  <si>
    <t>CG-IPPREC-E-I</t>
  </si>
  <si>
    <t>IPPREC-N</t>
  </si>
  <si>
    <t>CG-IPPREC-N-I</t>
  </si>
  <si>
    <t>UC__RHSRT</t>
  </si>
  <si>
    <t>UC-IPP-MCH-T1</t>
  </si>
  <si>
    <t>UCRULE_ACT</t>
  </si>
  <si>
    <t>LHS</t>
  </si>
  <si>
    <t>S-IPP-MCH-E</t>
  </si>
  <si>
    <t>UC-IPP-MCH-T2</t>
  </si>
  <si>
    <t>Cement, glass, bricks, lime</t>
  </si>
  <si>
    <t>by 2030</t>
  </si>
  <si>
    <t>Waste PAMS</t>
  </si>
  <si>
    <t>Waste pams is on?</t>
  </si>
  <si>
    <t>Metal scrap</t>
  </si>
  <si>
    <t>Baseline Mt produced</t>
  </si>
  <si>
    <t>Mt scrap metal recycled difference</t>
  </si>
  <si>
    <t>% increase</t>
  </si>
  <si>
    <t>Glass recycling</t>
  </si>
  <si>
    <t>Baseline produced</t>
  </si>
  <si>
    <t>Total recycled</t>
  </si>
  <si>
    <t>%share increase of recycled content used in production</t>
  </si>
  <si>
    <t>nett effect on glass energy intensity</t>
  </si>
  <si>
    <t>Reduce glass flo func</t>
  </si>
  <si>
    <t>PRC flow reduction</t>
  </si>
  <si>
    <t>recycling increase is</t>
  </si>
  <si>
    <t>E reduction</t>
  </si>
  <si>
    <t>Prc reduction</t>
  </si>
  <si>
    <t>Combined with NEES</t>
  </si>
  <si>
    <t>Glass Flo Func</t>
  </si>
  <si>
    <t>Level 3</t>
  </si>
  <si>
    <t>Level 1</t>
  </si>
  <si>
    <t>Level 3 Mt</t>
  </si>
  <si>
    <t>Mt recycled</t>
  </si>
  <si>
    <t>Population</t>
  </si>
  <si>
    <t>Metal</t>
  </si>
  <si>
    <t>Million</t>
  </si>
  <si>
    <t>kg/cap/yr</t>
  </si>
  <si>
    <t>Annual availibility</t>
  </si>
  <si>
    <t>Average:</t>
  </si>
  <si>
    <t xml:space="preserve">From sheet (TS_COMFR_10) </t>
  </si>
  <si>
    <t>this will be picked if there is a "TS DATA" in the A1 cell of TS_COMFR_10 sheet</t>
  </si>
  <si>
    <t>Seasonal</t>
  </si>
  <si>
    <t>https://www.energy.gov/eere/amo/articles/cibo-energy-efficiency-handbook</t>
  </si>
  <si>
    <t>Source: Likely the 'CIBO' reference</t>
  </si>
  <si>
    <t>Tact</t>
  </si>
  <si>
    <t>Tcap</t>
  </si>
  <si>
    <t>Tslvl</t>
  </si>
  <si>
    <t>Sets</t>
  </si>
  <si>
    <t>Pja</t>
  </si>
  <si>
    <t>DMD</t>
  </si>
  <si>
    <t xml:space="preserve">Have taken the cleaned version from Joseph of this workbook and converted to VEDA format. </t>
  </si>
  <si>
    <t xml:space="preserve">Have also removed I&amp;S, NMM, P&amp;P, FA sectors from the main tech database sheet. </t>
  </si>
  <si>
    <t>nothing</t>
  </si>
  <si>
    <t>* MINING</t>
  </si>
  <si>
    <t>* CHEMICALS</t>
  </si>
  <si>
    <t>* PNF (excluding PGM)</t>
  </si>
  <si>
    <t>* TRANSPORT</t>
  </si>
  <si>
    <t>* NON ENERGY USE</t>
  </si>
  <si>
    <t>* FOOD AND BEV</t>
  </si>
  <si>
    <t>PAMS MIGRATION TO VEDA NOT COMPLETE</t>
  </si>
  <si>
    <t>Upper limits of shares</t>
  </si>
  <si>
    <t>~FI_Comm</t>
  </si>
  <si>
    <t>Csets</t>
  </si>
  <si>
    <t>CTSLvl</t>
  </si>
  <si>
    <t>Attribute</t>
  </si>
  <si>
    <t>*Unit</t>
  </si>
  <si>
    <t>Demand Commodity Name</t>
  </si>
  <si>
    <t>Demand Unit</t>
  </si>
  <si>
    <t>Demand Value</t>
  </si>
  <si>
    <t>DEM</t>
  </si>
  <si>
    <t>DAYNITE</t>
  </si>
  <si>
    <t>ENDUSES</t>
  </si>
  <si>
    <t>CODE</t>
  </si>
  <si>
    <t>IMIK</t>
  </si>
  <si>
    <t>IMIELC</t>
  </si>
  <si>
    <t>Industry-MI-Electricity</t>
  </si>
  <si>
    <t>IFAELC</t>
  </si>
  <si>
    <t>Industry-FA-Electricity</t>
  </si>
  <si>
    <t>IISELC</t>
  </si>
  <si>
    <t>Industry-IS-Electricity</t>
  </si>
  <si>
    <t>ICPELC</t>
  </si>
  <si>
    <t>Industry-CP-Electricity</t>
  </si>
  <si>
    <t>INFELC</t>
  </si>
  <si>
    <t>Industry-NF-Electricity</t>
  </si>
  <si>
    <t>INMELC</t>
  </si>
  <si>
    <t>Industry-NM-Electricity</t>
  </si>
  <si>
    <t>IFBELC</t>
  </si>
  <si>
    <t>Industry-FB-Electricity</t>
  </si>
  <si>
    <t>Industry-PP-Electricity</t>
  </si>
  <si>
    <t>IOTELC</t>
  </si>
  <si>
    <t>Industry-OT-Electricity</t>
  </si>
  <si>
    <t>INDCOA</t>
  </si>
  <si>
    <t>Industry Coal</t>
  </si>
  <si>
    <t>IMIGAS</t>
  </si>
  <si>
    <t>Industry-MI-Gas</t>
  </si>
  <si>
    <t>IFAGAS</t>
  </si>
  <si>
    <t>Industry-FA-Gas</t>
  </si>
  <si>
    <t>IISGAS</t>
  </si>
  <si>
    <t>Industry-IS-Gas</t>
  </si>
  <si>
    <t>ICPGAS</t>
  </si>
  <si>
    <t>Industry-CP-Gas</t>
  </si>
  <si>
    <t>INFGAS</t>
  </si>
  <si>
    <t>Industry-NF-Gas</t>
  </si>
  <si>
    <t>INMGAS</t>
  </si>
  <si>
    <t>Industry-NM-Gas</t>
  </si>
  <si>
    <t>IFBGAS</t>
  </si>
  <si>
    <t>Industry-FB-Gas</t>
  </si>
  <si>
    <t>IPPGAS</t>
  </si>
  <si>
    <t>Industry-PP-Gas</t>
  </si>
  <si>
    <t>IOTGAS</t>
  </si>
  <si>
    <t>Industry-OT-Gas</t>
  </si>
  <si>
    <t>Industry Hydrogen</t>
  </si>
  <si>
    <t>INDOHF</t>
  </si>
  <si>
    <t>Industry Oil HFO</t>
  </si>
  <si>
    <t>INDOLP</t>
  </si>
  <si>
    <t>Industry Oil LPG</t>
  </si>
  <si>
    <t>INDWAS</t>
  </si>
  <si>
    <t>Industry Waste</t>
  </si>
  <si>
    <t>INDODS</t>
  </si>
  <si>
    <t>Industry Oil Diesel</t>
  </si>
  <si>
    <t>INDCOK</t>
  </si>
  <si>
    <t>Industry Coal Coking</t>
  </si>
  <si>
    <t>Industry Coal low grade</t>
  </si>
  <si>
    <t>INDBIB</t>
  </si>
  <si>
    <t>Industry Biomass bagasse</t>
  </si>
  <si>
    <t>INDBIW</t>
  </si>
  <si>
    <t>Industry Biomass Wood</t>
  </si>
  <si>
    <t>Industry-Mining-Elec Heating - Electricity</t>
  </si>
  <si>
    <t>IMIA</t>
  </si>
  <si>
    <t>Industry-Mining-Compressed air - Electricity</t>
  </si>
  <si>
    <t>IMIL</t>
  </si>
  <si>
    <t>Industry-Mining-Lighting - Electricity</t>
  </si>
  <si>
    <t>IMIC</t>
  </si>
  <si>
    <t>Industry-Mining-Cooling - Electricity</t>
  </si>
  <si>
    <t>IMIH</t>
  </si>
  <si>
    <t>Industry-Mining-HVAC - Electricity</t>
  </si>
  <si>
    <t>IMIP</t>
  </si>
  <si>
    <t>Industry-Mining-Pumping - Electricity</t>
  </si>
  <si>
    <t>IMIF</t>
  </si>
  <si>
    <t>Industry-Mining-Fans - Electricity</t>
  </si>
  <si>
    <t>IMIO</t>
  </si>
  <si>
    <t>Industry-Mining-Other motive - Electricity</t>
  </si>
  <si>
    <t>IMIE</t>
  </si>
  <si>
    <t>Industry-Mining-Electrochemical - Electricity</t>
  </si>
  <si>
    <t/>
  </si>
  <si>
    <t>IMIS</t>
  </si>
  <si>
    <t>Industry-Mining-boiler/process heating -  - Existing</t>
  </si>
  <si>
    <t>IMIR</t>
  </si>
  <si>
    <t>Industry-Mining-Transport -  - Existing</t>
  </si>
  <si>
    <t>ICPK</t>
  </si>
  <si>
    <t>Industry-Chemicals-Elec Heating - Electricity</t>
  </si>
  <si>
    <t>ICPA</t>
  </si>
  <si>
    <t>Industry-Chemicals-Compressed air - Electricity</t>
  </si>
  <si>
    <t>ICPL</t>
  </si>
  <si>
    <t>Industry-Chemicals-Lighting - Electricity</t>
  </si>
  <si>
    <t>ICPC</t>
  </si>
  <si>
    <t>Industry-Chemicals-Cooling - Electricity</t>
  </si>
  <si>
    <t>ICPH</t>
  </si>
  <si>
    <t>Industry-Chemicals-HVAC - Electricity</t>
  </si>
  <si>
    <t>ICPP</t>
  </si>
  <si>
    <t>Industry-Chemicals-Pumping - Electricity</t>
  </si>
  <si>
    <t>ICPF</t>
  </si>
  <si>
    <t>Industry-Chemicals-Fans - Electricity</t>
  </si>
  <si>
    <t>ICPO</t>
  </si>
  <si>
    <t>Industry-Chemicals-Other motive - Electricity</t>
  </si>
  <si>
    <t>ICPE</t>
  </si>
  <si>
    <t>Industry-Chemicals-Electrochemical - Electricity</t>
  </si>
  <si>
    <t>Industry-CP-Material use Gas</t>
  </si>
  <si>
    <t>ICPS</t>
  </si>
  <si>
    <t>Industry-Chemicals-boiler/process heating -  - Existing</t>
  </si>
  <si>
    <t>Industry-Chemicals-boiler/process heating -  - Heat Pump New</t>
  </si>
  <si>
    <t>ICPT</t>
  </si>
  <si>
    <t>Industry-Chemicals-Ancillary -  - Existing</t>
  </si>
  <si>
    <t>INFK</t>
  </si>
  <si>
    <t>Industry-Precious &amp; Non-Ferrous metals-Elec Heating - Electricity</t>
  </si>
  <si>
    <t>INFA</t>
  </si>
  <si>
    <t>Industry-Precious &amp; Non-Ferrous metals-Compressed air - Electricity</t>
  </si>
  <si>
    <t>INFL</t>
  </si>
  <si>
    <t>Industry-Precious &amp; Non-Ferrous metals-Lighting - Electricity</t>
  </si>
  <si>
    <t>INFC</t>
  </si>
  <si>
    <t>Industry-Precious &amp; Non-Ferrous metals-Cooling - Electricity</t>
  </si>
  <si>
    <t>INFH</t>
  </si>
  <si>
    <t>Industry-Precious &amp; Non-Ferrous metals-HVAC - Electricity</t>
  </si>
  <si>
    <t>INFP</t>
  </si>
  <si>
    <t>Industry-Precious &amp; Non-Ferrous metals-Pumping - Electricity</t>
  </si>
  <si>
    <t>INFF</t>
  </si>
  <si>
    <t>Industry-Precious &amp; Non-Ferrous metals-Fans - Electricity</t>
  </si>
  <si>
    <t>INFO</t>
  </si>
  <si>
    <t>Industry-Precious &amp; Non-Ferrous metals-Other motive - Electricity</t>
  </si>
  <si>
    <t>INFE</t>
  </si>
  <si>
    <t>Industry-Precious &amp; Non-Ferrous metals-Electrochemical - Electricity</t>
  </si>
  <si>
    <t>INFS</t>
  </si>
  <si>
    <t>Industry-Precious &amp; Non-Ferrous metals-boiler/process heating -  - Existing</t>
  </si>
  <si>
    <t>IFBK</t>
  </si>
  <si>
    <t>Industry-Food, Beverage &amp; Tabacco-Elec Heating - Electricity</t>
  </si>
  <si>
    <t>IFBA</t>
  </si>
  <si>
    <t>Industry-Food, Beverage &amp; Tabacco-Compressed air - Electricity</t>
  </si>
  <si>
    <t>IFBL</t>
  </si>
  <si>
    <t>Industry-Food, Beverage &amp; Tabacco-Lighting - Electricity</t>
  </si>
  <si>
    <t>IFBC</t>
  </si>
  <si>
    <t>Industry-Food, Beverage &amp; Tabacco-Cooling - Electricity</t>
  </si>
  <si>
    <t>IFBH</t>
  </si>
  <si>
    <t>Industry-Food, Beverage &amp; Tabacco-HVAC - Electricity</t>
  </si>
  <si>
    <t>IFBP</t>
  </si>
  <si>
    <t>Industry-Food, Beverage &amp; Tabacco-Pumping - Electricity</t>
  </si>
  <si>
    <t>IFBF</t>
  </si>
  <si>
    <t>Industry-Food, Beverage &amp; Tabacco-Fans - Electricity</t>
  </si>
  <si>
    <t>IFBO</t>
  </si>
  <si>
    <t>Industry-Food, Beverage &amp; Tabacco-Other motive - Electricity</t>
  </si>
  <si>
    <t>IFBE</t>
  </si>
  <si>
    <t>Industry-Food, Beverage &amp; Tabacco-Electrochemical - Electricity</t>
  </si>
  <si>
    <t>IFBS</t>
  </si>
  <si>
    <t>Industry-Food, Beverage &amp; Tabacco-boiler/process heating -  - Existing</t>
  </si>
  <si>
    <t>IOTK</t>
  </si>
  <si>
    <t>Industry-Other-Elec Heating - Electricity</t>
  </si>
  <si>
    <t>IOTA</t>
  </si>
  <si>
    <t>Industry-Other-Compressed air - Electricity</t>
  </si>
  <si>
    <t>IOTL</t>
  </si>
  <si>
    <t>Industry-Other-Lighting - Electricity</t>
  </si>
  <si>
    <t>IOTC</t>
  </si>
  <si>
    <t>Industry-Other-Cooling - Electricity</t>
  </si>
  <si>
    <t>IOTH</t>
  </si>
  <si>
    <t>Industry-Other-HVAC - Electricity</t>
  </si>
  <si>
    <t>IOTP</t>
  </si>
  <si>
    <t>Industry-Other-Pumping - Electricity</t>
  </si>
  <si>
    <t>IOTF</t>
  </si>
  <si>
    <t>Industry-Other-Fans - Electricity</t>
  </si>
  <si>
    <t>IOTO</t>
  </si>
  <si>
    <t>Industry-Other-Other motive - Electricity</t>
  </si>
  <si>
    <t>IOTE</t>
  </si>
  <si>
    <t>Industry-Other-Electrochemical - Electricity</t>
  </si>
  <si>
    <t>IOTS</t>
  </si>
  <si>
    <t>Industry-Other-boiler/process heating -  - Existing</t>
  </si>
  <si>
    <t>IOTR</t>
  </si>
  <si>
    <t>Industry-Other-Transport -  - Existing</t>
  </si>
  <si>
    <t>IPPK</t>
  </si>
  <si>
    <t>Industry-Pulp &amp; Paper Products-Elec Heating - Electricity</t>
  </si>
  <si>
    <t>IPPA</t>
  </si>
  <si>
    <t>Industry-Pulp &amp; Paper Products-461 - Electricity</t>
  </si>
  <si>
    <t>IPPL</t>
  </si>
  <si>
    <t>Industry-Pulp &amp; Paper Products-Lighting - Electricity</t>
  </si>
  <si>
    <t>IPPC</t>
  </si>
  <si>
    <t>Industry-Pulp &amp; Paper Products-Cooling - Electricity</t>
  </si>
  <si>
    <t>IPPH</t>
  </si>
  <si>
    <t>Industry-Pulp &amp; Paper Products-HVAC - Electricity</t>
  </si>
  <si>
    <t>IPPP</t>
  </si>
  <si>
    <t>Industry-Pulp &amp; Paper Products-Pumping - Electricity</t>
  </si>
  <si>
    <t>IPPF</t>
  </si>
  <si>
    <t>Industry-Pulp &amp; Paper Products-Fans - Electricity</t>
  </si>
  <si>
    <t>IPPO</t>
  </si>
  <si>
    <t>Industry-Pulp &amp; Paper Products-Other motive - Electricity</t>
  </si>
  <si>
    <t>IPPE</t>
  </si>
  <si>
    <t>Industry-Pulp &amp; Paper Products-Electrochemical - Electricity</t>
  </si>
  <si>
    <t>IPPS</t>
  </si>
  <si>
    <t>Industry-Pulp &amp; Paper Products-boiler/process heating -  - Existing</t>
  </si>
  <si>
    <t>INDELC</t>
  </si>
  <si>
    <t>Industry Electricity</t>
  </si>
  <si>
    <t>Biomass</t>
  </si>
  <si>
    <t>Diesel</t>
  </si>
  <si>
    <t>Paraffin</t>
  </si>
  <si>
    <t>Jet Fuel</t>
  </si>
  <si>
    <t>Totals</t>
  </si>
  <si>
    <t>Chemicals33</t>
  </si>
  <si>
    <t>Food_Bev_Tob30</t>
  </si>
  <si>
    <t>IndOther</t>
  </si>
  <si>
    <t>Iron_Steel351</t>
  </si>
  <si>
    <t>Mining2</t>
  </si>
  <si>
    <t>FerroAlloys</t>
  </si>
  <si>
    <t>NMMProducts34</t>
  </si>
  <si>
    <t>PNFMetals352</t>
  </si>
  <si>
    <t>Pulp_Paper323</t>
  </si>
  <si>
    <t>The link to the EB is broken. Needs to be fixed</t>
  </si>
  <si>
    <t>~FI_Process</t>
  </si>
  <si>
    <t>~FI_T</t>
  </si>
  <si>
    <t>INDGMU</t>
  </si>
  <si>
    <t>NCAP_BND~LO</t>
  </si>
  <si>
    <t>*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</si>
</sst>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0.00\ ;&quot; -&quot;#,##0.00\ ;&quot; -&quot;#\ ;@\ "/>
    <numFmt numFmtId="171" formatCode="[$-809]General"/>
    <numFmt numFmtId="172" formatCode="#,##0.00&quot; &quot;;&quot; -&quot;#,##0.00&quot; &quot;;&quot; -&quot;#&quot; &quot;;@&quot; &quot;"/>
    <numFmt numFmtId="173" formatCode="[$£-809]#,##0.00;[Red]&quot;-&quot;[$£-809]#,##0.00"/>
    <numFmt numFmtId="174" formatCode="[$-F800]dddd\,\ mmmm\ dd\,\ yyyy"/>
    <numFmt numFmtId="175" formatCode="_(* #,##0.0_);_(* \(#,##0.0\);_(* &quot;-&quot;??_);_(@_)"/>
    <numFmt numFmtId="176" formatCode="_ * #,##0.000_ ;_ * \-#,##0.000_ ;_ * &quot;-&quot;??_ ;_ @_ "/>
    <numFmt numFmtId="177" formatCode="\Te\x\t"/>
  </numFmts>
  <fonts count="84">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Verdana"/>
      <family val="2"/>
    </font>
    <font>
      <sz val="10"/>
      <name val="Verdana"/>
      <family val="2"/>
    </font>
    <font>
      <sz val="10"/>
      <name val="Verdana"/>
      <family val="2"/>
    </font>
    <font>
      <sz val="10"/>
      <name val="Verdana"/>
      <family val="2"/>
    </font>
    <font>
      <sz val="8"/>
      <name val="Verdana"/>
      <family val="2"/>
    </font>
    <font>
      <b/>
      <sz val="10"/>
      <name val="Arial"/>
      <family val="2"/>
    </font>
    <font>
      <sz val="10"/>
      <name val="Arial"/>
      <family val="2"/>
    </font>
    <font>
      <u/>
      <sz val="10"/>
      <color indexed="12"/>
      <name val="Arial"/>
      <family val="2"/>
    </font>
    <font>
      <b/>
      <sz val="8"/>
      <color indexed="81"/>
      <name val="Tahoma"/>
      <family val="2"/>
    </font>
    <font>
      <sz val="8"/>
      <color indexed="81"/>
      <name val="Tahoma"/>
      <family val="2"/>
    </font>
    <font>
      <b/>
      <sz val="8"/>
      <name val="Arial"/>
      <family val="2"/>
    </font>
    <font>
      <sz val="9"/>
      <color indexed="81"/>
      <name val="Verdana"/>
      <family val="2"/>
    </font>
    <font>
      <b/>
      <sz val="9"/>
      <color indexed="81"/>
      <name val="Verdana"/>
      <family val="2"/>
    </font>
    <font>
      <sz val="8"/>
      <name val="Arial"/>
      <family val="2"/>
    </font>
    <font>
      <sz val="10"/>
      <color indexed="10"/>
      <name val="Arial"/>
      <family val="2"/>
    </font>
    <font>
      <sz val="11"/>
      <color rgb="FF006100"/>
      <name val="Calibri"/>
      <family val="2"/>
      <scheme val="minor"/>
    </font>
    <font>
      <sz val="11"/>
      <color rgb="FF9C0006"/>
      <name val="Calibri"/>
      <family val="2"/>
      <scheme val="minor"/>
    </font>
    <font>
      <sz val="12"/>
      <name val="Cambria"/>
      <family val="1"/>
      <scheme val="major"/>
    </font>
    <font>
      <b/>
      <sz val="12"/>
      <name val="Cambria"/>
      <family val="1"/>
      <scheme val="major"/>
    </font>
    <font>
      <sz val="11"/>
      <color indexed="8"/>
      <name val="Calibri"/>
      <family val="2"/>
    </font>
    <font>
      <b/>
      <sz val="11"/>
      <color rgb="FFFA7D00"/>
      <name val="Calibri"/>
      <family val="2"/>
      <scheme val="minor"/>
    </font>
    <font>
      <i/>
      <sz val="10"/>
      <name val="Verdana"/>
      <family val="2"/>
    </font>
    <font>
      <b/>
      <sz val="12"/>
      <name val="Arial"/>
      <family val="2"/>
    </font>
    <font>
      <sz val="10"/>
      <color theme="6" tint="-0.24994659260841701"/>
      <name val="Arial"/>
      <family val="2"/>
    </font>
    <font>
      <sz val="10"/>
      <color theme="4"/>
      <name val="Arial"/>
      <family val="2"/>
    </font>
    <font>
      <sz val="10"/>
      <color indexed="14"/>
      <name val="Arial"/>
      <family val="2"/>
    </font>
    <font>
      <sz val="10"/>
      <color theme="3"/>
      <name val="Arial"/>
      <family val="2"/>
    </font>
    <font>
      <sz val="10"/>
      <color theme="9" tint="-0.24994659260841701"/>
      <name val="Arial"/>
      <family val="2"/>
    </font>
    <font>
      <b/>
      <sz val="10"/>
      <color theme="4"/>
      <name val="Arial"/>
      <family val="2"/>
    </font>
    <font>
      <b/>
      <sz val="10"/>
      <color theme="3"/>
      <name val="Arial"/>
      <family val="2"/>
    </font>
    <font>
      <u/>
      <sz val="10"/>
      <color theme="11"/>
      <name val="Verdana"/>
      <family val="2"/>
    </font>
    <font>
      <u/>
      <sz val="10"/>
      <color theme="3"/>
      <name val="Arial"/>
      <family val="2"/>
    </font>
    <font>
      <sz val="10"/>
      <name val="Arial Unicode MS"/>
      <family val="2"/>
    </font>
    <font>
      <sz val="10"/>
      <color theme="1"/>
      <name val="Verdana1"/>
    </font>
    <font>
      <sz val="10"/>
      <color theme="1"/>
      <name val="Arial Unicode MS"/>
      <family val="2"/>
    </font>
    <font>
      <b/>
      <i/>
      <sz val="16"/>
      <color theme="1"/>
      <name val="Arial1"/>
    </font>
    <font>
      <b/>
      <i/>
      <u/>
      <sz val="11"/>
      <color theme="1"/>
      <name val="Arial1"/>
    </font>
    <font>
      <sz val="10"/>
      <name val="Arial"/>
      <family val="2"/>
    </font>
    <font>
      <u/>
      <sz val="10"/>
      <color theme="10"/>
      <name val="Arial"/>
      <family val="2"/>
    </font>
    <font>
      <sz val="11"/>
      <color rgb="FF3F3F76"/>
      <name val="Calibri"/>
      <family val="2"/>
      <scheme val="minor"/>
    </font>
    <font>
      <sz val="10"/>
      <name val="Arial"/>
      <family val="2"/>
      <charset val="238"/>
    </font>
    <font>
      <sz val="10"/>
      <color theme="4"/>
      <name val="Arial"/>
      <family val="2"/>
      <charset val="238"/>
    </font>
    <font>
      <sz val="10"/>
      <color theme="5" tint="-0.249977111117893"/>
      <name val="Arial"/>
      <family val="2"/>
      <charset val="238"/>
    </font>
    <font>
      <sz val="11"/>
      <color theme="0"/>
      <name val="Calibri"/>
      <family val="2"/>
      <scheme val="minor"/>
    </font>
    <font>
      <sz val="10"/>
      <name val="Arial"/>
      <family val="2"/>
    </font>
    <font>
      <sz val="11"/>
      <name val="Calibri"/>
      <family val="2"/>
      <scheme val="minor"/>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sz val="10"/>
      <name val="Arial"/>
      <family val="2"/>
    </font>
    <font>
      <sz val="10"/>
      <color rgb="FFFF0000"/>
      <name val="Verdana"/>
      <family val="2"/>
    </font>
    <font>
      <b/>
      <sz val="12"/>
      <name val="Verdana"/>
      <family val="2"/>
    </font>
    <font>
      <b/>
      <sz val="14"/>
      <name val="Verdana"/>
      <family val="2"/>
    </font>
    <font>
      <sz val="11"/>
      <color rgb="FFFF0000"/>
      <name val="Calibri"/>
      <family val="2"/>
      <scheme val="minor"/>
    </font>
    <font>
      <b/>
      <sz val="10"/>
      <color rgb="FFFF0000"/>
      <name val="Verdana"/>
      <family val="2"/>
    </font>
    <font>
      <b/>
      <sz val="11"/>
      <name val="Arial"/>
      <family val="2"/>
    </font>
    <font>
      <sz val="12"/>
      <color theme="1"/>
      <name val="Calibri"/>
      <family val="2"/>
      <scheme val="minor"/>
    </font>
    <font>
      <u/>
      <sz val="12"/>
      <color theme="10"/>
      <name val="Calibri"/>
      <family val="2"/>
      <scheme val="minor"/>
    </font>
    <font>
      <b/>
      <sz val="12"/>
      <color theme="1"/>
      <name val="Calibri"/>
      <family val="2"/>
      <scheme val="minor"/>
    </font>
    <font>
      <b/>
      <sz val="10"/>
      <color rgb="FFFF0000"/>
      <name val="Arial"/>
      <family val="2"/>
    </font>
    <font>
      <b/>
      <sz val="10"/>
      <color theme="9" tint="-0.499984740745262"/>
      <name val="Verdana"/>
      <family val="2"/>
    </font>
    <font>
      <b/>
      <sz val="16"/>
      <name val="Verdana"/>
      <family val="2"/>
    </font>
    <font>
      <sz val="10"/>
      <color rgb="FFFF0000"/>
      <name val="Arial"/>
      <family val="2"/>
    </font>
    <font>
      <b/>
      <i/>
      <sz val="10"/>
      <name val="Verdana"/>
      <family val="2"/>
    </font>
    <font>
      <sz val="10"/>
      <color rgb="FF0070C0"/>
      <name val="Verdana"/>
      <family val="2"/>
    </font>
    <font>
      <b/>
      <sz val="8"/>
      <color indexed="8"/>
      <name val="Arial"/>
      <family val="2"/>
    </font>
    <font>
      <b/>
      <sz val="8"/>
      <color rgb="FF800080"/>
      <name val="Arial"/>
      <family val="2"/>
    </font>
    <font>
      <b/>
      <sz val="10"/>
      <color rgb="FF0070C0"/>
      <name val="Arial"/>
      <family val="2"/>
    </font>
    <font>
      <sz val="10"/>
      <color theme="9" tint="-0.249977111117893"/>
      <name val="Arial"/>
      <family val="2"/>
    </font>
    <font>
      <b/>
      <sz val="11"/>
      <color theme="3"/>
      <name val="Calibri"/>
      <family val="2"/>
      <scheme val="minor"/>
    </font>
  </fonts>
  <fills count="21">
    <fill>
      <patternFill patternType="none"/>
    </fill>
    <fill>
      <patternFill patternType="gray125"/>
    </fill>
    <fill>
      <patternFill patternType="solid">
        <fgColor indexed="51"/>
        <bgColor indexed="64"/>
      </patternFill>
    </fill>
    <fill>
      <patternFill patternType="solid">
        <fgColor indexed="45"/>
        <bgColor indexed="64"/>
      </patternFill>
    </fill>
    <fill>
      <patternFill patternType="solid">
        <fgColor indexed="49"/>
        <bgColor indexed="64"/>
      </patternFill>
    </fill>
    <fill>
      <patternFill patternType="solid">
        <fgColor indexed="42"/>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
      <patternFill patternType="solid">
        <fgColor indexed="44"/>
        <bgColor indexed="64"/>
      </patternFill>
    </fill>
    <fill>
      <patternFill patternType="solid">
        <fgColor rgb="FFFFCC99"/>
      </patternFill>
    </fill>
    <fill>
      <patternFill patternType="solid">
        <fgColor theme="9"/>
      </patternFill>
    </fill>
    <fill>
      <patternFill patternType="solid">
        <fgColor rgb="FFFFFFCC"/>
      </patternFill>
    </fill>
    <fill>
      <patternFill patternType="solid">
        <fgColor theme="0" tint="-0.249977111117893"/>
        <bgColor indexed="64"/>
      </patternFill>
    </fill>
    <fill>
      <patternFill patternType="solid">
        <fgColor theme="9" tint="0.39997558519241921"/>
        <bgColor indexed="64"/>
      </patternFill>
    </fill>
    <fill>
      <patternFill patternType="solid">
        <fgColor theme="0"/>
        <bgColor indexed="64"/>
      </patternFill>
    </fill>
  </fills>
  <borders count="31">
    <border>
      <left/>
      <right/>
      <top/>
      <bottom/>
      <diagonal/>
    </border>
    <border>
      <left style="thin">
        <color auto="1"/>
      </left>
      <right style="thin">
        <color auto="1"/>
      </right>
      <top/>
      <bottom/>
      <diagonal/>
    </border>
    <border>
      <left/>
      <right/>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diagonal/>
    </border>
    <border>
      <left/>
      <right style="thin">
        <color auto="1"/>
      </right>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indexed="62"/>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medium">
        <color auto="1"/>
      </right>
      <top/>
      <bottom style="thin">
        <color indexed="64"/>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329">
    <xf numFmtId="0" fontId="0" fillId="0" borderId="0"/>
    <xf numFmtId="9" fontId="13" fillId="0" borderId="0" applyFont="0" applyFill="0" applyBorder="0" applyAlignment="0" applyProtection="0"/>
    <xf numFmtId="0" fontId="17" fillId="0" borderId="0" applyNumberFormat="0" applyFill="0" applyBorder="0" applyAlignment="0" applyProtection="0">
      <alignment vertical="top"/>
      <protection locked="0"/>
    </xf>
    <xf numFmtId="164" fontId="12" fillId="0" borderId="0" applyFont="0" applyFill="0" applyBorder="0" applyAlignment="0" applyProtection="0"/>
    <xf numFmtId="0" fontId="25" fillId="6" borderId="0" applyNumberFormat="0" applyBorder="0" applyAlignment="0" applyProtection="0"/>
    <xf numFmtId="0" fontId="26" fillId="7" borderId="0" applyNumberFormat="0" applyBorder="0" applyAlignment="0" applyProtection="0"/>
    <xf numFmtId="0" fontId="30" fillId="13" borderId="14" applyNumberFormat="0" applyAlignment="0" applyProtection="0"/>
    <xf numFmtId="9" fontId="16" fillId="0" borderId="0" applyFont="0" applyFill="0" applyBorder="0" applyAlignment="0" applyProtection="0"/>
    <xf numFmtId="4" fontId="33" fillId="0" borderId="0" applyNumberFormat="0" applyFill="0" applyBorder="0" applyAlignment="0" applyProtection="0">
      <alignment horizontal="center"/>
    </xf>
    <xf numFmtId="0" fontId="37" fillId="0" borderId="0" applyNumberFormat="0" applyFill="0" applyBorder="0" applyAlignment="0" applyProtection="0"/>
    <xf numFmtId="0" fontId="34"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6" fillId="0" borderId="0"/>
    <xf numFmtId="170" fontId="42" fillId="0" borderId="0" applyFill="0" applyBorder="0" applyAlignment="0" applyProtection="0"/>
    <xf numFmtId="171" fontId="43" fillId="0" borderId="0"/>
    <xf numFmtId="0" fontId="11" fillId="0" borderId="0"/>
    <xf numFmtId="172" fontId="44" fillId="0" borderId="0"/>
    <xf numFmtId="0" fontId="45" fillId="0" borderId="0">
      <alignment horizontal="center"/>
    </xf>
    <xf numFmtId="0" fontId="45" fillId="0" borderId="0">
      <alignment horizontal="center" textRotation="90"/>
    </xf>
    <xf numFmtId="0" fontId="16" fillId="0" borderId="0"/>
    <xf numFmtId="0" fontId="46" fillId="0" borderId="0"/>
    <xf numFmtId="173" fontId="4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7" fillId="0" borderId="0"/>
    <xf numFmtId="164" fontId="16" fillId="0" borderId="0" applyFont="0" applyFill="0" applyBorder="0" applyAlignment="0" applyProtection="0"/>
    <xf numFmtId="0" fontId="48" fillId="0" borderId="0" applyNumberFormat="0" applyFill="0" applyBorder="0" applyAlignment="0" applyProtection="0">
      <alignment vertical="top"/>
      <protection locked="0"/>
    </xf>
    <xf numFmtId="0" fontId="9" fillId="0" borderId="0"/>
    <xf numFmtId="9" fontId="9" fillId="0" borderId="0" applyFont="0" applyFill="0" applyBorder="0" applyAlignment="0" applyProtection="0"/>
    <xf numFmtId="9" fontId="16" fillId="0" borderId="0" applyFont="0" applyFill="0" applyBorder="0" applyAlignment="0" applyProtection="0"/>
    <xf numFmtId="0" fontId="49" fillId="15" borderId="14" applyNumberFormat="0" applyAlignment="0" applyProtection="0"/>
    <xf numFmtId="0" fontId="53" fillId="16" borderId="0" applyNumberFormat="0" applyBorder="0" applyAlignment="0" applyProtection="0"/>
    <xf numFmtId="0" fontId="54" fillId="0" borderId="0"/>
    <xf numFmtId="0" fontId="26" fillId="7" borderId="0" applyNumberFormat="0" applyBorder="0" applyAlignment="0" applyProtection="0"/>
    <xf numFmtId="0" fontId="1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8" fillId="0" borderId="0"/>
    <xf numFmtId="164"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0" fontId="60" fillId="0" borderId="18" applyNumberFormat="0" applyFill="0" applyAlignment="0" applyProtection="0"/>
    <xf numFmtId="0" fontId="61" fillId="0" borderId="17" applyNumberFormat="0" applyFill="0" applyAlignment="0" applyProtection="0"/>
    <xf numFmtId="0" fontId="62" fillId="0" borderId="0" applyNumberFormat="0" applyFill="0" applyBorder="0" applyAlignment="0" applyProtection="0"/>
    <xf numFmtId="9" fontId="29" fillId="0" borderId="0" applyFont="0" applyFill="0" applyBorder="0" applyAlignment="0" applyProtection="0"/>
    <xf numFmtId="0" fontId="16" fillId="0" borderId="0"/>
    <xf numFmtId="0" fontId="63" fillId="0" borderId="0"/>
    <xf numFmtId="0" fontId="63" fillId="17" borderId="16" applyNumberFormat="0" applyFont="0" applyAlignment="0" applyProtection="0"/>
    <xf numFmtId="164" fontId="63" fillId="0" borderId="0" applyFont="0" applyFill="0" applyBorder="0" applyAlignment="0" applyProtection="0"/>
    <xf numFmtId="0" fontId="7" fillId="0" borderId="0"/>
    <xf numFmtId="0" fontId="70" fillId="0" borderId="0"/>
    <xf numFmtId="0" fontId="71" fillId="0" borderId="0" applyNumberFormat="0" applyFill="0" applyBorder="0" applyAlignment="0" applyProtection="0"/>
    <xf numFmtId="165" fontId="70" fillId="0" borderId="0" applyFont="0" applyFill="0" applyBorder="0" applyAlignment="0" applyProtection="0"/>
    <xf numFmtId="0" fontId="6" fillId="0" borderId="0"/>
    <xf numFmtId="0" fontId="11" fillId="0" borderId="0"/>
    <xf numFmtId="9" fontId="11" fillId="0" borderId="0" applyFont="0" applyFill="0" applyBorder="0" applyAlignment="0" applyProtection="0"/>
    <xf numFmtId="0" fontId="5" fillId="0" borderId="0"/>
    <xf numFmtId="0" fontId="4" fillId="0" borderId="0"/>
    <xf numFmtId="0" fontId="16" fillId="0" borderId="0"/>
    <xf numFmtId="0" fontId="16" fillId="0" borderId="0"/>
    <xf numFmtId="0" fontId="83" fillId="0" borderId="0" applyNumberFormat="0" applyFill="0" applyBorder="0" applyAlignment="0" applyProtection="0"/>
  </cellStyleXfs>
  <cellXfs count="281">
    <xf numFmtId="0" fontId="0" fillId="0" borderId="0" xfId="0"/>
    <xf numFmtId="0" fontId="15" fillId="0" borderId="0" xfId="0" applyFont="1"/>
    <xf numFmtId="0" fontId="16" fillId="0" borderId="0" xfId="0" applyFont="1"/>
    <xf numFmtId="9" fontId="0" fillId="0" borderId="0" xfId="1" applyFont="1"/>
    <xf numFmtId="9" fontId="0" fillId="0" borderId="0" xfId="0" applyNumberFormat="1"/>
    <xf numFmtId="10" fontId="0" fillId="0" borderId="0" xfId="0" applyNumberFormat="1"/>
    <xf numFmtId="0" fontId="17" fillId="0" borderId="0" xfId="2" applyAlignment="1" applyProtection="1"/>
    <xf numFmtId="9" fontId="16" fillId="0" borderId="0" xfId="1" applyFont="1"/>
    <xf numFmtId="2" fontId="0" fillId="0" borderId="0" xfId="0" applyNumberFormat="1"/>
    <xf numFmtId="167" fontId="0" fillId="0" borderId="0" xfId="0" applyNumberFormat="1"/>
    <xf numFmtId="0" fontId="0" fillId="0" borderId="2" xfId="0" applyBorder="1"/>
    <xf numFmtId="0" fontId="0" fillId="0" borderId="0" xfId="0" applyAlignment="1">
      <alignment horizontal="center"/>
    </xf>
    <xf numFmtId="0" fontId="16" fillId="0" borderId="2" xfId="0" applyFont="1" applyBorder="1"/>
    <xf numFmtId="0" fontId="0" fillId="0" borderId="3" xfId="0" applyBorder="1"/>
    <xf numFmtId="0" fontId="0" fillId="0" borderId="6" xfId="0" applyBorder="1"/>
    <xf numFmtId="0" fontId="0" fillId="0" borderId="0" xfId="0" applyAlignment="1">
      <alignment wrapText="1"/>
    </xf>
    <xf numFmtId="0" fontId="0" fillId="2" borderId="0" xfId="0" applyFill="1"/>
    <xf numFmtId="3" fontId="0" fillId="0" borderId="0" xfId="0" applyNumberFormat="1"/>
    <xf numFmtId="0" fontId="0" fillId="4" borderId="0" xfId="0" applyFill="1"/>
    <xf numFmtId="0" fontId="0" fillId="5" borderId="0" xfId="0" applyFill="1"/>
    <xf numFmtId="0" fontId="0" fillId="3" borderId="0" xfId="0" applyFill="1"/>
    <xf numFmtId="0" fontId="25" fillId="6" borderId="0" xfId="4"/>
    <xf numFmtId="3" fontId="26" fillId="7" borderId="0" xfId="5" applyNumberFormat="1"/>
    <xf numFmtId="0" fontId="0" fillId="9" borderId="0" xfId="0" applyFill="1"/>
    <xf numFmtId="0" fontId="0" fillId="8" borderId="0" xfId="0" applyFill="1"/>
    <xf numFmtId="0" fontId="0" fillId="11" borderId="0" xfId="0" applyFill="1"/>
    <xf numFmtId="0" fontId="11" fillId="0" borderId="0" xfId="0" applyFont="1"/>
    <xf numFmtId="0" fontId="30" fillId="13" borderId="14" xfId="6"/>
    <xf numFmtId="0" fontId="10" fillId="0" borderId="0" xfId="0" applyFont="1"/>
    <xf numFmtId="0" fontId="32" fillId="0" borderId="0" xfId="0" applyFont="1"/>
    <xf numFmtId="0" fontId="16" fillId="0" borderId="0" xfId="0" applyFont="1" applyAlignment="1">
      <alignment horizontal="center"/>
    </xf>
    <xf numFmtId="0" fontId="16" fillId="0" borderId="0" xfId="0" applyFont="1" applyAlignment="1" applyProtection="1">
      <alignment horizontal="center"/>
      <protection locked="0"/>
    </xf>
    <xf numFmtId="0" fontId="15" fillId="0" borderId="0" xfId="0" applyFont="1" applyAlignment="1">
      <alignment horizontal="left"/>
    </xf>
    <xf numFmtId="2" fontId="16" fillId="0" borderId="0" xfId="0" applyNumberFormat="1" applyFont="1" applyAlignment="1">
      <alignment horizontal="center"/>
    </xf>
    <xf numFmtId="4" fontId="33" fillId="0" borderId="0" xfId="8">
      <alignment horizontal="center"/>
    </xf>
    <xf numFmtId="2" fontId="26" fillId="7" borderId="0" xfId="5" applyNumberFormat="1" applyAlignment="1">
      <alignment horizontal="center"/>
    </xf>
    <xf numFmtId="2" fontId="24" fillId="0" borderId="0" xfId="0" applyNumberFormat="1" applyFont="1" applyAlignment="1">
      <alignment horizontal="center"/>
    </xf>
    <xf numFmtId="0" fontId="15" fillId="0" borderId="0" xfId="0" applyFont="1" applyAlignment="1">
      <alignment horizontal="center"/>
    </xf>
    <xf numFmtId="9" fontId="33" fillId="0" borderId="0" xfId="7" applyFont="1" applyAlignment="1">
      <alignment horizontal="center"/>
    </xf>
    <xf numFmtId="164" fontId="34" fillId="0" borderId="0" xfId="3" applyFont="1"/>
    <xf numFmtId="0" fontId="15" fillId="0" borderId="2" xfId="0" applyFont="1" applyBorder="1"/>
    <xf numFmtId="0" fontId="15" fillId="0" borderId="2" xfId="0" applyFont="1" applyBorder="1" applyAlignment="1">
      <alignment horizontal="center"/>
    </xf>
    <xf numFmtId="2" fontId="16" fillId="0" borderId="0" xfId="0" applyNumberFormat="1" applyFont="1" applyAlignment="1">
      <alignment horizontal="left"/>
    </xf>
    <xf numFmtId="2" fontId="35" fillId="0" borderId="0" xfId="0" applyNumberFormat="1" applyFont="1" applyAlignment="1">
      <alignment horizontal="center"/>
    </xf>
    <xf numFmtId="0" fontId="36" fillId="0" borderId="2" xfId="0" applyFont="1" applyBorder="1" applyAlignment="1" applyProtection="1">
      <alignment horizontal="center"/>
      <protection locked="0"/>
    </xf>
    <xf numFmtId="0" fontId="36" fillId="0" borderId="0" xfId="0" applyFont="1" applyAlignment="1" applyProtection="1">
      <alignment horizontal="left"/>
      <protection locked="0"/>
    </xf>
    <xf numFmtId="0" fontId="36" fillId="0" borderId="0" xfId="0" applyFont="1" applyAlignment="1" applyProtection="1">
      <alignment horizontal="center"/>
      <protection locked="0"/>
    </xf>
    <xf numFmtId="9" fontId="38" fillId="0" borderId="0" xfId="7" applyFont="1" applyAlignment="1">
      <alignment horizontal="center"/>
    </xf>
    <xf numFmtId="164" fontId="38" fillId="0" borderId="0" xfId="3" applyFont="1"/>
    <xf numFmtId="0" fontId="39" fillId="0" borderId="0" xfId="0" applyFont="1" applyAlignment="1" applyProtection="1">
      <alignment horizontal="left"/>
      <protection locked="0"/>
    </xf>
    <xf numFmtId="0" fontId="35" fillId="0" borderId="2" xfId="0" applyFont="1" applyBorder="1"/>
    <xf numFmtId="0" fontId="35" fillId="0" borderId="2" xfId="0" applyFont="1" applyBorder="1" applyAlignment="1">
      <alignment horizontal="center"/>
    </xf>
    <xf numFmtId="2" fontId="35" fillId="0" borderId="2" xfId="0" applyNumberFormat="1" applyFont="1" applyBorder="1" applyAlignment="1">
      <alignment horizontal="center"/>
    </xf>
    <xf numFmtId="0" fontId="15" fillId="14" borderId="0" xfId="0" applyFont="1" applyFill="1" applyAlignment="1">
      <alignment horizontal="center" wrapText="1"/>
    </xf>
    <xf numFmtId="0" fontId="39" fillId="0" borderId="0" xfId="0" applyFont="1" applyAlignment="1">
      <alignment horizontal="center" wrapText="1"/>
    </xf>
    <xf numFmtId="0" fontId="16" fillId="0" borderId="0" xfId="0" applyFont="1" applyAlignment="1">
      <alignment horizontal="center" wrapText="1"/>
    </xf>
    <xf numFmtId="0" fontId="36" fillId="0" borderId="0" xfId="0" applyFont="1" applyAlignment="1">
      <alignment horizontal="center"/>
    </xf>
    <xf numFmtId="166" fontId="35" fillId="0" borderId="0" xfId="7" applyNumberFormat="1" applyFont="1" applyFill="1" applyAlignment="1">
      <alignment horizontal="center"/>
    </xf>
    <xf numFmtId="168" fontId="37" fillId="0" borderId="0" xfId="9" applyNumberFormat="1" applyAlignment="1">
      <alignment horizontal="center"/>
    </xf>
    <xf numFmtId="1" fontId="37" fillId="0" borderId="0" xfId="9" applyNumberFormat="1" applyAlignment="1">
      <alignment horizontal="center"/>
    </xf>
    <xf numFmtId="2" fontId="34" fillId="0" borderId="0" xfId="10" applyNumberFormat="1" applyAlignment="1">
      <alignment horizontal="center"/>
    </xf>
    <xf numFmtId="9" fontId="37" fillId="0" borderId="0" xfId="9" applyNumberFormat="1" applyFill="1" applyBorder="1" applyAlignment="1" applyProtection="1">
      <alignment horizontal="center"/>
      <protection locked="0"/>
    </xf>
    <xf numFmtId="0" fontId="35" fillId="0" borderId="0" xfId="0" applyFont="1"/>
    <xf numFmtId="0" fontId="35" fillId="0" borderId="0" xfId="0" applyFont="1" applyAlignment="1">
      <alignment horizontal="center"/>
    </xf>
    <xf numFmtId="2" fontId="16" fillId="0" borderId="0" xfId="0" applyNumberFormat="1" applyFont="1"/>
    <xf numFmtId="2" fontId="36" fillId="0" borderId="0" xfId="0" applyNumberFormat="1" applyFont="1" applyAlignment="1" applyProtection="1">
      <alignment horizontal="left"/>
      <protection locked="0"/>
    </xf>
    <xf numFmtId="0" fontId="41" fillId="0" borderId="2" xfId="0" applyFont="1" applyBorder="1" applyAlignment="1" applyProtection="1">
      <alignment horizontal="center"/>
      <protection locked="0"/>
    </xf>
    <xf numFmtId="166" fontId="37" fillId="0" borderId="0" xfId="9" applyNumberFormat="1" applyAlignment="1">
      <alignment horizontal="center"/>
    </xf>
    <xf numFmtId="0" fontId="16" fillId="8" borderId="2" xfId="0" applyFont="1" applyFill="1" applyBorder="1" applyAlignment="1" applyProtection="1">
      <alignment horizontal="center"/>
      <protection locked="0"/>
    </xf>
    <xf numFmtId="2" fontId="16" fillId="8" borderId="2" xfId="0" applyNumberFormat="1" applyFont="1" applyFill="1" applyBorder="1" applyAlignment="1" applyProtection="1">
      <alignment horizontal="center"/>
      <protection locked="0"/>
    </xf>
    <xf numFmtId="0" fontId="23" fillId="0" borderId="0" xfId="86" applyFont="1"/>
    <xf numFmtId="0" fontId="27" fillId="0" borderId="15" xfId="0" applyFont="1" applyBorder="1"/>
    <xf numFmtId="0" fontId="16" fillId="0" borderId="0" xfId="86"/>
    <xf numFmtId="9" fontId="0" fillId="0" borderId="0" xfId="151" applyFont="1"/>
    <xf numFmtId="0" fontId="50" fillId="0" borderId="0" xfId="0" applyFont="1"/>
    <xf numFmtId="9" fontId="49" fillId="15" borderId="14" xfId="152" applyNumberFormat="1"/>
    <xf numFmtId="9" fontId="51" fillId="0" borderId="0" xfId="7" applyFont="1"/>
    <xf numFmtId="9" fontId="52" fillId="0" borderId="0" xfId="7" applyFont="1"/>
    <xf numFmtId="9" fontId="51" fillId="0" borderId="0" xfId="1" applyFont="1"/>
    <xf numFmtId="0" fontId="49" fillId="15" borderId="14" xfId="152" applyAlignment="1">
      <alignment horizontal="center"/>
    </xf>
    <xf numFmtId="0" fontId="15" fillId="5" borderId="0" xfId="0" applyFont="1" applyFill="1" applyAlignment="1">
      <alignment horizontal="center" wrapText="1"/>
    </xf>
    <xf numFmtId="0" fontId="53" fillId="16" borderId="0" xfId="153"/>
    <xf numFmtId="0" fontId="55" fillId="16" borderId="0" xfId="153" applyFont="1"/>
    <xf numFmtId="2" fontId="55" fillId="16" borderId="0" xfId="153" applyNumberFormat="1" applyFont="1"/>
    <xf numFmtId="43" fontId="0" fillId="0" borderId="0" xfId="0" applyNumberFormat="1"/>
    <xf numFmtId="2" fontId="36" fillId="8" borderId="0" xfId="0" applyNumberFormat="1" applyFont="1" applyFill="1" applyAlignment="1" applyProtection="1">
      <alignment horizontal="left"/>
      <protection locked="0"/>
    </xf>
    <xf numFmtId="2" fontId="35" fillId="8" borderId="0" xfId="0" applyNumberFormat="1" applyFont="1" applyFill="1" applyAlignment="1">
      <alignment horizontal="center"/>
    </xf>
    <xf numFmtId="2" fontId="37" fillId="0" borderId="0" xfId="9" applyNumberFormat="1" applyAlignment="1">
      <alignment horizontal="center"/>
    </xf>
    <xf numFmtId="0" fontId="59" fillId="0" borderId="0" xfId="305" applyFont="1"/>
    <xf numFmtId="0" fontId="8" fillId="0" borderId="0" xfId="305"/>
    <xf numFmtId="0" fontId="15" fillId="0" borderId="0" xfId="86" applyFont="1"/>
    <xf numFmtId="0" fontId="16" fillId="12" borderId="0" xfId="86" applyFill="1"/>
    <xf numFmtId="9" fontId="0" fillId="12" borderId="0" xfId="151" applyFont="1" applyFill="1"/>
    <xf numFmtId="9" fontId="10" fillId="12" borderId="19" xfId="151" applyFont="1" applyFill="1" applyBorder="1"/>
    <xf numFmtId="166" fontId="26" fillId="7" borderId="0" xfId="5" applyNumberFormat="1" applyAlignment="1">
      <alignment horizontal="center"/>
    </xf>
    <xf numFmtId="0" fontId="20" fillId="0" borderId="0" xfId="0" applyFont="1" applyAlignment="1">
      <alignment horizontal="center" wrapText="1"/>
    </xf>
    <xf numFmtId="166" fontId="15" fillId="0" borderId="0" xfId="0" applyNumberFormat="1" applyFont="1"/>
    <xf numFmtId="2" fontId="15" fillId="0" borderId="0" xfId="0" applyNumberFormat="1" applyFont="1"/>
    <xf numFmtId="22" fontId="8" fillId="0" borderId="0" xfId="305" applyNumberFormat="1"/>
    <xf numFmtId="9" fontId="16" fillId="0" borderId="0" xfId="86" applyNumberFormat="1"/>
    <xf numFmtId="10" fontId="16" fillId="0" borderId="0" xfId="86" applyNumberFormat="1"/>
    <xf numFmtId="4" fontId="0" fillId="0" borderId="0" xfId="0" applyNumberFormat="1"/>
    <xf numFmtId="0" fontId="49" fillId="15" borderId="14" xfId="152"/>
    <xf numFmtId="168" fontId="64" fillId="0" borderId="0" xfId="0" applyNumberFormat="1" applyFont="1"/>
    <xf numFmtId="0" fontId="7" fillId="0" borderId="0" xfId="317"/>
    <xf numFmtId="15" fontId="0" fillId="0" borderId="0" xfId="0" applyNumberFormat="1"/>
    <xf numFmtId="0" fontId="66" fillId="0" borderId="0" xfId="0" applyFont="1"/>
    <xf numFmtId="0" fontId="16" fillId="9" borderId="0" xfId="0" applyFont="1" applyFill="1"/>
    <xf numFmtId="11" fontId="0" fillId="9" borderId="0" xfId="0" applyNumberFormat="1" applyFill="1"/>
    <xf numFmtId="0" fontId="11" fillId="8" borderId="0" xfId="0" applyFont="1" applyFill="1"/>
    <xf numFmtId="0" fontId="58" fillId="0" borderId="20" xfId="305" applyFont="1" applyBorder="1"/>
    <xf numFmtId="0" fontId="8" fillId="0" borderId="20" xfId="305" applyBorder="1" applyAlignment="1">
      <alignment wrapText="1"/>
    </xf>
    <xf numFmtId="0" fontId="8" fillId="0" borderId="20" xfId="305" applyBorder="1"/>
    <xf numFmtId="0" fontId="26" fillId="7" borderId="20" xfId="5" applyBorder="1" applyAlignment="1">
      <alignment wrapText="1"/>
    </xf>
    <xf numFmtId="0" fontId="49" fillId="15" borderId="21" xfId="152" applyBorder="1" applyAlignment="1">
      <alignment horizontal="center"/>
    </xf>
    <xf numFmtId="10" fontId="16" fillId="0" borderId="0" xfId="0" applyNumberFormat="1" applyFont="1"/>
    <xf numFmtId="0" fontId="32" fillId="0" borderId="0" xfId="0" applyFont="1" applyAlignment="1">
      <alignment horizontal="center"/>
    </xf>
    <xf numFmtId="0" fontId="0" fillId="0" borderId="22" xfId="0" applyBorder="1"/>
    <xf numFmtId="0" fontId="0" fillId="0" borderId="23" xfId="0" applyBorder="1"/>
    <xf numFmtId="0" fontId="0" fillId="0" borderId="5" xfId="0" applyBorder="1"/>
    <xf numFmtId="0" fontId="0" fillId="0" borderId="8" xfId="0" applyBorder="1"/>
    <xf numFmtId="0" fontId="64" fillId="0" borderId="0" xfId="0" applyFont="1"/>
    <xf numFmtId="0" fontId="68" fillId="18" borderId="20" xfId="0" applyFont="1" applyFill="1" applyBorder="1"/>
    <xf numFmtId="3" fontId="68" fillId="18" borderId="20" xfId="0" applyNumberFormat="1" applyFont="1" applyFill="1" applyBorder="1"/>
    <xf numFmtId="0" fontId="0" fillId="18" borderId="20" xfId="0" applyFill="1" applyBorder="1"/>
    <xf numFmtId="0" fontId="16" fillId="18" borderId="20" xfId="0" applyFont="1" applyFill="1" applyBorder="1" applyAlignment="1">
      <alignment wrapText="1"/>
    </xf>
    <xf numFmtId="0" fontId="16" fillId="18" borderId="20" xfId="0" applyFont="1" applyFill="1" applyBorder="1" applyAlignment="1">
      <alignment horizontal="center" wrapText="1"/>
    </xf>
    <xf numFmtId="0" fontId="16" fillId="18" borderId="20" xfId="86" applyFill="1" applyBorder="1" applyAlignment="1">
      <alignment wrapText="1"/>
    </xf>
    <xf numFmtId="0" fontId="11" fillId="18" borderId="20" xfId="0" applyFont="1" applyFill="1" applyBorder="1" applyAlignment="1">
      <alignment wrapText="1"/>
    </xf>
    <xf numFmtId="175" fontId="0" fillId="18" borderId="20" xfId="3" applyNumberFormat="1" applyFont="1" applyFill="1" applyBorder="1"/>
    <xf numFmtId="0" fontId="31" fillId="0" borderId="0" xfId="0" applyFont="1"/>
    <xf numFmtId="0" fontId="15" fillId="9" borderId="9" xfId="0" applyFont="1" applyFill="1" applyBorder="1"/>
    <xf numFmtId="2" fontId="16" fillId="9" borderId="0" xfId="0" applyNumberFormat="1" applyFont="1" applyFill="1" applyAlignment="1">
      <alignment horizontal="center"/>
    </xf>
    <xf numFmtId="0" fontId="15" fillId="9" borderId="10" xfId="0" applyFont="1" applyFill="1" applyBorder="1"/>
    <xf numFmtId="0" fontId="20" fillId="0" borderId="0" xfId="0" applyFont="1" applyAlignment="1">
      <alignment wrapText="1"/>
    </xf>
    <xf numFmtId="2" fontId="69" fillId="0" borderId="0" xfId="0" applyNumberFormat="1" applyFont="1" applyAlignment="1">
      <alignment horizontal="center"/>
    </xf>
    <xf numFmtId="4" fontId="69" fillId="0" borderId="0" xfId="8" applyFont="1">
      <alignment horizontal="center"/>
    </xf>
    <xf numFmtId="164" fontId="16" fillId="9" borderId="0" xfId="3" applyFont="1" applyFill="1" applyBorder="1" applyAlignment="1">
      <alignment horizontal="center" vertical="center"/>
    </xf>
    <xf numFmtId="164" fontId="16" fillId="9" borderId="13" xfId="3" applyFont="1" applyFill="1" applyBorder="1" applyAlignment="1">
      <alignment horizontal="center" vertical="center"/>
    </xf>
    <xf numFmtId="164" fontId="16" fillId="9" borderId="2" xfId="3" applyFont="1" applyFill="1" applyBorder="1" applyAlignment="1">
      <alignment horizontal="center" vertical="center"/>
    </xf>
    <xf numFmtId="164" fontId="16" fillId="9" borderId="24" xfId="3" applyFont="1" applyFill="1" applyBorder="1" applyAlignment="1">
      <alignment horizontal="center" vertical="center"/>
    </xf>
    <xf numFmtId="164" fontId="15" fillId="9" borderId="11" xfId="3" applyFont="1" applyFill="1" applyBorder="1" applyAlignment="1">
      <alignment horizontal="center"/>
    </xf>
    <xf numFmtId="164" fontId="15" fillId="9" borderId="12" xfId="3" applyFont="1" applyFill="1" applyBorder="1" applyAlignment="1">
      <alignment horizontal="center"/>
    </xf>
    <xf numFmtId="2" fontId="36" fillId="0" borderId="2" xfId="0" applyNumberFormat="1" applyFont="1" applyBorder="1" applyAlignment="1" applyProtection="1">
      <alignment horizontal="left"/>
      <protection locked="0"/>
    </xf>
    <xf numFmtId="166" fontId="37" fillId="0" borderId="2" xfId="9" applyNumberFormat="1" applyBorder="1" applyAlignment="1">
      <alignment horizontal="center"/>
    </xf>
    <xf numFmtId="164" fontId="34" fillId="0" borderId="2" xfId="3" applyFont="1" applyBorder="1"/>
    <xf numFmtId="9" fontId="16" fillId="0" borderId="2" xfId="1" applyFont="1" applyBorder="1"/>
    <xf numFmtId="9" fontId="10" fillId="0" borderId="0" xfId="0" applyNumberFormat="1" applyFont="1"/>
    <xf numFmtId="0" fontId="0" fillId="0" borderId="7" xfId="0" applyBorder="1"/>
    <xf numFmtId="166" fontId="0" fillId="0" borderId="0" xfId="0" applyNumberFormat="1"/>
    <xf numFmtId="0" fontId="15" fillId="9" borderId="26" xfId="0" applyFont="1" applyFill="1" applyBorder="1"/>
    <xf numFmtId="2" fontId="16" fillId="9" borderId="27" xfId="0" applyNumberFormat="1" applyFont="1" applyFill="1" applyBorder="1" applyAlignment="1">
      <alignment horizontal="center"/>
    </xf>
    <xf numFmtId="164" fontId="16" fillId="9" borderId="27" xfId="3" applyFont="1" applyFill="1" applyBorder="1" applyAlignment="1">
      <alignment horizontal="center" vertical="center"/>
    </xf>
    <xf numFmtId="164" fontId="16" fillId="9" borderId="28" xfId="3" applyFont="1" applyFill="1" applyBorder="1" applyAlignment="1">
      <alignment horizontal="center" vertical="center"/>
    </xf>
    <xf numFmtId="9" fontId="49" fillId="18" borderId="14" xfId="152" applyNumberFormat="1" applyFill="1"/>
    <xf numFmtId="10" fontId="51" fillId="0" borderId="0" xfId="7" applyNumberFormat="1" applyFont="1"/>
    <xf numFmtId="0" fontId="0" fillId="0" borderId="27" xfId="0" applyBorder="1"/>
    <xf numFmtId="0" fontId="0" fillId="0" borderId="28" xfId="0" applyBorder="1"/>
    <xf numFmtId="0" fontId="0" fillId="0" borderId="9" xfId="0" applyBorder="1"/>
    <xf numFmtId="0" fontId="0" fillId="0" borderId="13" xfId="0" applyBorder="1"/>
    <xf numFmtId="0" fontId="11" fillId="0" borderId="9" xfId="0" applyFont="1" applyBorder="1"/>
    <xf numFmtId="0" fontId="0" fillId="0" borderId="10" xfId="0" applyBorder="1"/>
    <xf numFmtId="0" fontId="0" fillId="0" borderId="11" xfId="0" applyBorder="1"/>
    <xf numFmtId="0" fontId="0" fillId="0" borderId="12" xfId="0" applyBorder="1"/>
    <xf numFmtId="0" fontId="0" fillId="0" borderId="26" xfId="0" applyBorder="1"/>
    <xf numFmtId="0" fontId="11" fillId="0" borderId="22" xfId="0" applyFont="1" applyBorder="1"/>
    <xf numFmtId="0" fontId="11" fillId="0" borderId="6" xfId="0" applyFont="1" applyBorder="1"/>
    <xf numFmtId="10" fontId="49" fillId="18" borderId="14" xfId="152" applyNumberFormat="1" applyFill="1"/>
    <xf numFmtId="9" fontId="52" fillId="8" borderId="0" xfId="7" applyFont="1" applyFill="1"/>
    <xf numFmtId="0" fontId="65" fillId="0" borderId="26" xfId="0" applyFont="1" applyBorder="1"/>
    <xf numFmtId="0" fontId="16" fillId="0" borderId="9" xfId="0" applyFont="1" applyBorder="1"/>
    <xf numFmtId="0" fontId="73" fillId="0" borderId="0" xfId="0" applyFont="1"/>
    <xf numFmtId="0" fontId="16" fillId="0" borderId="11" xfId="0" applyFont="1" applyBorder="1"/>
    <xf numFmtId="0" fontId="10" fillId="0" borderId="6" xfId="0" applyFont="1" applyBorder="1"/>
    <xf numFmtId="0" fontId="10" fillId="19" borderId="0" xfId="0" applyFont="1" applyFill="1" applyAlignment="1">
      <alignment horizontal="center"/>
    </xf>
    <xf numFmtId="0" fontId="67" fillId="0" borderId="20" xfId="305" applyFont="1" applyBorder="1" applyAlignment="1">
      <alignment wrapText="1"/>
    </xf>
    <xf numFmtId="0" fontId="67" fillId="0" borderId="20" xfId="305" applyFont="1" applyBorder="1"/>
    <xf numFmtId="0" fontId="8" fillId="0" borderId="20" xfId="305" applyBorder="1" applyAlignment="1">
      <alignment horizontal="center" vertical="center"/>
    </xf>
    <xf numFmtId="174" fontId="8" fillId="0" borderId="20" xfId="305" applyNumberFormat="1" applyBorder="1" applyAlignment="1">
      <alignment horizontal="center" vertical="center"/>
    </xf>
    <xf numFmtId="22" fontId="8" fillId="0" borderId="20" xfId="305" applyNumberFormat="1" applyBorder="1" applyAlignment="1">
      <alignment horizontal="center" vertical="center"/>
    </xf>
    <xf numFmtId="17" fontId="8" fillId="0" borderId="20" xfId="305" applyNumberFormat="1" applyBorder="1" applyAlignment="1">
      <alignment horizontal="center" vertical="center"/>
    </xf>
    <xf numFmtId="174" fontId="67" fillId="0" borderId="20" xfId="305" applyNumberFormat="1" applyFont="1" applyBorder="1" applyAlignment="1">
      <alignment horizontal="center" vertical="center"/>
    </xf>
    <xf numFmtId="164" fontId="0" fillId="0" borderId="0" xfId="0" applyNumberFormat="1"/>
    <xf numFmtId="176" fontId="16" fillId="0" borderId="0" xfId="0" applyNumberFormat="1" applyFont="1"/>
    <xf numFmtId="2" fontId="15" fillId="9" borderId="11" xfId="0" applyNumberFormat="1" applyFont="1" applyFill="1" applyBorder="1" applyAlignment="1">
      <alignment horizontal="center"/>
    </xf>
    <xf numFmtId="165" fontId="16" fillId="0" borderId="0" xfId="0" applyNumberFormat="1" applyFont="1" applyAlignment="1">
      <alignment horizontal="center"/>
    </xf>
    <xf numFmtId="0" fontId="10" fillId="0" borderId="0" xfId="0" applyFont="1" applyAlignment="1">
      <alignment horizontal="center" vertical="center"/>
    </xf>
    <xf numFmtId="0" fontId="10" fillId="0" borderId="26" xfId="0" applyFont="1" applyBorder="1"/>
    <xf numFmtId="0" fontId="58" fillId="0" borderId="0" xfId="317" applyFont="1"/>
    <xf numFmtId="9" fontId="0" fillId="8" borderId="0" xfId="0" applyNumberFormat="1" applyFill="1"/>
    <xf numFmtId="166" fontId="0" fillId="9" borderId="0" xfId="0" applyNumberFormat="1" applyFill="1"/>
    <xf numFmtId="0" fontId="74" fillId="0" borderId="0" xfId="0" applyFont="1"/>
    <xf numFmtId="0" fontId="75" fillId="0" borderId="0" xfId="0" applyFont="1"/>
    <xf numFmtId="9" fontId="11" fillId="0" borderId="0" xfId="0" applyNumberFormat="1" applyFont="1"/>
    <xf numFmtId="10" fontId="50" fillId="0" borderId="0" xfId="0" applyNumberFormat="1" applyFont="1"/>
    <xf numFmtId="15" fontId="8" fillId="0" borderId="0" xfId="305" applyNumberFormat="1"/>
    <xf numFmtId="166" fontId="51" fillId="0" borderId="0" xfId="1" applyNumberFormat="1" applyFont="1"/>
    <xf numFmtId="164" fontId="76" fillId="9" borderId="0" xfId="3" applyFont="1" applyFill="1" applyBorder="1" applyAlignment="1">
      <alignment horizontal="center" vertical="center"/>
    </xf>
    <xf numFmtId="166" fontId="0" fillId="0" borderId="0" xfId="1" applyNumberFormat="1" applyFont="1"/>
    <xf numFmtId="3" fontId="11" fillId="0" borderId="0" xfId="0" applyNumberFormat="1" applyFont="1"/>
    <xf numFmtId="0" fontId="11" fillId="18" borderId="20" xfId="0" applyFont="1" applyFill="1" applyBorder="1"/>
    <xf numFmtId="0" fontId="16" fillId="8" borderId="0" xfId="0" applyFont="1" applyFill="1"/>
    <xf numFmtId="3" fontId="25" fillId="6" borderId="0" xfId="4" applyNumberFormat="1"/>
    <xf numFmtId="0" fontId="77" fillId="0" borderId="0" xfId="0" applyFont="1" applyAlignment="1">
      <alignment horizontal="right"/>
    </xf>
    <xf numFmtId="166" fontId="77" fillId="0" borderId="0" xfId="0" applyNumberFormat="1" applyFont="1"/>
    <xf numFmtId="9" fontId="0" fillId="9" borderId="0" xfId="0" applyNumberFormat="1" applyFill="1"/>
    <xf numFmtId="169" fontId="0" fillId="0" borderId="0" xfId="0" applyNumberFormat="1"/>
    <xf numFmtId="166" fontId="0" fillId="8" borderId="0" xfId="0" applyNumberFormat="1" applyFill="1"/>
    <xf numFmtId="0" fontId="58" fillId="10" borderId="20" xfId="0" applyFont="1" applyFill="1" applyBorder="1" applyAlignment="1">
      <alignment horizontal="center" vertical="center" wrapText="1"/>
    </xf>
    <xf numFmtId="0" fontId="72" fillId="10" borderId="20" xfId="0" applyFont="1" applyFill="1" applyBorder="1" applyAlignment="1">
      <alignment horizontal="center" vertical="center" wrapText="1"/>
    </xf>
    <xf numFmtId="43" fontId="10" fillId="0" borderId="11" xfId="0" applyNumberFormat="1" applyFont="1" applyBorder="1"/>
    <xf numFmtId="43" fontId="10" fillId="0" borderId="0" xfId="0" applyNumberFormat="1" applyFont="1"/>
    <xf numFmtId="2" fontId="0" fillId="0" borderId="0" xfId="1" applyNumberFormat="1" applyFont="1" applyBorder="1"/>
    <xf numFmtId="0" fontId="26" fillId="7" borderId="0" xfId="5" applyBorder="1" applyAlignment="1" applyProtection="1">
      <alignment horizontal="center"/>
      <protection locked="0"/>
    </xf>
    <xf numFmtId="3" fontId="10" fillId="0" borderId="0" xfId="0" applyNumberFormat="1" applyFont="1"/>
    <xf numFmtId="0" fontId="3" fillId="0" borderId="0" xfId="305" applyFont="1"/>
    <xf numFmtId="9" fontId="26" fillId="7" borderId="0" xfId="5" applyNumberFormat="1"/>
    <xf numFmtId="0" fontId="66" fillId="0" borderId="7" xfId="0" applyFont="1" applyBorder="1"/>
    <xf numFmtId="0" fontId="11" fillId="0" borderId="5" xfId="0" applyFont="1" applyBorder="1"/>
    <xf numFmtId="0" fontId="10" fillId="0" borderId="2" xfId="0" applyFont="1" applyBorder="1" applyAlignment="1">
      <alignment horizontal="center" vertical="center"/>
    </xf>
    <xf numFmtId="0" fontId="77" fillId="0" borderId="9" xfId="0" applyFont="1" applyBorder="1"/>
    <xf numFmtId="2" fontId="76" fillId="0" borderId="0" xfId="10" applyNumberFormat="1" applyFont="1" applyAlignment="1">
      <alignment horizontal="center"/>
    </xf>
    <xf numFmtId="9" fontId="68" fillId="12" borderId="19" xfId="151" applyFont="1" applyFill="1" applyBorder="1"/>
    <xf numFmtId="0" fontId="76" fillId="0" borderId="0" xfId="86" applyFont="1" applyAlignment="1">
      <alignment wrapText="1"/>
    </xf>
    <xf numFmtId="0" fontId="16" fillId="20" borderId="0" xfId="0" applyFont="1" applyFill="1" applyAlignment="1">
      <alignment horizontal="center"/>
    </xf>
    <xf numFmtId="2" fontId="16" fillId="20" borderId="0" xfId="0" applyNumberFormat="1" applyFont="1" applyFill="1" applyAlignment="1">
      <alignment horizontal="center"/>
    </xf>
    <xf numFmtId="0" fontId="16" fillId="20" borderId="0" xfId="0" applyFont="1" applyFill="1"/>
    <xf numFmtId="2" fontId="16" fillId="0" borderId="0" xfId="0" applyNumberFormat="1" applyFont="1" applyAlignment="1" applyProtection="1">
      <alignment horizontal="left"/>
      <protection locked="0"/>
    </xf>
    <xf numFmtId="2" fontId="76" fillId="0" borderId="0" xfId="0" applyNumberFormat="1" applyFont="1" applyAlignment="1">
      <alignment horizontal="left"/>
    </xf>
    <xf numFmtId="166" fontId="76" fillId="0" borderId="0" xfId="9" applyNumberFormat="1" applyFont="1" applyAlignment="1">
      <alignment horizontal="center"/>
    </xf>
    <xf numFmtId="2" fontId="36" fillId="0" borderId="0" xfId="0" applyNumberFormat="1" applyFont="1" applyAlignment="1" applyProtection="1">
      <alignment horizontal="center"/>
      <protection locked="0"/>
    </xf>
    <xf numFmtId="9" fontId="0" fillId="0" borderId="20" xfId="0" applyNumberFormat="1" applyBorder="1"/>
    <xf numFmtId="0" fontId="27" fillId="0" borderId="20" xfId="0" applyFont="1" applyBorder="1"/>
    <xf numFmtId="10" fontId="78" fillId="0" borderId="0" xfId="0" applyNumberFormat="1" applyFont="1"/>
    <xf numFmtId="9" fontId="78" fillId="0" borderId="0" xfId="1" applyFont="1"/>
    <xf numFmtId="0" fontId="78" fillId="0" borderId="0" xfId="0" applyFont="1"/>
    <xf numFmtId="0" fontId="27" fillId="0" borderId="0" xfId="0" applyFont="1"/>
    <xf numFmtId="0" fontId="20" fillId="0" borderId="0" xfId="0" applyFont="1"/>
    <xf numFmtId="0" fontId="23" fillId="0" borderId="0" xfId="0" applyFont="1"/>
    <xf numFmtId="0" fontId="79" fillId="0" borderId="0" xfId="156" applyFont="1"/>
    <xf numFmtId="0" fontId="20" fillId="0" borderId="0" xfId="156" applyFont="1"/>
    <xf numFmtId="0" fontId="79" fillId="0" borderId="0" xfId="0" applyFont="1"/>
    <xf numFmtId="0" fontId="81" fillId="0" borderId="0" xfId="0" applyFont="1"/>
    <xf numFmtId="166" fontId="82" fillId="0" borderId="0" xfId="9" applyNumberFormat="1" applyFont="1" applyAlignment="1">
      <alignment horizontal="center"/>
    </xf>
    <xf numFmtId="0" fontId="32" fillId="5" borderId="19" xfId="0" applyFont="1" applyFill="1" applyBorder="1"/>
    <xf numFmtId="0" fontId="80" fillId="0" borderId="0" xfId="86" applyFont="1"/>
    <xf numFmtId="0" fontId="3" fillId="0" borderId="20" xfId="305" applyFont="1" applyBorder="1" applyAlignment="1">
      <alignment wrapText="1"/>
    </xf>
    <xf numFmtId="0" fontId="3" fillId="0" borderId="20" xfId="305" applyFont="1" applyBorder="1"/>
    <xf numFmtId="0" fontId="3" fillId="0" borderId="20" xfId="305" applyFont="1" applyBorder="1" applyAlignment="1">
      <alignment horizontal="center" vertical="center"/>
    </xf>
    <xf numFmtId="0" fontId="3" fillId="0" borderId="20" xfId="317" applyFont="1" applyBorder="1" applyAlignment="1">
      <alignment wrapText="1"/>
    </xf>
    <xf numFmtId="0" fontId="3" fillId="8" borderId="0" xfId="305" applyFont="1" applyFill="1"/>
    <xf numFmtId="0" fontId="28" fillId="0" borderId="20" xfId="0" applyFont="1" applyBorder="1"/>
    <xf numFmtId="0" fontId="15" fillId="5" borderId="19" xfId="0" applyFont="1" applyFill="1" applyBorder="1" applyAlignment="1">
      <alignment horizontal="center" wrapText="1"/>
    </xf>
    <xf numFmtId="0" fontId="3" fillId="0" borderId="0" xfId="317" applyFont="1"/>
    <xf numFmtId="0" fontId="50" fillId="0" borderId="0" xfId="86" applyFont="1"/>
    <xf numFmtId="177" fontId="83" fillId="0" borderId="0" xfId="328" applyNumberFormat="1" applyFill="1"/>
    <xf numFmtId="0" fontId="83" fillId="0" borderId="0" xfId="328" applyFill="1"/>
    <xf numFmtId="177" fontId="83" fillId="0" borderId="7" xfId="328" applyNumberFormat="1" applyFill="1" applyBorder="1" applyAlignment="1">
      <alignment horizontal="left"/>
    </xf>
    <xf numFmtId="0" fontId="2" fillId="0" borderId="0" xfId="305" applyFont="1"/>
    <xf numFmtId="0" fontId="50" fillId="0" borderId="22" xfId="0" applyFont="1" applyBorder="1"/>
    <xf numFmtId="0" fontId="64" fillId="0" borderId="6" xfId="0" applyFont="1" applyBorder="1"/>
    <xf numFmtId="0" fontId="15" fillId="5" borderId="29" xfId="0" applyFont="1" applyFill="1" applyBorder="1" applyAlignment="1">
      <alignment horizontal="center" wrapText="1"/>
    </xf>
    <xf numFmtId="0" fontId="15" fillId="5" borderId="30" xfId="0" applyFont="1" applyFill="1" applyBorder="1" applyAlignment="1">
      <alignment horizontal="center" wrapText="1"/>
    </xf>
    <xf numFmtId="9" fontId="0" fillId="0" borderId="6" xfId="0" applyNumberFormat="1" applyBorder="1"/>
    <xf numFmtId="9" fontId="0" fillId="0" borderId="3" xfId="0" applyNumberFormat="1" applyBorder="1"/>
    <xf numFmtId="0" fontId="83" fillId="0" borderId="0" xfId="328"/>
    <xf numFmtId="2" fontId="16" fillId="0" borderId="0" xfId="86" applyNumberFormat="1"/>
    <xf numFmtId="0" fontId="1" fillId="0" borderId="0" xfId="305" applyFont="1"/>
    <xf numFmtId="0" fontId="83" fillId="0" borderId="0" xfId="328" applyFill="1" applyAlignment="1">
      <alignment horizontal="center" wrapText="1"/>
    </xf>
    <xf numFmtId="0" fontId="3" fillId="0" borderId="7" xfId="305" applyFont="1" applyBorder="1" applyAlignment="1">
      <alignment horizontal="center" vertical="center"/>
    </xf>
    <xf numFmtId="0" fontId="3" fillId="0" borderId="0" xfId="305" applyFont="1" applyAlignment="1">
      <alignment horizontal="center" vertical="center"/>
    </xf>
    <xf numFmtId="0" fontId="3" fillId="0" borderId="20" xfId="305" applyFont="1" applyBorder="1" applyAlignment="1">
      <alignment horizontal="center" vertical="center"/>
    </xf>
    <xf numFmtId="0" fontId="3" fillId="0" borderId="25" xfId="305" applyFont="1" applyBorder="1" applyAlignment="1">
      <alignment horizontal="center" vertical="center"/>
    </xf>
    <xf numFmtId="0" fontId="3" fillId="0" borderId="4" xfId="305" applyFont="1" applyBorder="1" applyAlignment="1">
      <alignment horizontal="center" vertical="center"/>
    </xf>
    <xf numFmtId="174" fontId="8" fillId="0" borderId="25" xfId="305" applyNumberFormat="1" applyBorder="1" applyAlignment="1">
      <alignment horizontal="center" vertical="center"/>
    </xf>
    <xf numFmtId="174" fontId="8" fillId="0" borderId="4" xfId="305" applyNumberFormat="1" applyBorder="1" applyAlignment="1">
      <alignment horizontal="center" vertical="center"/>
    </xf>
    <xf numFmtId="15" fontId="8" fillId="0" borderId="25" xfId="305" applyNumberFormat="1" applyBorder="1" applyAlignment="1">
      <alignment horizontal="center" vertical="center"/>
    </xf>
    <xf numFmtId="15" fontId="8" fillId="0" borderId="1" xfId="305" applyNumberFormat="1" applyBorder="1" applyAlignment="1">
      <alignment horizontal="center" vertical="center"/>
    </xf>
    <xf numFmtId="15" fontId="8" fillId="0" borderId="4" xfId="305" applyNumberFormat="1" applyBorder="1" applyAlignment="1">
      <alignment horizontal="center" vertical="center"/>
    </xf>
    <xf numFmtId="0" fontId="3" fillId="0" borderId="1" xfId="305" applyFont="1" applyBorder="1" applyAlignment="1">
      <alignment horizontal="center" vertical="center"/>
    </xf>
    <xf numFmtId="0" fontId="32" fillId="0" borderId="0" xfId="0" applyFont="1" applyAlignment="1">
      <alignment horizontal="center"/>
    </xf>
  </cellXfs>
  <cellStyles count="329">
    <cellStyle name="Accent6" xfId="153" builtinId="49"/>
    <cellStyle name="Bad" xfId="5" builtinId="27"/>
    <cellStyle name="Bad 2" xfId="155" xr:uid="{00000000-0005-0000-0000-000002000000}"/>
    <cellStyle name="Calc" xfId="10" xr:uid="{00000000-0005-0000-0000-000003000000}"/>
    <cellStyle name="Calculation" xfId="6" builtinId="22"/>
    <cellStyle name="Comma" xfId="3" builtinId="3"/>
    <cellStyle name="Comma 2" xfId="87" xr:uid="{00000000-0005-0000-0000-000006000000}"/>
    <cellStyle name="Comma 2 2" xfId="306" xr:uid="{00000000-0005-0000-0000-000007000000}"/>
    <cellStyle name="Comma 3" xfId="147" xr:uid="{00000000-0005-0000-0000-000008000000}"/>
    <cellStyle name="Comma 3 2" xfId="307" xr:uid="{00000000-0005-0000-0000-000009000000}"/>
    <cellStyle name="Comma 4" xfId="308" xr:uid="{00000000-0005-0000-0000-00000A000000}"/>
    <cellStyle name="Comma 5" xfId="316" xr:uid="{00000000-0005-0000-0000-00000B000000}"/>
    <cellStyle name="Comma 6" xfId="320" xr:uid="{00000000-0005-0000-0000-00000C000000}"/>
    <cellStyle name="Excel Built-in Normal" xfId="88" xr:uid="{00000000-0005-0000-0000-00000D000000}"/>
    <cellStyle name="Excel Built-in Normal 2" xfId="89" xr:uid="{00000000-0005-0000-0000-00000E000000}"/>
    <cellStyle name="Excel_BuiltIn_Comma" xfId="90" xr:uid="{00000000-0005-0000-0000-00000F000000}"/>
    <cellStyle name="External" xfId="8" xr:uid="{00000000-0005-0000-0000-000010000000}"/>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3" builtinId="9" hidden="1"/>
    <cellStyle name="Followed Hyperlink" xfId="301" builtinId="9" hidden="1"/>
    <cellStyle name="Followed Hyperlink" xfId="299" builtinId="9" hidden="1"/>
    <cellStyle name="Followed Hyperlink" xfId="297" builtinId="9" hidden="1"/>
    <cellStyle name="Followed Hyperlink" xfId="295" builtinId="9" hidden="1"/>
    <cellStyle name="Followed Hyperlink" xfId="293" builtinId="9" hidden="1"/>
    <cellStyle name="Followed Hyperlink" xfId="291" builtinId="9" hidden="1"/>
    <cellStyle name="Followed Hyperlink" xfId="289" builtinId="9" hidden="1"/>
    <cellStyle name="Followed Hyperlink" xfId="287" builtinId="9" hidden="1"/>
    <cellStyle name="Followed Hyperlink" xfId="285" builtinId="9" hidden="1"/>
    <cellStyle name="Followed Hyperlink" xfId="283" builtinId="9" hidden="1"/>
    <cellStyle name="Followed Hyperlink" xfId="281" builtinId="9" hidden="1"/>
    <cellStyle name="Followed Hyperlink" xfId="279" builtinId="9" hidden="1"/>
    <cellStyle name="Followed Hyperlink" xfId="277" builtinId="9" hidden="1"/>
    <cellStyle name="Followed Hyperlink" xfId="275" builtinId="9" hidden="1"/>
    <cellStyle name="Followed Hyperlink" xfId="273" builtinId="9" hidden="1"/>
    <cellStyle name="Followed Hyperlink" xfId="271" builtinId="9" hidden="1"/>
    <cellStyle name="Followed Hyperlink" xfId="269" builtinId="9" hidden="1"/>
    <cellStyle name="Followed Hyperlink" xfId="267" builtinId="9" hidden="1"/>
    <cellStyle name="Followed Hyperlink" xfId="265" builtinId="9" hidden="1"/>
    <cellStyle name="Followed Hyperlink" xfId="263" builtinId="9" hidden="1"/>
    <cellStyle name="Followed Hyperlink" xfId="261" builtinId="9" hidden="1"/>
    <cellStyle name="Followed Hyperlink" xfId="259" builtinId="9" hidden="1"/>
    <cellStyle name="Followed Hyperlink" xfId="257" builtinId="9" hidden="1"/>
    <cellStyle name="Followed Hyperlink" xfId="255" builtinId="9" hidden="1"/>
    <cellStyle name="Followed Hyperlink" xfId="253" builtinId="9" hidden="1"/>
    <cellStyle name="Followed Hyperlink" xfId="251" builtinId="9" hidden="1"/>
    <cellStyle name="Followed Hyperlink" xfId="249" builtinId="9" hidden="1"/>
    <cellStyle name="Followed Hyperlink" xfId="247" builtinId="9" hidden="1"/>
    <cellStyle name="Followed Hyperlink" xfId="245" builtinId="9" hidden="1"/>
    <cellStyle name="Followed Hyperlink" xfId="243" builtinId="9" hidden="1"/>
    <cellStyle name="Followed Hyperlink" xfId="241" builtinId="9" hidden="1"/>
    <cellStyle name="Followed Hyperlink" xfId="239" builtinId="9" hidden="1"/>
    <cellStyle name="Followed Hyperlink" xfId="237" builtinId="9" hidden="1"/>
    <cellStyle name="Followed Hyperlink" xfId="235" builtinId="9" hidden="1"/>
    <cellStyle name="Followed Hyperlink" xfId="233" builtinId="9" hidden="1"/>
    <cellStyle name="Followed Hyperlink" xfId="231" builtinId="9" hidden="1"/>
    <cellStyle name="Followed Hyperlink" xfId="229" builtinId="9" hidden="1"/>
    <cellStyle name="Followed Hyperlink" xfId="227" builtinId="9" hidden="1"/>
    <cellStyle name="Followed Hyperlink" xfId="225" builtinId="9" hidden="1"/>
    <cellStyle name="Followed Hyperlink" xfId="223" builtinId="9" hidden="1"/>
    <cellStyle name="Followed Hyperlink" xfId="221" builtinId="9" hidden="1"/>
    <cellStyle name="Followed Hyperlink" xfId="219" builtinId="9" hidden="1"/>
    <cellStyle name="Followed Hyperlink" xfId="217" builtinId="9" hidden="1"/>
    <cellStyle name="Followed Hyperlink" xfId="215" builtinId="9" hidden="1"/>
    <cellStyle name="Followed Hyperlink" xfId="213" builtinId="9" hidden="1"/>
    <cellStyle name="Followed Hyperlink" xfId="211" builtinId="9" hidden="1"/>
    <cellStyle name="Followed Hyperlink" xfId="209" builtinId="9" hidden="1"/>
    <cellStyle name="Followed Hyperlink" xfId="207" builtinId="9" hidden="1"/>
    <cellStyle name="Followed Hyperlink" xfId="205" builtinId="9" hidden="1"/>
    <cellStyle name="Followed Hyperlink" xfId="203" builtinId="9" hidden="1"/>
    <cellStyle name="Followed Hyperlink" xfId="201" builtinId="9" hidden="1"/>
    <cellStyle name="Followed Hyperlink" xfId="199" builtinId="9" hidden="1"/>
    <cellStyle name="Followed Hyperlink" xfId="197" builtinId="9" hidden="1"/>
    <cellStyle name="Followed Hyperlink" xfId="195" builtinId="9" hidden="1"/>
    <cellStyle name="Followed Hyperlink" xfId="193" builtinId="9" hidden="1"/>
    <cellStyle name="Followed Hyperlink" xfId="191" builtinId="9" hidden="1"/>
    <cellStyle name="Followed Hyperlink" xfId="189" builtinId="9" hidden="1"/>
    <cellStyle name="Followed Hyperlink" xfId="187" builtinId="9" hidden="1"/>
    <cellStyle name="Followed Hyperlink" xfId="185" builtinId="9" hidden="1"/>
    <cellStyle name="Followed Hyperlink" xfId="183" builtinId="9" hidden="1"/>
    <cellStyle name="Followed Hyperlink" xfId="181" builtinId="9" hidden="1"/>
    <cellStyle name="Followed Hyperlink" xfId="179" builtinId="9" hidden="1"/>
    <cellStyle name="Followed Hyperlink" xfId="177" builtinId="9" hidden="1"/>
    <cellStyle name="Followed Hyperlink" xfId="175" builtinId="9" hidden="1"/>
    <cellStyle name="Followed Hyperlink" xfId="173" builtinId="9" hidden="1"/>
    <cellStyle name="Followed Hyperlink" xfId="171" builtinId="9" hidden="1"/>
    <cellStyle name="Followed Hyperlink" xfId="169" builtinId="9" hidden="1"/>
    <cellStyle name="Followed Hyperlink" xfId="167" builtinId="9" hidden="1"/>
    <cellStyle name="Followed Hyperlink" xfId="165" builtinId="9" hidden="1"/>
    <cellStyle name="Followed Hyperlink" xfId="163" builtinId="9" hidden="1"/>
    <cellStyle name="Followed Hyperlink" xfId="161" builtinId="9" hidden="1"/>
    <cellStyle name="Followed Hyperlink" xfId="159" builtinId="9" hidden="1"/>
    <cellStyle name="Followed Hyperlink" xfId="157" builtinId="9" hidden="1"/>
    <cellStyle name="Followed Hyperlink" xfId="144" builtinId="9" hidden="1"/>
    <cellStyle name="Followed Hyperlink" xfId="142" builtinId="9" hidden="1"/>
    <cellStyle name="Followed Hyperlink" xfId="140" builtinId="9" hidden="1"/>
    <cellStyle name="Followed Hyperlink" xfId="138" builtinId="9" hidden="1"/>
    <cellStyle name="Followed Hyperlink" xfId="136" builtinId="9" hidden="1"/>
    <cellStyle name="Followed Hyperlink" xfId="134" builtinId="9" hidden="1"/>
    <cellStyle name="Followed Hyperlink" xfId="132" builtinId="9" hidden="1"/>
    <cellStyle name="Followed Hyperlink" xfId="130" builtinId="9" hidden="1"/>
    <cellStyle name="Followed Hyperlink" xfId="128" builtinId="9" hidden="1"/>
    <cellStyle name="Followed Hyperlink" xfId="126" builtinId="9" hidden="1"/>
    <cellStyle name="Followed Hyperlink" xfId="124" builtinId="9" hidden="1"/>
    <cellStyle name="Followed Hyperlink" xfId="122" builtinId="9" hidden="1"/>
    <cellStyle name="Followed Hyperlink" xfId="120" builtinId="9" hidden="1"/>
    <cellStyle name="Followed Hyperlink" xfId="118" builtinId="9" hidden="1"/>
    <cellStyle name="Followed Hyperlink" xfId="116" builtinId="9" hidden="1"/>
    <cellStyle name="Followed Hyperlink" xfId="114" builtinId="9" hidden="1"/>
    <cellStyle name="Followed Hyperlink" xfId="112" builtinId="9" hidden="1"/>
    <cellStyle name="Followed Hyperlink" xfId="110" builtinId="9" hidden="1"/>
    <cellStyle name="Followed Hyperlink" xfId="108" builtinId="9" hidden="1"/>
    <cellStyle name="Followed Hyperlink" xfId="106" builtinId="9" hidden="1"/>
    <cellStyle name="Followed Hyperlink" xfId="104" builtinId="9" hidden="1"/>
    <cellStyle name="Followed Hyperlink" xfId="102" builtinId="9" hidden="1"/>
    <cellStyle name="Followed Hyperlink" xfId="100" builtinId="9" hidden="1"/>
    <cellStyle name="Followed Hyperlink" xfId="98" builtinId="9" hidden="1"/>
    <cellStyle name="Followed Hyperlink" xfId="96" builtinId="9" hidden="1"/>
    <cellStyle name="Followed Hyperlink" xfId="84" builtinId="9" hidden="1"/>
    <cellStyle name="Followed Hyperlink" xfId="82" builtinId="9" hidden="1"/>
    <cellStyle name="Followed Hyperlink" xfId="80" builtinId="9" hidden="1"/>
    <cellStyle name="Followed Hyperlink" xfId="78" builtinId="9" hidden="1"/>
    <cellStyle name="Followed Hyperlink" xfId="76" builtinId="9" hidden="1"/>
    <cellStyle name="Followed Hyperlink" xfId="74" builtinId="9" hidden="1"/>
    <cellStyle name="Followed Hyperlink" xfId="72" builtinId="9" hidden="1"/>
    <cellStyle name="Followed Hyperlink" xfId="70" builtinId="9" hidden="1"/>
    <cellStyle name="Followed Hyperlink" xfId="68" builtinId="9" hidden="1"/>
    <cellStyle name="Followed Hyperlink" xfId="66" builtinId="9" hidden="1"/>
    <cellStyle name="Followed Hyperlink" xfId="64" builtinId="9" hidden="1"/>
    <cellStyle name="Followed Hyperlink" xfId="62" builtinId="9" hidden="1"/>
    <cellStyle name="Followed Hyperlink" xfId="60" builtinId="9" hidden="1"/>
    <cellStyle name="Followed Hyperlink" xfId="58" builtinId="9" hidden="1"/>
    <cellStyle name="Followed Hyperlink" xfId="56" builtinId="9" hidden="1"/>
    <cellStyle name="Followed Hyperlink" xfId="26" builtinId="9" hidden="1"/>
    <cellStyle name="Followed Hyperlink" xfId="27" builtinId="9" hidden="1"/>
    <cellStyle name="Followed Hyperlink" xfId="29" builtinId="9" hidden="1"/>
    <cellStyle name="Followed Hyperlink" xfId="30" builtinId="9" hidden="1"/>
    <cellStyle name="Followed Hyperlink" xfId="31" builtinId="9" hidden="1"/>
    <cellStyle name="Followed Hyperlink" xfId="33" builtinId="9" hidden="1"/>
    <cellStyle name="Followed Hyperlink" xfId="34" builtinId="9" hidden="1"/>
    <cellStyle name="Followed Hyperlink" xfId="35" builtinId="9" hidden="1"/>
    <cellStyle name="Followed Hyperlink" xfId="37" builtinId="9" hidden="1"/>
    <cellStyle name="Followed Hyperlink" xfId="38" builtinId="9" hidden="1"/>
    <cellStyle name="Followed Hyperlink" xfId="39" builtinId="9" hidden="1"/>
    <cellStyle name="Followed Hyperlink" xfId="41" builtinId="9" hidden="1"/>
    <cellStyle name="Followed Hyperlink" xfId="42" builtinId="9" hidden="1"/>
    <cellStyle name="Followed Hyperlink" xfId="43" builtinId="9" hidden="1"/>
    <cellStyle name="Followed Hyperlink" xfId="45" builtinId="9" hidden="1"/>
    <cellStyle name="Followed Hyperlink" xfId="46" builtinId="9" hidden="1"/>
    <cellStyle name="Followed Hyperlink" xfId="47" builtinId="9" hidden="1"/>
    <cellStyle name="Followed Hyperlink" xfId="49" builtinId="9" hidden="1"/>
    <cellStyle name="Followed Hyperlink" xfId="50" builtinId="9" hidden="1"/>
    <cellStyle name="Followed Hyperlink" xfId="51" builtinId="9" hidden="1"/>
    <cellStyle name="Followed Hyperlink" xfId="53" builtinId="9" hidden="1"/>
    <cellStyle name="Followed Hyperlink" xfId="54" builtinId="9" hidden="1"/>
    <cellStyle name="Followed Hyperlink" xfId="55" builtinId="9" hidden="1"/>
    <cellStyle name="Followed Hyperlink" xfId="52" builtinId="9" hidden="1"/>
    <cellStyle name="Followed Hyperlink" xfId="48" builtinId="9" hidden="1"/>
    <cellStyle name="Followed Hyperlink" xfId="44" builtinId="9" hidden="1"/>
    <cellStyle name="Followed Hyperlink" xfId="40" builtinId="9" hidden="1"/>
    <cellStyle name="Followed Hyperlink" xfId="36" builtinId="9" hidden="1"/>
    <cellStyle name="Followed Hyperlink" xfId="32" builtinId="9" hidden="1"/>
    <cellStyle name="Followed Hyperlink" xfId="28"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0" builtinId="9" hidden="1"/>
    <cellStyle name="Followed Hyperlink" xfId="14" builtinId="9" hidden="1"/>
    <cellStyle name="Followed Hyperlink" xfId="15" builtinId="9" hidden="1"/>
    <cellStyle name="Followed Hyperlink" xfId="16" builtinId="9" hidden="1"/>
    <cellStyle name="Followed Hyperlink" xfId="12" builtinId="9" hidden="1"/>
    <cellStyle name="Followed Hyperlink" xfId="13" builtinId="9" hidden="1"/>
    <cellStyle name="Followed Hyperlink" xfId="11" builtinId="9" hidden="1"/>
    <cellStyle name="Good" xfId="4" builtinId="26"/>
    <cellStyle name="Heading" xfId="91" xr:uid="{00000000-0005-0000-0000-000023010000}"/>
    <cellStyle name="Heading 1 2" xfId="309" xr:uid="{00000000-0005-0000-0000-000024010000}"/>
    <cellStyle name="Heading 2 2" xfId="310" xr:uid="{00000000-0005-0000-0000-000025010000}"/>
    <cellStyle name="Heading 4" xfId="328" builtinId="19"/>
    <cellStyle name="Heading 4 2" xfId="311" xr:uid="{00000000-0005-0000-0000-000026010000}"/>
    <cellStyle name="Heading1" xfId="92" xr:uid="{00000000-0005-0000-0000-000027010000}"/>
    <cellStyle name="Hyperlink" xfId="2" builtinId="8"/>
    <cellStyle name="Hyperlink 2" xfId="148" xr:uid="{00000000-0005-0000-0000-000029010000}"/>
    <cellStyle name="Hyperlink 3" xfId="319" xr:uid="{00000000-0005-0000-0000-00002A010000}"/>
    <cellStyle name="Input" xfId="152" builtinId="20"/>
    <cellStyle name="Linked" xfId="9" xr:uid="{00000000-0005-0000-0000-00002C010000}"/>
    <cellStyle name="Normal" xfId="0" builtinId="0"/>
    <cellStyle name="Normal 10" xfId="322" xr:uid="{00000000-0005-0000-0000-00002E010000}"/>
    <cellStyle name="Normal 11" xfId="324" xr:uid="{82BEEEE3-921E-4D32-AAF0-8B77B4AF49E6}"/>
    <cellStyle name="Normal 12" xfId="325" xr:uid="{AAE1FB2D-BE0F-4E07-A8E6-93604D203E06}"/>
    <cellStyle name="Normal 13" xfId="326" xr:uid="{4DA54A4E-AC95-4482-9A80-11C6EF2225B8}"/>
    <cellStyle name="Normal 2" xfId="86" xr:uid="{00000000-0005-0000-0000-00002F010000}"/>
    <cellStyle name="Normal 2 2" xfId="156" xr:uid="{00000000-0005-0000-0000-000030010000}"/>
    <cellStyle name="Normal 2 2 2" xfId="327" xr:uid="{6C6F14F1-03D8-4C54-81FB-2E7B38122D05}"/>
    <cellStyle name="Normal 2 3" xfId="321" xr:uid="{00000000-0005-0000-0000-000031010000}"/>
    <cellStyle name="Normal 3" xfId="93" xr:uid="{00000000-0005-0000-0000-000032010000}"/>
    <cellStyle name="Normal 3 2" xfId="149" xr:uid="{00000000-0005-0000-0000-000033010000}"/>
    <cellStyle name="Normal 4" xfId="146" xr:uid="{00000000-0005-0000-0000-000034010000}"/>
    <cellStyle name="Normal 5" xfId="154" xr:uid="{00000000-0005-0000-0000-000035010000}"/>
    <cellStyle name="Normal 6" xfId="305" xr:uid="{00000000-0005-0000-0000-000036010000}"/>
    <cellStyle name="Normal 7" xfId="314" xr:uid="{00000000-0005-0000-0000-000037010000}"/>
    <cellStyle name="Normal 8" xfId="317" xr:uid="{00000000-0005-0000-0000-000038010000}"/>
    <cellStyle name="Normal 9" xfId="318" xr:uid="{00000000-0005-0000-0000-000039010000}"/>
    <cellStyle name="Note 2" xfId="315" xr:uid="{00000000-0005-0000-0000-00003C010000}"/>
    <cellStyle name="Percent" xfId="1" builtinId="5"/>
    <cellStyle name="Percent 2" xfId="7" xr:uid="{00000000-0005-0000-0000-00003E010000}"/>
    <cellStyle name="Percent 2 2" xfId="150" xr:uid="{00000000-0005-0000-0000-00003F010000}"/>
    <cellStyle name="Percent 3" xfId="151" xr:uid="{00000000-0005-0000-0000-000040010000}"/>
    <cellStyle name="Percent 3 2" xfId="312" xr:uid="{00000000-0005-0000-0000-000041010000}"/>
    <cellStyle name="Percent 4" xfId="323" xr:uid="{00000000-0005-0000-0000-000042010000}"/>
    <cellStyle name="Result" xfId="94" xr:uid="{00000000-0005-0000-0000-000043010000}"/>
    <cellStyle name="Result2" xfId="95" xr:uid="{00000000-0005-0000-0000-000044010000}"/>
    <cellStyle name="Standard_Tables  Draft Report" xfId="313" xr:uid="{00000000-0005-0000-0000-000045010000}"/>
  </cellStyles>
  <dxfs count="5">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24994659260841701"/>
        </patternFill>
      </fill>
    </dxf>
  </dxfs>
  <tableStyles count="0" defaultTableStyle="TableStyleMedium9" defaultPivotStyle="PivotStyleMedium4"/>
  <colors>
    <mruColors>
      <color rgb="FFCC99FF"/>
      <color rgb="FF911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'2012 SATIM EB'!$C$8</c:f>
              <c:strCache>
                <c:ptCount val="1"/>
                <c:pt idx="0">
                  <c:v>Biomass</c:v>
                </c:pt>
              </c:strCache>
            </c:strRef>
          </c:tx>
          <c:spPr>
            <a:solidFill>
              <a:schemeClr val="accent1"/>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D2D8-4857-B2A1-89A539CFB08A}"/>
            </c:ext>
          </c:extLst>
        </c:ser>
        <c:ser>
          <c:idx val="1"/>
          <c:order val="1"/>
          <c:tx>
            <c:strRef>
              <c:f>'2012 SATIM EB'!$D$8</c:f>
              <c:strCache>
                <c:ptCount val="1"/>
                <c:pt idx="0">
                  <c:v>Coal</c:v>
                </c:pt>
              </c:strCache>
            </c:strRef>
          </c:tx>
          <c:spPr>
            <a:solidFill>
              <a:schemeClr val="accent2"/>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D2D8-4857-B2A1-89A539CFB08A}"/>
            </c:ext>
          </c:extLst>
        </c:ser>
        <c:ser>
          <c:idx val="2"/>
          <c:order val="2"/>
          <c:tx>
            <c:strRef>
              <c:f>'2012 SATIM EB'!$F$8</c:f>
              <c:strCache>
                <c:ptCount val="1"/>
                <c:pt idx="0">
                  <c:v>Crude Oil</c:v>
                </c:pt>
              </c:strCache>
            </c:strRef>
          </c:tx>
          <c:spPr>
            <a:solidFill>
              <a:schemeClr val="accent3"/>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D2D8-4857-B2A1-89A539CFB08A}"/>
            </c:ext>
          </c:extLst>
        </c:ser>
        <c:ser>
          <c:idx val="3"/>
          <c:order val="3"/>
          <c:tx>
            <c:strRef>
              <c:f>'2012 SATIM EB'!$G$8</c:f>
              <c:strCache>
                <c:ptCount val="1"/>
                <c:pt idx="0">
                  <c:v>Diesel</c:v>
                </c:pt>
              </c:strCache>
            </c:strRef>
          </c:tx>
          <c:spPr>
            <a:solidFill>
              <a:schemeClr val="accent4"/>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D2D8-4857-B2A1-89A539CFB08A}"/>
            </c:ext>
          </c:extLst>
        </c:ser>
        <c:ser>
          <c:idx val="4"/>
          <c:order val="4"/>
          <c:tx>
            <c:strRef>
              <c:f>'2012 SATIM EB'!$H$8</c:f>
              <c:strCache>
                <c:ptCount val="1"/>
                <c:pt idx="0">
                  <c:v>Paraffin</c:v>
                </c:pt>
              </c:strCache>
            </c:strRef>
          </c:tx>
          <c:spPr>
            <a:solidFill>
              <a:schemeClr val="accent5"/>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D2D8-4857-B2A1-89A539CFB08A}"/>
            </c:ext>
          </c:extLst>
        </c:ser>
        <c:ser>
          <c:idx val="5"/>
          <c:order val="5"/>
          <c:tx>
            <c:strRef>
              <c:f>'2012 SATIM EB'!$I$8</c:f>
              <c:strCache>
                <c:ptCount val="1"/>
                <c:pt idx="0">
                  <c:v>LPG</c:v>
                </c:pt>
              </c:strCache>
            </c:strRef>
          </c:tx>
          <c:spPr>
            <a:solidFill>
              <a:schemeClr val="accent6"/>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D2D8-4857-B2A1-89A539CFB08A}"/>
            </c:ext>
          </c:extLst>
        </c:ser>
        <c:ser>
          <c:idx val="6"/>
          <c:order val="6"/>
          <c:tx>
            <c:strRef>
              <c:f>'2012 SATIM EB'!$J$8</c:f>
              <c:strCache>
                <c:ptCount val="1"/>
                <c:pt idx="0">
                  <c:v>Petrol</c:v>
                </c:pt>
              </c:strCache>
            </c:strRef>
          </c:tx>
          <c:spPr>
            <a:solidFill>
              <a:schemeClr val="accent1">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D2D8-4857-B2A1-89A539CFB08A}"/>
            </c:ext>
          </c:extLst>
        </c:ser>
        <c:ser>
          <c:idx val="7"/>
          <c:order val="7"/>
          <c:tx>
            <c:strRef>
              <c:f>'2012 SATIM EB'!$K$8</c:f>
              <c:strCache>
                <c:ptCount val="1"/>
                <c:pt idx="0">
                  <c:v>HFO</c:v>
                </c:pt>
              </c:strCache>
            </c:strRef>
          </c:tx>
          <c:spPr>
            <a:solidFill>
              <a:schemeClr val="accent2">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D2D8-4857-B2A1-89A539CFB08A}"/>
            </c:ext>
          </c:extLst>
        </c:ser>
        <c:ser>
          <c:idx val="8"/>
          <c:order val="8"/>
          <c:tx>
            <c:strRef>
              <c:f>'2012 SATIM EB'!$L$8</c:f>
              <c:strCache>
                <c:ptCount val="1"/>
                <c:pt idx="0">
                  <c:v>Jet Fuel</c:v>
                </c:pt>
              </c:strCache>
            </c:strRef>
          </c:tx>
          <c:spPr>
            <a:solidFill>
              <a:schemeClr val="accent3">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2D8-4857-B2A1-89A539CFB08A}"/>
            </c:ext>
          </c:extLst>
        </c:ser>
        <c:ser>
          <c:idx val="9"/>
          <c:order val="9"/>
          <c:tx>
            <c:strRef>
              <c:f>'2012 SATIM EB'!$M$8</c:f>
              <c:strCache>
                <c:ptCount val="1"/>
                <c:pt idx="0">
                  <c:v>Electricity</c:v>
                </c:pt>
              </c:strCache>
            </c:strRef>
          </c:tx>
          <c:spPr>
            <a:solidFill>
              <a:schemeClr val="accent4">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D2D8-4857-B2A1-89A539CFB08A}"/>
            </c:ext>
          </c:extLst>
        </c:ser>
        <c:ser>
          <c:idx val="10"/>
          <c:order val="10"/>
          <c:tx>
            <c:strRef>
              <c:f>'2012 SATIM EB'!$N$8</c:f>
              <c:strCache>
                <c:ptCount val="1"/>
                <c:pt idx="0">
                  <c:v>Gas</c:v>
                </c:pt>
              </c:strCache>
            </c:strRef>
          </c:tx>
          <c:spPr>
            <a:solidFill>
              <a:schemeClr val="accent5">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D2D8-4857-B2A1-89A539CFB08A}"/>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'2017 SATIM EB'!$C$8</c:f>
              <c:strCache>
                <c:ptCount val="1"/>
                <c:pt idx="0">
                  <c:v>Biomass</c:v>
                </c:pt>
              </c:strCache>
            </c:strRef>
          </c:tx>
          <c:spPr>
            <a:solidFill>
              <a:schemeClr val="accent1"/>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F738-41C3-BCB9-DC1EF0E44ADF}"/>
            </c:ext>
          </c:extLst>
        </c:ser>
        <c:ser>
          <c:idx val="1"/>
          <c:order val="1"/>
          <c:tx>
            <c:strRef>
              <c:f>'2017 SATIM EB'!$D$8</c:f>
              <c:strCache>
                <c:ptCount val="1"/>
                <c:pt idx="0">
                  <c:v>Coal</c:v>
                </c:pt>
              </c:strCache>
            </c:strRef>
          </c:tx>
          <c:spPr>
            <a:solidFill>
              <a:schemeClr val="accent2"/>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F738-41C3-BCB9-DC1EF0E44ADF}"/>
            </c:ext>
          </c:extLst>
        </c:ser>
        <c:ser>
          <c:idx val="2"/>
          <c:order val="2"/>
          <c:tx>
            <c:strRef>
              <c:f>'2017 SATIM EB'!$F$8</c:f>
              <c:strCache>
                <c:ptCount val="1"/>
                <c:pt idx="0">
                  <c:v>Crude Oil</c:v>
                </c:pt>
              </c:strCache>
            </c:strRef>
          </c:tx>
          <c:spPr>
            <a:solidFill>
              <a:schemeClr val="accent3"/>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F738-41C3-BCB9-DC1EF0E44ADF}"/>
            </c:ext>
          </c:extLst>
        </c:ser>
        <c:ser>
          <c:idx val="3"/>
          <c:order val="3"/>
          <c:tx>
            <c:strRef>
              <c:f>'2017 SATIM EB'!$G$8</c:f>
              <c:strCache>
                <c:ptCount val="1"/>
                <c:pt idx="0">
                  <c:v>Diesel</c:v>
                </c:pt>
              </c:strCache>
            </c:strRef>
          </c:tx>
          <c:spPr>
            <a:solidFill>
              <a:schemeClr val="accent4"/>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F738-41C3-BCB9-DC1EF0E44ADF}"/>
            </c:ext>
          </c:extLst>
        </c:ser>
        <c:ser>
          <c:idx val="4"/>
          <c:order val="4"/>
          <c:tx>
            <c:strRef>
              <c:f>'2017 SATIM EB'!$H$8</c:f>
              <c:strCache>
                <c:ptCount val="1"/>
                <c:pt idx="0">
                  <c:v>Paraffin</c:v>
                </c:pt>
              </c:strCache>
            </c:strRef>
          </c:tx>
          <c:spPr>
            <a:solidFill>
              <a:schemeClr val="accent5"/>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F738-41C3-BCB9-DC1EF0E44ADF}"/>
            </c:ext>
          </c:extLst>
        </c:ser>
        <c:ser>
          <c:idx val="5"/>
          <c:order val="5"/>
          <c:tx>
            <c:strRef>
              <c:f>'2017 SATIM EB'!$I$8</c:f>
              <c:strCache>
                <c:ptCount val="1"/>
                <c:pt idx="0">
                  <c:v>LPG</c:v>
                </c:pt>
              </c:strCache>
            </c:strRef>
          </c:tx>
          <c:spPr>
            <a:solidFill>
              <a:schemeClr val="accent6"/>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F738-41C3-BCB9-DC1EF0E44ADF}"/>
            </c:ext>
          </c:extLst>
        </c:ser>
        <c:ser>
          <c:idx val="6"/>
          <c:order val="6"/>
          <c:tx>
            <c:strRef>
              <c:f>'2017 SATIM EB'!$J$8</c:f>
              <c:strCache>
                <c:ptCount val="1"/>
                <c:pt idx="0">
                  <c:v>Petrol</c:v>
                </c:pt>
              </c:strCache>
            </c:strRef>
          </c:tx>
          <c:spPr>
            <a:solidFill>
              <a:schemeClr val="accent1">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F738-41C3-BCB9-DC1EF0E44ADF}"/>
            </c:ext>
          </c:extLst>
        </c:ser>
        <c:ser>
          <c:idx val="7"/>
          <c:order val="7"/>
          <c:tx>
            <c:strRef>
              <c:f>'2017 SATIM EB'!$K$8</c:f>
              <c:strCache>
                <c:ptCount val="1"/>
                <c:pt idx="0">
                  <c:v>HFO</c:v>
                </c:pt>
              </c:strCache>
            </c:strRef>
          </c:tx>
          <c:spPr>
            <a:solidFill>
              <a:schemeClr val="accent2">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F738-41C3-BCB9-DC1EF0E44ADF}"/>
            </c:ext>
          </c:extLst>
        </c:ser>
        <c:ser>
          <c:idx val="8"/>
          <c:order val="8"/>
          <c:tx>
            <c:strRef>
              <c:f>'2017 SATIM EB'!$L$8</c:f>
              <c:strCache>
                <c:ptCount val="1"/>
                <c:pt idx="0">
                  <c:v>Jet Fuel</c:v>
                </c:pt>
              </c:strCache>
            </c:strRef>
          </c:tx>
          <c:spPr>
            <a:solidFill>
              <a:schemeClr val="accent3">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F738-41C3-BCB9-DC1EF0E44ADF}"/>
            </c:ext>
          </c:extLst>
        </c:ser>
        <c:ser>
          <c:idx val="9"/>
          <c:order val="9"/>
          <c:tx>
            <c:strRef>
              <c:f>'2017 SATIM EB'!$M$8</c:f>
              <c:strCache>
                <c:ptCount val="1"/>
                <c:pt idx="0">
                  <c:v>Electricity</c:v>
                </c:pt>
              </c:strCache>
            </c:strRef>
          </c:tx>
          <c:spPr>
            <a:solidFill>
              <a:schemeClr val="accent4">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F738-41C3-BCB9-DC1EF0E44ADF}"/>
            </c:ext>
          </c:extLst>
        </c:ser>
        <c:ser>
          <c:idx val="10"/>
          <c:order val="10"/>
          <c:tx>
            <c:strRef>
              <c:f>'2017 SATIM EB'!$N$8</c:f>
              <c:strCache>
                <c:ptCount val="1"/>
                <c:pt idx="0">
                  <c:v>Gas</c:v>
                </c:pt>
              </c:strCache>
            </c:strRef>
          </c:tx>
          <c:spPr>
            <a:solidFill>
              <a:schemeClr val="accent5">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F738-41C3-BCB9-DC1EF0E44ADF}"/>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DA-44B2-AE4C-8B34075484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DA-44B2-AE4C-8B34075484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DA-44B2-AE4C-8B34075484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DA-44B2-AE4C-8B34075484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DA-44B2-AE4C-8B340754842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DA-44B2-AE4C-8B340754842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DA-44B2-AE4C-8B340754842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DA-44B2-AE4C-8B340754842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DA-44B2-AE4C-8B34075484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IND!$C$20:$K$20</c:f>
              <c:numCache>
                <c:formatCode>_(* #,##0.00_);_(* \(#,##0.00\);_(* "-"??_);_(@_)</c:formatCode>
                <c:ptCount val="9"/>
                <c:pt idx="0">
                  <c:v>378.36290000000002</c:v>
                </c:pt>
                <c:pt idx="1">
                  <c:v>74.42</c:v>
                </c:pt>
                <c:pt idx="2">
                  <c:v>61.263406173308525</c:v>
                </c:pt>
                <c:pt idx="3">
                  <c:v>379.81725075812523</c:v>
                </c:pt>
                <c:pt idx="4">
                  <c:v>95.2</c:v>
                </c:pt>
                <c:pt idx="5">
                  <c:v>12.444925385084467</c:v>
                </c:pt>
                <c:pt idx="6">
                  <c:v>11.981282586165163</c:v>
                </c:pt>
                <c:pt idx="7">
                  <c:v>8.3290000000000006</c:v>
                </c:pt>
                <c:pt idx="8">
                  <c:v>45.296208</c:v>
                </c:pt>
              </c:numCache>
            </c:numRef>
          </c:val>
          <c:extLst>
            <c:ext xmlns:c16="http://schemas.microsoft.com/office/drawing/2014/chart" uri="{C3380CC4-5D6E-409C-BE32-E72D297353CC}">
              <c16:uniqueId val="{00000012-B6DA-44B2-AE4C-8B3407548420}"/>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BE-4E8B-99FD-0D478DCB57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BE-4E8B-99FD-0D478DCB57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BE-4E8B-99FD-0D478DCB57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BE-4E8B-99FD-0D478DCB57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BE-4E8B-99FD-0D478DCB578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BE-4E8B-99FD-0D478DCB578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BE-4E8B-99FD-0D478DCB578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BE-4E8B-99FD-0D478DCB578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BE-4E8B-99FD-0D478DCB5789}"/>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6BE-4E8B-99FD-0D478DCB5789}"/>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B6BE-4E8B-99FD-0D478DCB57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IND!$AC$10:$AC$18</c:f>
              <c:numCache>
                <c:formatCode>_(* #,##0.00_);_(* \(#,##0.00\);_(* "-"??_);_(@_)</c:formatCode>
                <c:ptCount val="9"/>
                <c:pt idx="0">
                  <c:v>190.97449709821353</c:v>
                </c:pt>
                <c:pt idx="1">
                  <c:v>144.70318766954</c:v>
                </c:pt>
                <c:pt idx="2">
                  <c:v>160.79469669896386</c:v>
                </c:pt>
                <c:pt idx="3">
                  <c:v>154.78385787723204</c:v>
                </c:pt>
                <c:pt idx="4">
                  <c:v>74.282274281758518</c:v>
                </c:pt>
                <c:pt idx="5">
                  <c:v>69.528257351757119</c:v>
                </c:pt>
                <c:pt idx="6">
                  <c:v>47.110503174576579</c:v>
                </c:pt>
                <c:pt idx="7">
                  <c:v>61.617581435087118</c:v>
                </c:pt>
                <c:pt idx="8">
                  <c:v>163.32011731555465</c:v>
                </c:pt>
              </c:numCache>
            </c:numRef>
          </c:val>
          <c:extLst>
            <c:ext xmlns:c16="http://schemas.microsoft.com/office/drawing/2014/chart" uri="{C3380CC4-5D6E-409C-BE32-E72D297353CC}">
              <c16:uniqueId val="{00000012-B6BE-4E8B-99FD-0D478DCB5789}"/>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46-41A0-A032-C18EFCDA3F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46-41A0-A032-C18EFCDA3F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46-41A0-A032-C18EFCDA3F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946-41A0-A032-C18EFCDA3F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946-41A0-A032-C18EFCDA3F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946-41A0-A032-C18EFCDA3F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946-41A0-A032-C18EFCDA3F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946-41A0-A032-C18EFCDA3F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946-41A0-A032-C18EFCDA3F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'IND2017'!$C$20:$K$20</c:f>
              <c:numCache>
                <c:formatCode>_(* #,##0.00_);_(* \(#,##0.00\);_(* "-"??_);_(@_)</c:formatCode>
                <c:ptCount val="9"/>
                <c:pt idx="0">
                  <c:v>361.27599999999995</c:v>
                </c:pt>
                <c:pt idx="1">
                  <c:v>75.917000000000002</c:v>
                </c:pt>
                <c:pt idx="2">
                  <c:v>29.606351025250525</c:v>
                </c:pt>
                <c:pt idx="3">
                  <c:v>285.92430016205014</c:v>
                </c:pt>
                <c:pt idx="4">
                  <c:v>55.905828857421881</c:v>
                </c:pt>
                <c:pt idx="5">
                  <c:v>10.428999999999998</c:v>
                </c:pt>
                <c:pt idx="6">
                  <c:v>3.0048572100000004</c:v>
                </c:pt>
                <c:pt idx="7">
                  <c:v>0</c:v>
                </c:pt>
                <c:pt idx="8">
                  <c:v>41</c:v>
                </c:pt>
              </c:numCache>
            </c:numRef>
          </c:val>
          <c:extLst>
            <c:ext xmlns:c16="http://schemas.microsoft.com/office/drawing/2014/chart" uri="{C3380CC4-5D6E-409C-BE32-E72D297353CC}">
              <c16:uniqueId val="{00000012-E946-41A0-A032-C18EFCDA3F9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D2-4429-B7B4-3D180BF202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D2-4429-B7B4-3D180BF202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D2-4429-B7B4-3D180BF202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CD2-4429-B7B4-3D180BF202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CD2-4429-B7B4-3D180BF2026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CD2-4429-B7B4-3D180BF2026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CD2-4429-B7B4-3D180BF2026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CD2-4429-B7B4-3D180BF2026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CD2-4429-B7B4-3D180BF20262}"/>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4CD2-4429-B7B4-3D180BF20262}"/>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CD2-4429-B7B4-3D180BF202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'IND2017'!$AC$10:$AC$18</c:f>
              <c:numCache>
                <c:formatCode>_(* #,##0.00_);_(* \(#,##0.00\);_(* "-"??_);_(@_)</c:formatCode>
                <c:ptCount val="9"/>
                <c:pt idx="0">
                  <c:v>142.1095662302732</c:v>
                </c:pt>
                <c:pt idx="1">
                  <c:v>169.10599999999999</c:v>
                </c:pt>
                <c:pt idx="2">
                  <c:v>111.307</c:v>
                </c:pt>
                <c:pt idx="3">
                  <c:v>69.616</c:v>
                </c:pt>
                <c:pt idx="4">
                  <c:v>12.767942167027458</c:v>
                </c:pt>
                <c:pt idx="5">
                  <c:v>90.397999999999996</c:v>
                </c:pt>
                <c:pt idx="6">
                  <c:v>79.589828857421878</c:v>
                </c:pt>
                <c:pt idx="7">
                  <c:v>13.349</c:v>
                </c:pt>
                <c:pt idx="8">
                  <c:v>133.048</c:v>
                </c:pt>
              </c:numCache>
            </c:numRef>
          </c:val>
          <c:extLst>
            <c:ext xmlns:c16="http://schemas.microsoft.com/office/drawing/2014/chart" uri="{C3380CC4-5D6E-409C-BE32-E72D297353CC}">
              <c16:uniqueId val="{00000012-4CD2-4429-B7B4-3D180BF20262}"/>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15</xdr:col>
      <xdr:colOff>238124</xdr:colOff>
      <xdr:row>3</xdr:row>
      <xdr:rowOff>95249</xdr:rowOff>
    </xdr:from>
    <xdr:to>
      <xdr:col>22</xdr:col>
      <xdr:colOff>657225</xdr:colOff>
      <xdr:row>27</xdr:row>
      <xdr:rowOff>19049</xdr:rowOff>
    </xdr:to>
    <xdr:graphicFrame macro="">
      <xdr:nvGraphicFramePr>
        <xdr:cNvPr id="3" name="Chart 2">
          <a:extLst>
            <a:ext uri="{FF2B5EF4-FFF2-40B4-BE49-F238E27FC236}">
              <a16:creationId xmlns:a16="http://schemas.microsoft.com/office/drawing/2014/main" id="{00000000-0008-0000-3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257175</xdr:colOff>
      <xdr:row>3</xdr:row>
      <xdr:rowOff>95249</xdr:rowOff>
    </xdr:from>
    <xdr:to>
      <xdr:col>22</xdr:col>
      <xdr:colOff>657225</xdr:colOff>
      <xdr:row>23</xdr:row>
      <xdr:rowOff>95250</xdr:rowOff>
    </xdr:to>
    <xdr:graphicFrame macro="">
      <xdr:nvGraphicFramePr>
        <xdr:cNvPr id="2" name="Chart 1">
          <a:extLst>
            <a:ext uri="{FF2B5EF4-FFF2-40B4-BE49-F238E27FC236}">
              <a16:creationId xmlns:a16="http://schemas.microsoft.com/office/drawing/2014/main" id="{65E1753D-6C54-4C4D-9BCA-E244E91794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114299</xdr:colOff>
      <xdr:row>44</xdr:row>
      <xdr:rowOff>104774</xdr:rowOff>
    </xdr:from>
    <xdr:to>
      <xdr:col>6</xdr:col>
      <xdr:colOff>695324</xdr:colOff>
      <xdr:row>45</xdr:row>
      <xdr:rowOff>85724</xdr:rowOff>
    </xdr:to>
    <xdr:sp macro="" textlink="">
      <xdr:nvSpPr>
        <xdr:cNvPr id="3" name="Arrow: Right 2">
          <a:extLst>
            <a:ext uri="{FF2B5EF4-FFF2-40B4-BE49-F238E27FC236}">
              <a16:creationId xmlns:a16="http://schemas.microsoft.com/office/drawing/2014/main" id="{50CEE14A-B3CA-4CFD-BED3-F92C12359CF4}"/>
            </a:ext>
          </a:extLst>
        </xdr:cNvPr>
        <xdr:cNvSpPr/>
      </xdr:nvSpPr>
      <xdr:spPr>
        <a:xfrm rot="16200000">
          <a:off x="7153274" y="7172324"/>
          <a:ext cx="142875" cy="581025"/>
        </a:xfrm>
        <a:prstGeom prst="rightArrow">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Z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00000000-0008-0000-3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000000-0008-0000-3E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F25F5C9C-670A-4726-82F0-8CEA43737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69D6B0-33C1-44B9-82A5-CC1E55AF1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t_REGION1_IND-I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Models\SATIMGE_Veda\vt_REGION1_IND-NMM.xlsx" TargetMode="External"/><Relationship Id="rId1" Type="http://schemas.openxmlformats.org/officeDocument/2006/relationships/externalLinkPath" Target="vt_REGION1_IND-NMM.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Models\SATIMGE_Veda\vt_REGION1_IND-PP.xlsx" TargetMode="External"/><Relationship Id="rId1" Type="http://schemas.openxmlformats.org/officeDocument/2006/relationships/externalLinkPath" Target="vt_REGION1_IND-PP.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vt_REGION1_IND-F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vt_REGION1_IND-PGM.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vt_REGION1_IND-AL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
      <sheetName val="PAMS and scenarios"/>
      <sheetName val="HDRI scenarios"/>
      <sheetName val="H-DRI literature and calcs"/>
      <sheetName val="Summary Hydrogen DRI old"/>
      <sheetName val="Iron and Steel input"/>
      <sheetName val="Energy Calibration"/>
      <sheetName val="Energy and Emissions"/>
      <sheetName val="Capacity &amp; Production"/>
      <sheetName val="Coke"/>
      <sheetName val="Scrap"/>
      <sheetName val="TNapp - Opex sheet"/>
      <sheetName val="TNapp - Capex sheet"/>
      <sheetName val="TNapp - I&amp;S intensity"/>
      <sheetName val="AMSA reports"/>
      <sheetName val="AcelorMittal sus report data"/>
      <sheetName val="AMSA - Saldanha"/>
      <sheetName val="AMSA - Vndbjl park"/>
      <sheetName val="Blast furnace JPN info"/>
      <sheetName val="Vereeniging"/>
      <sheetName val="Evraz Highveld"/>
      <sheetName val="Summary Hydrogen DRI new"/>
      <sheetName val="HDRI-TSData"/>
      <sheetName val="HDRI-TIDData"/>
      <sheetName val="IS-Items"/>
      <sheetName val="IS-TSData"/>
      <sheetName val="IS-TIDData"/>
      <sheetName val="Iron &amp; Steel"/>
      <sheetName val="veda Process def"/>
      <sheetName val="I&amp;S SATIM input"/>
      <sheetName val="Energy Intensity"/>
    </sheetNames>
    <sheetDataSet>
      <sheetData sheetId="0"/>
      <sheetData sheetId="1">
        <row r="4">
          <cell r="B4" t="b">
            <v>0</v>
          </cell>
        </row>
        <row r="5">
          <cell r="B5" t="str">
            <v>PAMS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g"/>
      <sheetName val="NameConv"/>
      <sheetName val="G61 info data and lit"/>
      <sheetName val="G61 Scenarios Modelled"/>
      <sheetName val="G61 Plant Data"/>
      <sheetName val="Capacity and ages -cement"/>
      <sheetName val="PAMS levers"/>
      <sheetName val="Data for SATIM"/>
      <sheetName val="NMM-TSData"/>
      <sheetName val="NMM-Items"/>
      <sheetName val="NMM-TIDData"/>
      <sheetName val="2017 inputs to SATIM"/>
      <sheetName val="NMM data"/>
      <sheetName val="Sheet1"/>
      <sheetName val="Sheet2"/>
      <sheetName val="ClinkerSubstitution"/>
      <sheetName val="Cement Methodology"/>
      <sheetName val="INPUT - com defs"/>
      <sheetName val="INPUT proc defs"/>
      <sheetName val="INPUT - cement"/>
      <sheetName val="Bricks methodology"/>
      <sheetName val="Glass methodology"/>
      <sheetName val="Lime methodology"/>
      <sheetName val="INPUT - lime"/>
      <sheetName val="IND_NMM_2017_Dummy_processes "/>
      <sheetName val="ITEMS_Comm_Grp"/>
      <sheetName val="Production and Capacity"/>
      <sheetName val="Age of cement kilns"/>
      <sheetName val="NetZero levers"/>
      <sheetName val="RES (Cement)"/>
      <sheetName val="IND_NMM_2017_Cement"/>
      <sheetName val="Bricks&amp;Ceramics methodology"/>
      <sheetName val="RES (Brick&amp;Ceramics)"/>
      <sheetName val="IND_NMM_2017_Bricks&amp;Ceramics"/>
      <sheetName val="RES (Glass)"/>
      <sheetName val="IND_NMM_2017_Glass"/>
      <sheetName val="RES (Lime)"/>
      <sheetName val="vt_REGION1_IND-NMM"/>
    </sheetNames>
    <definedNames>
      <definedName name="pamsindex" refersTo="='PAMS levers'!$C$3"/>
    </definedNames>
    <sheetDataSet>
      <sheetData sheetId="0"/>
      <sheetData sheetId="1"/>
      <sheetData sheetId="2"/>
      <sheetData sheetId="3"/>
      <sheetData sheetId="4"/>
      <sheetData sheetId="5"/>
      <sheetData sheetId="6">
        <row r="3">
          <cell r="C3" t="b">
            <v>0</v>
          </cell>
        </row>
        <row r="4">
          <cell r="C4"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ngeLog"/>
      <sheetName val="Index"/>
      <sheetName val="NameConv"/>
      <sheetName val="Production &amp; consumption "/>
      <sheetName val="Recovered and recycled"/>
      <sheetName val="Mass balance"/>
      <sheetName val="Capital costs"/>
      <sheetName val="Students report revision"/>
      <sheetName val="SATIM Data"/>
      <sheetName val="Carbon and energy data"/>
      <sheetName val="Methodology"/>
      <sheetName val="TNAPP Energy Intensity "/>
      <sheetName val="2006 PP model inputs "/>
      <sheetName val="2006 model details"/>
      <sheetName val="PP prod. and Capacity "/>
      <sheetName val="RES"/>
      <sheetName val="PAMS levers"/>
      <sheetName val="CHP &amp; Boiler summary"/>
      <sheetName val="EB_Exist"/>
      <sheetName val="AFA"/>
      <sheetName val="REGIONS"/>
      <sheetName val="ITEMS_Comm_BASE_JM "/>
      <sheetName val="CommData_BASE_JM"/>
      <sheetName val="ITEM_Tech_BASE_JM "/>
      <sheetName val="ITEMS_P&amp;P_Constraints_JM"/>
      <sheetName val="Plants&amp;boilers_JM "/>
      <sheetName val="ProcData_Xtechs_JM"/>
      <sheetName val="ProcData_CHP_JM"/>
      <sheetName val="ITEMS_GRP_P&amp;P_JM"/>
      <sheetName val="ITEMS_Emiss_JM"/>
      <sheetName val="Links to constraints"/>
      <sheetName val="GPS Coordinates"/>
      <sheetName val="Deflat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2">
          <cell r="B2" t="b">
            <v>0</v>
          </cell>
        </row>
        <row r="3">
          <cell r="B3" t="str">
            <v>High</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and Log"/>
      <sheetName val="SEC_Comm"/>
      <sheetName val="SEC_Processes"/>
      <sheetName val="Process Input"/>
      <sheetName val="Index"/>
      <sheetName val="RES_Cr"/>
      <sheetName val="RES_Mn"/>
      <sheetName val="EB_Exist"/>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F_Mn_Cr - PAMS"/>
      <sheetName val="NetZero work"/>
      <sheetName val="Production and Capacity"/>
      <sheetName val="RES of chrome industry with EE"/>
      <sheetName val="ANSv2-692-ConstrData"/>
      <sheetName val="ANSv2-692-ITEMS"/>
      <sheetName val="ANSv2-692-TS DATA"/>
      <sheetName val="ANSv2-692-TID DATA"/>
      <sheetName val="ANSv2-692-TS&amp;TID DATA"/>
      <sheetName val="ANSv2-692-TS TRADE"/>
      <sheetName val="ANSv2-692-TID TRADE"/>
      <sheetName val="ANSv2-692-TS&amp;TID TRADE"/>
      <sheetName val="vt_REGION1_IND-FA"/>
    </sheetNames>
    <definedNames>
      <definedName name="FA_PAMS_index" refersTo="='Index'!$J$5"/>
    </definedNames>
    <sheetDataSet>
      <sheetData sheetId="0"/>
      <sheetData sheetId="1"/>
      <sheetData sheetId="2"/>
      <sheetData sheetId="3"/>
      <sheetData sheetId="4">
        <row r="5">
          <cell r="J5" t="b">
            <v>0</v>
          </cell>
        </row>
        <row r="9">
          <cell r="I9" t="str">
            <v>High</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ssues outstanding"/>
      <sheetName val="Log"/>
      <sheetName val="Index"/>
      <sheetName val="RES"/>
      <sheetName val="EB_Exist"/>
      <sheetName val="ANSv2-692-REGIONS"/>
      <sheetName val="ANSv2-692-Commodities"/>
      <sheetName val="Commodities_BASE"/>
      <sheetName val="ANSv2-692-Processes"/>
      <sheetName val="ANSv2-692-Constraints"/>
      <sheetName val="ANSv2-692-CommData"/>
      <sheetName val="Processes_BASE"/>
      <sheetName val="CommData_BASE"/>
      <sheetName val="ProcData_PGM"/>
      <sheetName val="ANSv2-692-ProcData"/>
      <sheetName val="ProcData_PGMexports"/>
      <sheetName val="PGM methodology"/>
      <sheetName val="Production of minerals"/>
      <sheetName val="Energy data"/>
      <sheetName val="Students report"/>
      <sheetName val="Mudd 2009 paper"/>
      <sheetName val="Sheet1"/>
      <sheetName val="Waterberg project"/>
      <sheetName val="Costs"/>
      <sheetName val="Students worksheet"/>
      <sheetName val="Minerals council report 2017"/>
      <sheetName val="Brunos EB"/>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row r="10">
          <cell r="M10" t="b">
            <v>0</v>
          </cell>
        </row>
        <row r="11">
          <cell r="M11" t="str">
            <v>High</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ion and Capacities"/>
      <sheetName val="Emissions"/>
      <sheetName val="Energy intensity"/>
      <sheetName val="DOE project"/>
      <sheetName val="AL roadmap "/>
      <sheetName val="ANSv2-692-Home"/>
      <sheetName val="Index"/>
      <sheetName val="RES"/>
      <sheetName val="EB_Exist"/>
      <sheetName val="Aluminium Data"/>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ALM"/>
      <sheetName val="ProcData_ALM - PAMS"/>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sheetData sheetId="3"/>
      <sheetData sheetId="4"/>
      <sheetData sheetId="5"/>
      <sheetData sheetId="6">
        <row r="9">
          <cell r="J9" t="b">
            <v>0</v>
          </cell>
        </row>
        <row r="10">
          <cell r="J10"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ersons/person.xml><?xml version="1.0" encoding="utf-8"?>
<personList xmlns="http://schemas.microsoft.com/office/spreadsheetml/2018/threadedcomments" xmlns:x="http://schemas.openxmlformats.org/spreadsheetml/2006/main">
  <person displayName="Bruno Merven" id="{AFD984B0-7FCA-4548-946E-FA56C0C853B8}" userId="Bruno Merven" providerId="None"/>
  <person displayName="bruno merven" id="{332B146D-08CA-48B2-8C95-0A5309FEBDAD}" userId="144eb91ed0ec640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9" dT="2021-04-09T13:25:24.30" personId="{AFD984B0-7FCA-4548-946E-FA56C0C853B8}" id="{67680548-6112-48C7-AC72-C916D0F9B352}">
    <text>Updated Diesel Balance</text>
  </threadedComment>
  <threadedComment ref="H52" dT="2021-04-09T13:25:13.58" personId="{AFD984B0-7FCA-4548-946E-FA56C0C853B8}" id="{5928A78B-1FD1-4105-B82D-7C9CBF7D7D8B}">
    <text>updated Gas Balance</text>
  </threadedComment>
  <threadedComment ref="B58" dT="2021-07-30T13:32:10.83" personId="{AFD984B0-7FCA-4548-946E-FA56C0C853B8}" id="{88782C11-BBD7-4FA0-8173-C6D21BB0C753}">
    <text>this is probably out by a factor of 2 and is used to balance total coal use.</text>
  </threadedComment>
  <threadedComment ref="I58" dT="2021-04-09T13:25:24.30" personId="{AFD984B0-7FCA-4548-946E-FA56C0C853B8}" id="{FC2E07BA-085B-4252-8B5B-27168F6F6AF3}">
    <text>Updated Diesel Balance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G14" dT="2019-09-13T09:48:15.86" personId="{332B146D-08CA-48B2-8C95-0A5309FEBDAD}" id="{96C27980-F8F1-4CDB-85E5-FFBD5D37C3AB}">
    <text>based on Derek's numbers for 2012. It should be slightly higher than this but sticking to import limit in EB.</text>
  </threadedComment>
  <threadedComment ref="E96" dT="2021-07-29T13:00:08.81" personId="{AFD984B0-7FCA-4548-946E-FA56C0C853B8}" id="{AA9E5FA4-597B-4742-8129-AA1AC9DEB2B6}">
    <text>Same as Commerce New</text>
  </threadedComment>
  <threadedComment ref="R96" dT="2021-07-29T13:14:08.07" personId="{AFD984B0-7FCA-4548-946E-FA56C0C853B8}" id="{7371293C-3D8E-4581-B79C-324E6FF3049C}">
    <text>based on Naegler et al 2015.</text>
  </threadedComment>
  <threadedComment ref="R162" dT="2021-07-29T13:22:02.99" personId="{AFD984B0-7FCA-4548-946E-FA56C0C853B8}" id="{3309F63F-7FA2-44F4-AFD9-1DF289A77F17}">
    <text>Average of Saygin 2014 and Naegler 2015.</text>
  </threadedComment>
  <threadedComment ref="C166" dT="2021-04-09T13:42:04.07" personId="{AFD984B0-7FCA-4548-946E-FA56C0C853B8}" id="{A3DC0B35-BF4A-4B33-8349-6F6FAC4AD041}">
    <text>Need to change this to ICPGMU once commodity has been added to RES/topology</text>
  </threadedComment>
  <threadedComment ref="R223" dT="2021-07-29T13:28:24.34" personId="{AFD984B0-7FCA-4548-946E-FA56C0C853B8}" id="{C22DBD76-6A18-4CB1-91E5-B47A87372780}">
    <text>Average of Saygin 2014 and Nagegler 2015</text>
  </threadedComment>
  <threadedComment ref="K225" dT="2021-04-20T12:48:50.49" personId="{AFD984B0-7FCA-4548-946E-FA56C0C853B8}" id="{2559AB22-9D95-4421-ABA3-E77F2EC4CD3F}">
    <text>All bagasse used in CHP plants (currently missing from model)</text>
  </threadedComment>
  <threadedComment ref="S265" dT="2021-07-29T13:35:37.29" personId="{AFD984B0-7FCA-4548-946E-FA56C0C853B8}" id="{B642980B-5BC3-4609-86F7-645888955D95}">
    <text>Naegler 2015.</text>
  </threadedComment>
</ThreadedComments>
</file>

<file path=xl/threadedComments/threadedComment3.xml><?xml version="1.0" encoding="utf-8"?>
<ThreadedComments xmlns="http://schemas.microsoft.com/office/spreadsheetml/2018/threadedcomments" xmlns:x="http://schemas.openxmlformats.org/spreadsheetml/2006/main">
  <threadedComment ref="G10" dT="2022-02-23T10:38:40.19" personId="{AFD984B0-7FCA-4548-946E-FA56C0C853B8}" id="{CDF7E1BC-555D-4D03-A881-32CABF0F4970}">
    <text>From DMRE EB</text>
  </threadedComment>
  <threadedComment ref="G12" dT="2022-02-23T10:38:40.19" personId="{AFD984B0-7FCA-4548-946E-FA56C0C853B8}" id="{ACE2788D-1B96-457B-806C-87A97403E0DF}">
    <text>From DMRE EB</text>
  </threadedComment>
  <threadedComment ref="H14" dT="2020-07-31T07:32:09.44" personId="{332B146D-08CA-48B2-8C95-0A5309FEBDAD}" id="{BE95FD93-31B8-4F7D-A33D-8224DFBFA9EB}">
    <text>From Sasol - in ESRG EB 2017</text>
  </threadedComment>
  <threadedComment ref="G15" dT="2022-02-23T10:38:40.19" personId="{AFD984B0-7FCA-4548-946E-FA56C0C853B8}" id="{908347E6-2EB0-4A93-BB40-54454D92B30A}">
    <text>From DMRE EB, excludes gas for material use</text>
  </threadedComment>
  <threadedComment ref="G17" dT="2022-02-23T10:38:40.19" personId="{AFD984B0-7FCA-4548-946E-FA56C0C853B8}" id="{C6960185-E510-40E3-A7D5-D6F454FC1729}">
    <text>From DMRE EB</text>
  </threadedComment>
  <threadedComment ref="G19" dT="2022-02-23T10:38:40.19" personId="{AFD984B0-7FCA-4548-946E-FA56C0C853B8}" id="{455948A2-577A-40B3-A6D3-4DFD17B01144}">
    <text>From DMRE EB</text>
  </threadedComment>
  <threadedComment ref="E96" dT="2021-07-29T13:00:08.81" personId="{AFD984B0-7FCA-4548-946E-FA56C0C853B8}" id="{438EEBAE-C6DE-4D95-A186-FB8DD21E22A9}">
    <text>Same as Commerce New</text>
  </threadedComment>
  <threadedComment ref="O96" dT="2021-07-29T13:14:08.07" personId="{AFD984B0-7FCA-4548-946E-FA56C0C853B8}" id="{B9095C67-4FBB-4A94-811E-5F4D0F103E84}">
    <text>based on Naegler et al 2015.</text>
  </threadedComment>
  <threadedComment ref="C101" dT="2021-04-09T13:42:44.17" personId="{AFD984B0-7FCA-4548-946E-FA56C0C853B8}" id="{FD5A7AB5-70B8-41C9-BB14-94B90A8DF78A}">
    <text>Still need to add H2 based tech</text>
  </threadedComment>
  <threadedComment ref="O120" dT="2021-07-29T13:22:02.99" personId="{AFD984B0-7FCA-4548-946E-FA56C0C853B8}" id="{16AF8BCC-B711-41D6-95BD-A77818D0BEFF}">
    <text>Average of Saygin 2014 and Naegler 2015.</text>
  </threadedComment>
  <threadedComment ref="K124" dT="2022-02-22T10:46:57.65" personId="{AFD984B0-7FCA-4548-946E-FA56C0C853B8}" id="{5C3E8C51-2AE3-4D71-A4E8-F6F154C651D3}">
    <text>From Gas Balance - used for polymers etc.</text>
  </threadedComment>
  <threadedComment ref="O162" dT="2021-07-29T13:28:24.34" personId="{AFD984B0-7FCA-4548-946E-FA56C0C853B8}" id="{053FB0CB-74D1-468D-949E-8F84503664D8}">
    <text>Average of Saygin 2014 and Nagegler 2015</text>
  </threadedComment>
  <threadedComment ref="P184" dT="2021-07-29T13:35:37.29" personId="{AFD984B0-7FCA-4548-946E-FA56C0C853B8}" id="{88DD101A-68D2-4551-94F4-BB819052EC8C}">
    <text>Naegler 2015.</text>
  </threadedComment>
  <threadedComment ref="C188" dT="2021-04-09T13:43:22.89" personId="{AFD984B0-7FCA-4548-946E-FA56C0C853B8}" id="{27E55DBF-2AA0-4EE1-B02D-134D0CB5E6D6}">
    <text>still need to add h2 based tech</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statssa.gov.za/classifications/codelists/Web_SIC7a/SIC_7_Final_Manual_Errata.pdf"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3.bin"/><Relationship Id="rId1" Type="http://schemas.openxmlformats.org/officeDocument/2006/relationships/hyperlink" Target="https://www.energy.gov/eere/amo/articles/cibo-energy-efficiency-handbook" TargetMode="Externa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5:F23"/>
  <sheetViews>
    <sheetView workbookViewId="0">
      <selection activeCell="F34" sqref="F34"/>
    </sheetView>
  </sheetViews>
  <sheetFormatPr defaultRowHeight="12.75"/>
  <cols>
    <col min="1" max="1" width="18.25" customWidth="1"/>
  </cols>
  <sheetData>
    <row r="5" spans="1:6">
      <c r="A5" s="26" t="s">
        <v>0</v>
      </c>
      <c r="B5" s="26">
        <v>0</v>
      </c>
    </row>
    <row r="6" spans="1:6">
      <c r="B6" s="26">
        <v>0</v>
      </c>
      <c r="C6" s="26" t="s">
        <v>1</v>
      </c>
    </row>
    <row r="7" spans="1:6">
      <c r="B7" s="26">
        <v>1</v>
      </c>
      <c r="C7" s="26" t="s">
        <v>2</v>
      </c>
    </row>
    <row r="10" spans="1:6">
      <c r="A10" s="26" t="s">
        <v>3</v>
      </c>
      <c r="B10">
        <v>1</v>
      </c>
      <c r="C10" s="26" t="s">
        <v>4</v>
      </c>
    </row>
    <row r="11" spans="1:6">
      <c r="A11" s="26" t="s">
        <v>5</v>
      </c>
      <c r="B11">
        <v>1.3094103081137336</v>
      </c>
    </row>
    <row r="15" spans="1:6" ht="13.5" thickBot="1">
      <c r="D15" s="26" t="s">
        <v>6</v>
      </c>
    </row>
    <row r="16" spans="1:6">
      <c r="D16" s="164"/>
      <c r="E16" s="156"/>
      <c r="F16" s="157"/>
    </row>
    <row r="17" spans="4:6">
      <c r="D17" s="160" t="s">
        <v>7</v>
      </c>
      <c r="E17">
        <v>0</v>
      </c>
      <c r="F17" s="159"/>
    </row>
    <row r="18" spans="4:6">
      <c r="D18" s="160" t="s">
        <v>8</v>
      </c>
      <c r="E18">
        <v>0</v>
      </c>
      <c r="F18" s="159"/>
    </row>
    <row r="19" spans="4:6">
      <c r="D19" s="160" t="s">
        <v>9</v>
      </c>
      <c r="E19">
        <v>0</v>
      </c>
      <c r="F19" s="159"/>
    </row>
    <row r="20" spans="4:6">
      <c r="D20" s="160" t="s">
        <v>10</v>
      </c>
      <c r="E20">
        <v>0</v>
      </c>
      <c r="F20" s="159"/>
    </row>
    <row r="21" spans="4:6">
      <c r="D21" s="160" t="s">
        <v>11</v>
      </c>
      <c r="E21">
        <v>1</v>
      </c>
      <c r="F21" s="159"/>
    </row>
    <row r="22" spans="4:6">
      <c r="D22" s="160"/>
      <c r="F22" s="159"/>
    </row>
    <row r="23" spans="4:6" ht="13.5" thickBot="1">
      <c r="D23" s="161"/>
      <c r="E23" s="162"/>
      <c r="F23" s="163"/>
    </row>
  </sheetData>
  <dataValidations count="1">
    <dataValidation type="list" allowBlank="1" showInputMessage="1" showErrorMessage="1" sqref="B5" xr:uid="{00000000-0002-0000-0100-000000000000}">
      <formula1>$B$6:$B$7</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3"/>
  <dimension ref="A1:H49"/>
  <sheetViews>
    <sheetView topLeftCell="A21" workbookViewId="0">
      <selection activeCell="B58" sqref="B58"/>
    </sheetView>
  </sheetViews>
  <sheetFormatPr defaultColWidth="8" defaultRowHeight="15"/>
  <cols>
    <col min="1" max="1" width="72.75" style="89" customWidth="1"/>
    <col min="2" max="2" width="20.375" style="89" customWidth="1"/>
    <col min="3" max="7" width="8" style="89"/>
    <col min="8" max="8" width="14.375" style="89" customWidth="1"/>
    <col min="9" max="16384" width="8" style="89"/>
  </cols>
  <sheetData>
    <row r="1" spans="1:8" ht="18.75">
      <c r="A1" s="88" t="s">
        <v>12</v>
      </c>
    </row>
    <row r="3" spans="1:8">
      <c r="A3" s="110" t="s">
        <v>13</v>
      </c>
      <c r="B3" s="110" t="s">
        <v>14</v>
      </c>
      <c r="C3" s="110" t="s">
        <v>15</v>
      </c>
    </row>
    <row r="4" spans="1:8">
      <c r="A4" s="111" t="s">
        <v>16</v>
      </c>
      <c r="B4" s="178">
        <v>40025</v>
      </c>
      <c r="C4" s="112" t="s">
        <v>17</v>
      </c>
      <c r="H4" s="98">
        <f ca="1">NOW()</f>
        <v>43715.596303356484</v>
      </c>
    </row>
    <row r="5" spans="1:8">
      <c r="A5" s="111" t="s">
        <v>18</v>
      </c>
      <c r="B5" s="178">
        <v>40025</v>
      </c>
      <c r="C5" s="112" t="s">
        <v>17</v>
      </c>
    </row>
    <row r="6" spans="1:8">
      <c r="A6" s="113" t="s">
        <v>19</v>
      </c>
      <c r="B6" s="178">
        <v>40037</v>
      </c>
      <c r="C6" s="112" t="s">
        <v>17</v>
      </c>
    </row>
    <row r="7" spans="1:8">
      <c r="A7" s="246" t="s">
        <v>20</v>
      </c>
      <c r="B7" s="179">
        <v>40140.622489236113</v>
      </c>
      <c r="C7" s="247" t="s">
        <v>17</v>
      </c>
    </row>
    <row r="8" spans="1:8">
      <c r="A8" s="111"/>
      <c r="B8" s="177"/>
      <c r="C8" s="112"/>
    </row>
    <row r="9" spans="1:8">
      <c r="A9" s="111"/>
      <c r="B9" s="177"/>
      <c r="C9" s="112"/>
    </row>
    <row r="10" spans="1:8">
      <c r="A10" s="246" t="s">
        <v>21</v>
      </c>
      <c r="B10" s="180">
        <v>40209</v>
      </c>
      <c r="C10" s="247" t="s">
        <v>22</v>
      </c>
    </row>
    <row r="11" spans="1:8">
      <c r="A11" s="246" t="s">
        <v>23</v>
      </c>
      <c r="B11" s="180">
        <v>40368.67643796296</v>
      </c>
      <c r="C11" s="247" t="s">
        <v>17</v>
      </c>
    </row>
    <row r="12" spans="1:8">
      <c r="A12" s="111"/>
      <c r="B12" s="177"/>
      <c r="C12" s="112"/>
    </row>
    <row r="13" spans="1:8">
      <c r="A13" s="246" t="s">
        <v>24</v>
      </c>
      <c r="B13" s="180">
        <v>40633</v>
      </c>
      <c r="C13" s="247" t="s">
        <v>22</v>
      </c>
    </row>
    <row r="14" spans="1:8">
      <c r="A14" s="111"/>
      <c r="B14" s="177"/>
      <c r="C14" s="112"/>
    </row>
    <row r="15" spans="1:8">
      <c r="A15" s="246" t="s">
        <v>25</v>
      </c>
      <c r="B15" s="274">
        <v>41328.511239814812</v>
      </c>
      <c r="C15" s="247" t="s">
        <v>26</v>
      </c>
    </row>
    <row r="16" spans="1:8" ht="45">
      <c r="A16" s="246" t="s">
        <v>27</v>
      </c>
      <c r="B16" s="275"/>
      <c r="C16" s="247" t="s">
        <v>26</v>
      </c>
    </row>
    <row r="17" spans="1:3">
      <c r="A17" s="111"/>
      <c r="B17" s="177"/>
      <c r="C17" s="112"/>
    </row>
    <row r="18" spans="1:3" ht="30">
      <c r="A18" s="246" t="s">
        <v>28</v>
      </c>
      <c r="B18" s="178">
        <v>41333.701432175927</v>
      </c>
      <c r="C18" s="247" t="s">
        <v>26</v>
      </c>
    </row>
    <row r="19" spans="1:3">
      <c r="A19" s="175" t="s">
        <v>29</v>
      </c>
      <c r="B19" s="181">
        <v>41450.444665162038</v>
      </c>
      <c r="C19" s="176" t="s">
        <v>26</v>
      </c>
    </row>
    <row r="20" spans="1:3">
      <c r="A20" s="246" t="s">
        <v>30</v>
      </c>
      <c r="B20" s="276">
        <v>41513</v>
      </c>
      <c r="C20" s="247" t="s">
        <v>26</v>
      </c>
    </row>
    <row r="21" spans="1:3" ht="30">
      <c r="A21" s="246" t="s">
        <v>31</v>
      </c>
      <c r="B21" s="277"/>
      <c r="C21" s="112"/>
    </row>
    <row r="22" spans="1:3">
      <c r="A22" s="246" t="s">
        <v>32</v>
      </c>
      <c r="B22" s="278"/>
      <c r="C22" s="112"/>
    </row>
    <row r="23" spans="1:3">
      <c r="A23" s="246" t="s">
        <v>33</v>
      </c>
      <c r="B23" s="272" t="s">
        <v>34</v>
      </c>
      <c r="C23" s="247" t="s">
        <v>26</v>
      </c>
    </row>
    <row r="24" spans="1:3">
      <c r="A24" s="246" t="s">
        <v>35</v>
      </c>
      <c r="B24" s="279"/>
      <c r="C24" s="112"/>
    </row>
    <row r="25" spans="1:3">
      <c r="A25" s="246" t="s">
        <v>36</v>
      </c>
      <c r="B25" s="273"/>
      <c r="C25" s="112"/>
    </row>
    <row r="26" spans="1:3">
      <c r="A26" s="246" t="s">
        <v>37</v>
      </c>
      <c r="B26" s="272" t="s">
        <v>38</v>
      </c>
      <c r="C26" s="247" t="s">
        <v>26</v>
      </c>
    </row>
    <row r="27" spans="1:3">
      <c r="A27" s="246" t="s">
        <v>39</v>
      </c>
      <c r="B27" s="273"/>
      <c r="C27" s="112"/>
    </row>
    <row r="28" spans="1:3" ht="30">
      <c r="A28" s="246" t="s">
        <v>40</v>
      </c>
      <c r="B28" s="248" t="s">
        <v>41</v>
      </c>
      <c r="C28" s="247" t="s">
        <v>26</v>
      </c>
    </row>
    <row r="29" spans="1:3">
      <c r="A29" s="249" t="s">
        <v>42</v>
      </c>
      <c r="B29" s="177"/>
      <c r="C29" s="112"/>
    </row>
    <row r="30" spans="1:3">
      <c r="A30" s="246" t="s">
        <v>43</v>
      </c>
      <c r="B30" s="272" t="s">
        <v>44</v>
      </c>
      <c r="C30" s="247" t="s">
        <v>26</v>
      </c>
    </row>
    <row r="31" spans="1:3" ht="30">
      <c r="A31" s="246" t="s">
        <v>45</v>
      </c>
      <c r="B31" s="273"/>
      <c r="C31" s="112"/>
    </row>
    <row r="32" spans="1:3" ht="30">
      <c r="A32" s="246" t="s">
        <v>46</v>
      </c>
      <c r="B32" s="271" t="s">
        <v>47</v>
      </c>
      <c r="C32" s="247" t="s">
        <v>26</v>
      </c>
    </row>
    <row r="33" spans="1:3">
      <c r="A33" s="247" t="s">
        <v>48</v>
      </c>
      <c r="B33" s="271"/>
      <c r="C33" s="112"/>
    </row>
    <row r="34" spans="1:3">
      <c r="A34" s="247" t="s">
        <v>49</v>
      </c>
      <c r="B34" s="271"/>
      <c r="C34" s="112"/>
    </row>
    <row r="35" spans="1:3">
      <c r="A35" s="215" t="s">
        <v>50</v>
      </c>
      <c r="B35" s="269" t="s">
        <v>51</v>
      </c>
      <c r="C35" s="215" t="s">
        <v>26</v>
      </c>
    </row>
    <row r="36" spans="1:3">
      <c r="A36" s="215" t="s">
        <v>52</v>
      </c>
      <c r="B36" s="270"/>
    </row>
    <row r="37" spans="1:3">
      <c r="A37" s="215" t="s">
        <v>53</v>
      </c>
      <c r="B37" s="215" t="s">
        <v>54</v>
      </c>
      <c r="C37" s="215" t="s">
        <v>55</v>
      </c>
    </row>
    <row r="38" spans="1:3">
      <c r="A38" s="215" t="s">
        <v>56</v>
      </c>
      <c r="B38" s="215" t="s">
        <v>57</v>
      </c>
      <c r="C38" s="215" t="s">
        <v>55</v>
      </c>
    </row>
    <row r="39" spans="1:3">
      <c r="A39" s="250" t="s">
        <v>58</v>
      </c>
      <c r="B39" s="250" t="s">
        <v>59</v>
      </c>
      <c r="C39" s="250" t="s">
        <v>26</v>
      </c>
    </row>
    <row r="40" spans="1:3">
      <c r="A40" s="215" t="s">
        <v>60</v>
      </c>
      <c r="B40" s="195">
        <v>41713</v>
      </c>
      <c r="C40" s="215" t="s">
        <v>55</v>
      </c>
    </row>
    <row r="41" spans="1:3">
      <c r="A41" s="215"/>
    </row>
    <row r="42" spans="1:3">
      <c r="A42" s="215" t="s">
        <v>61</v>
      </c>
      <c r="B42" s="195">
        <v>42833</v>
      </c>
      <c r="C42" s="215" t="s">
        <v>26</v>
      </c>
    </row>
    <row r="43" spans="1:3">
      <c r="A43" s="215" t="s">
        <v>62</v>
      </c>
      <c r="B43" s="195">
        <v>42836</v>
      </c>
      <c r="C43" s="215" t="s">
        <v>26</v>
      </c>
    </row>
    <row r="44" spans="1:3">
      <c r="A44" s="215" t="s">
        <v>63</v>
      </c>
      <c r="B44" s="195">
        <v>42906</v>
      </c>
      <c r="C44" s="215" t="s">
        <v>26</v>
      </c>
    </row>
    <row r="45" spans="1:3">
      <c r="A45" s="215" t="s">
        <v>64</v>
      </c>
      <c r="B45" s="195">
        <v>42914</v>
      </c>
      <c r="C45" s="215" t="s">
        <v>26</v>
      </c>
    </row>
    <row r="46" spans="1:3">
      <c r="A46" s="215" t="s">
        <v>65</v>
      </c>
      <c r="B46" s="195">
        <v>42930</v>
      </c>
      <c r="C46" s="215" t="s">
        <v>55</v>
      </c>
    </row>
    <row r="47" spans="1:3">
      <c r="A47" s="258" t="s">
        <v>612</v>
      </c>
      <c r="B47" s="195">
        <v>43693</v>
      </c>
      <c r="C47" s="258" t="s">
        <v>55</v>
      </c>
    </row>
    <row r="48" spans="1:3">
      <c r="A48" s="258" t="s">
        <v>613</v>
      </c>
    </row>
    <row r="49" spans="1:1">
      <c r="A49" s="267" t="s">
        <v>833</v>
      </c>
    </row>
  </sheetData>
  <mergeCells count="7">
    <mergeCell ref="B35:B36"/>
    <mergeCell ref="B32:B34"/>
    <mergeCell ref="B30:B31"/>
    <mergeCell ref="B15:B16"/>
    <mergeCell ref="B20:B22"/>
    <mergeCell ref="B23:B25"/>
    <mergeCell ref="B26:B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7"/>
  <dimension ref="D3:V53"/>
  <sheetViews>
    <sheetView topLeftCell="C1" workbookViewId="0">
      <selection activeCell="D41" sqref="D41:E53"/>
    </sheetView>
  </sheetViews>
  <sheetFormatPr defaultColWidth="7.625" defaultRowHeight="12.75"/>
  <cols>
    <col min="4" max="4" width="32.5" customWidth="1"/>
    <col min="5" max="5" width="10.375" customWidth="1"/>
    <col min="6" max="6" width="10.25" customWidth="1"/>
    <col min="7" max="7" width="17.75" customWidth="1"/>
  </cols>
  <sheetData>
    <row r="3" spans="4:7">
      <c r="D3" s="90" t="s">
        <v>66</v>
      </c>
      <c r="E3" s="90" t="s">
        <v>67</v>
      </c>
    </row>
    <row r="4" spans="4:7">
      <c r="D4" s="72" t="s">
        <v>68</v>
      </c>
      <c r="E4" s="72" t="s">
        <v>69</v>
      </c>
      <c r="G4" s="72" t="s">
        <v>68</v>
      </c>
    </row>
    <row r="5" spans="4:7">
      <c r="D5" s="72" t="s">
        <v>70</v>
      </c>
      <c r="E5" s="72" t="s">
        <v>71</v>
      </c>
      <c r="G5" s="72" t="s">
        <v>70</v>
      </c>
    </row>
    <row r="6" spans="4:7">
      <c r="D6" s="72" t="s">
        <v>72</v>
      </c>
      <c r="E6" s="72" t="s">
        <v>73</v>
      </c>
      <c r="G6" s="72" t="s">
        <v>72</v>
      </c>
    </row>
    <row r="7" spans="4:7">
      <c r="D7" s="72" t="s">
        <v>74</v>
      </c>
      <c r="E7" s="72" t="s">
        <v>75</v>
      </c>
      <c r="G7" s="72" t="s">
        <v>72</v>
      </c>
    </row>
    <row r="8" spans="4:7">
      <c r="D8" s="72" t="s">
        <v>76</v>
      </c>
      <c r="E8" s="72" t="s">
        <v>77</v>
      </c>
      <c r="G8" s="72" t="s">
        <v>76</v>
      </c>
    </row>
    <row r="9" spans="4:7">
      <c r="D9" s="72" t="s">
        <v>78</v>
      </c>
      <c r="E9" s="72" t="s">
        <v>79</v>
      </c>
      <c r="G9" s="72" t="s">
        <v>78</v>
      </c>
    </row>
    <row r="10" spans="4:7">
      <c r="D10" s="72" t="s">
        <v>80</v>
      </c>
      <c r="E10" s="72" t="s">
        <v>81</v>
      </c>
      <c r="G10" s="72" t="s">
        <v>80</v>
      </c>
    </row>
    <row r="11" spans="4:7">
      <c r="D11" s="72" t="s">
        <v>82</v>
      </c>
      <c r="E11" s="72" t="s">
        <v>83</v>
      </c>
      <c r="G11" s="72" t="s">
        <v>82</v>
      </c>
    </row>
    <row r="12" spans="4:7">
      <c r="D12" s="72" t="s">
        <v>84</v>
      </c>
      <c r="E12" s="72" t="s">
        <v>85</v>
      </c>
      <c r="G12" s="72" t="s">
        <v>84</v>
      </c>
    </row>
    <row r="13" spans="4:7">
      <c r="D13" s="72" t="s">
        <v>86</v>
      </c>
      <c r="E13" s="72" t="s">
        <v>87</v>
      </c>
      <c r="G13" s="72" t="s">
        <v>86</v>
      </c>
    </row>
    <row r="14" spans="4:7">
      <c r="D14" s="72" t="s">
        <v>88</v>
      </c>
      <c r="E14" s="72" t="s">
        <v>89</v>
      </c>
      <c r="G14" s="72" t="s">
        <v>88</v>
      </c>
    </row>
    <row r="15" spans="4:7">
      <c r="D15" s="2" t="s">
        <v>90</v>
      </c>
      <c r="E15" s="2" t="s">
        <v>91</v>
      </c>
      <c r="G15" s="2" t="s">
        <v>90</v>
      </c>
    </row>
    <row r="16" spans="4:7">
      <c r="D16" s="2" t="s">
        <v>92</v>
      </c>
      <c r="E16" s="2" t="s">
        <v>93</v>
      </c>
      <c r="G16" s="2" t="s">
        <v>92</v>
      </c>
    </row>
    <row r="17" spans="4:22">
      <c r="D17" s="2" t="s">
        <v>94</v>
      </c>
      <c r="E17" s="2" t="s">
        <v>95</v>
      </c>
      <c r="G17" s="2" t="s">
        <v>94</v>
      </c>
    </row>
    <row r="18" spans="4:22">
      <c r="D18" s="2" t="s">
        <v>96</v>
      </c>
      <c r="E18" s="2" t="s">
        <v>97</v>
      </c>
      <c r="G18" s="2" t="s">
        <v>96</v>
      </c>
    </row>
    <row r="19" spans="4:22">
      <c r="D19" s="2" t="s">
        <v>98</v>
      </c>
      <c r="E19" s="2" t="s">
        <v>99</v>
      </c>
      <c r="G19" s="2" t="s">
        <v>98</v>
      </c>
    </row>
    <row r="20" spans="4:22">
      <c r="D20" s="28" t="s">
        <v>100</v>
      </c>
      <c r="E20" s="1" t="s">
        <v>101</v>
      </c>
      <c r="G20" s="1" t="s">
        <v>102</v>
      </c>
      <c r="H20" s="1"/>
      <c r="S20" s="26"/>
      <c r="T20" s="6"/>
    </row>
    <row r="21" spans="4:22">
      <c r="D21" s="26" t="s">
        <v>103</v>
      </c>
      <c r="E21" s="2" t="s">
        <v>104</v>
      </c>
      <c r="F21" s="26" t="s">
        <v>103</v>
      </c>
      <c r="G21">
        <v>2</v>
      </c>
      <c r="H21" s="26"/>
      <c r="S21" s="26"/>
    </row>
    <row r="22" spans="4:22">
      <c r="D22" s="2" t="s">
        <v>105</v>
      </c>
      <c r="E22" s="2" t="s">
        <v>8</v>
      </c>
      <c r="F22" s="2" t="s">
        <v>105</v>
      </c>
      <c r="H22" s="26"/>
      <c r="I22" t="s">
        <v>104</v>
      </c>
      <c r="J22" t="str">
        <f>VLOOKUP(I22,E21:F30,2,FALSE)</f>
        <v>Mining</v>
      </c>
      <c r="S22" s="26"/>
    </row>
    <row r="23" spans="4:22">
      <c r="D23" s="26" t="s">
        <v>106</v>
      </c>
      <c r="E23" s="2" t="s">
        <v>107</v>
      </c>
      <c r="F23" s="26" t="s">
        <v>106</v>
      </c>
      <c r="G23" s="2">
        <v>351</v>
      </c>
      <c r="T23" s="26"/>
      <c r="V23" s="26"/>
    </row>
    <row r="24" spans="4:22">
      <c r="D24" s="26" t="s">
        <v>108</v>
      </c>
      <c r="E24" s="2" t="s">
        <v>109</v>
      </c>
      <c r="F24" s="26" t="s">
        <v>108</v>
      </c>
      <c r="G24">
        <v>33</v>
      </c>
    </row>
    <row r="25" spans="4:22">
      <c r="D25" s="26" t="s">
        <v>110</v>
      </c>
      <c r="E25" s="2" t="s">
        <v>111</v>
      </c>
      <c r="F25" s="26" t="s">
        <v>110</v>
      </c>
      <c r="G25">
        <v>352</v>
      </c>
      <c r="T25" s="26"/>
      <c r="V25" s="26"/>
    </row>
    <row r="26" spans="4:22">
      <c r="D26" s="26" t="s">
        <v>112</v>
      </c>
      <c r="E26" s="2" t="s">
        <v>113</v>
      </c>
      <c r="F26" s="26" t="s">
        <v>112</v>
      </c>
      <c r="G26">
        <v>34</v>
      </c>
    </row>
    <row r="27" spans="4:22">
      <c r="D27" s="26" t="s">
        <v>114</v>
      </c>
      <c r="E27" s="2" t="s">
        <v>115</v>
      </c>
      <c r="F27" s="26" t="s">
        <v>114</v>
      </c>
      <c r="G27">
        <v>30</v>
      </c>
      <c r="T27" s="26"/>
    </row>
    <row r="28" spans="4:22">
      <c r="D28" s="26" t="s">
        <v>116</v>
      </c>
      <c r="E28" s="2" t="s">
        <v>11</v>
      </c>
      <c r="F28" s="26" t="s">
        <v>116</v>
      </c>
      <c r="G28">
        <v>323</v>
      </c>
    </row>
    <row r="29" spans="4:22">
      <c r="D29" s="26" t="s">
        <v>117</v>
      </c>
      <c r="E29" s="2" t="s">
        <v>9</v>
      </c>
      <c r="F29" s="26" t="s">
        <v>117</v>
      </c>
      <c r="T29" s="26"/>
    </row>
    <row r="30" spans="4:22">
      <c r="D30" t="s">
        <v>118</v>
      </c>
      <c r="E30" s="2" t="s">
        <v>119</v>
      </c>
      <c r="F30" t="s">
        <v>118</v>
      </c>
    </row>
    <row r="31" spans="4:22">
      <c r="T31" s="26"/>
    </row>
    <row r="33" spans="4:20">
      <c r="T33" s="26"/>
    </row>
    <row r="34" spans="4:20">
      <c r="T34" s="26"/>
    </row>
    <row r="35" spans="4:20">
      <c r="T35" s="26"/>
    </row>
    <row r="37" spans="4:20">
      <c r="E37" s="107" t="s">
        <v>120</v>
      </c>
      <c r="F37" s="108">
        <v>1E-8</v>
      </c>
      <c r="S37" s="26"/>
    </row>
    <row r="41" spans="4:20">
      <c r="D41" s="28" t="s">
        <v>634</v>
      </c>
      <c r="E41" s="28" t="s">
        <v>633</v>
      </c>
    </row>
    <row r="42" spans="4:20">
      <c r="D42" t="s">
        <v>260</v>
      </c>
      <c r="E42" t="s">
        <v>321</v>
      </c>
      <c r="H42" s="109" t="s">
        <v>103</v>
      </c>
      <c r="I42" s="24" t="s">
        <v>121</v>
      </c>
      <c r="J42" s="24" t="s">
        <v>122</v>
      </c>
      <c r="K42" s="24" t="s">
        <v>123</v>
      </c>
      <c r="L42" s="24" t="s">
        <v>124</v>
      </c>
      <c r="M42" s="24" t="s">
        <v>125</v>
      </c>
      <c r="N42" s="24" t="s">
        <v>126</v>
      </c>
      <c r="O42" s="24" t="s">
        <v>118</v>
      </c>
    </row>
    <row r="43" spans="4:20">
      <c r="D43" t="s">
        <v>261</v>
      </c>
      <c r="E43" t="s">
        <v>280</v>
      </c>
      <c r="H43" s="24"/>
      <c r="I43" s="24" t="s">
        <v>127</v>
      </c>
      <c r="J43" s="24" t="s">
        <v>128</v>
      </c>
      <c r="K43" s="24"/>
      <c r="L43" s="24"/>
      <c r="M43" s="24"/>
      <c r="N43" s="24"/>
      <c r="O43" s="24"/>
    </row>
    <row r="44" spans="4:20">
      <c r="D44" t="s">
        <v>262</v>
      </c>
      <c r="E44" t="s">
        <v>281</v>
      </c>
      <c r="H44" s="24"/>
      <c r="I44" s="24"/>
      <c r="J44" s="24" t="s">
        <v>129</v>
      </c>
      <c r="K44" s="24"/>
      <c r="L44" s="24"/>
      <c r="M44" s="24"/>
      <c r="N44" s="24"/>
      <c r="O44" s="24"/>
    </row>
    <row r="45" spans="4:20">
      <c r="D45" t="s">
        <v>264</v>
      </c>
      <c r="E45" t="s">
        <v>282</v>
      </c>
      <c r="H45" s="24"/>
      <c r="I45" s="24"/>
      <c r="J45" s="24" t="s">
        <v>130</v>
      </c>
      <c r="K45" s="24"/>
      <c r="L45" s="24"/>
      <c r="M45" s="24"/>
      <c r="N45" s="24"/>
      <c r="O45" s="24"/>
    </row>
    <row r="46" spans="4:20">
      <c r="D46" t="s">
        <v>265</v>
      </c>
      <c r="E46" t="s">
        <v>283</v>
      </c>
      <c r="H46" s="24"/>
      <c r="I46" s="24"/>
      <c r="J46" s="24" t="s">
        <v>131</v>
      </c>
      <c r="K46" s="24"/>
      <c r="L46" s="24"/>
      <c r="M46" s="24"/>
      <c r="N46" s="24"/>
      <c r="O46" s="24"/>
    </row>
    <row r="47" spans="4:20">
      <c r="D47" t="s">
        <v>266</v>
      </c>
      <c r="E47" t="s">
        <v>284</v>
      </c>
      <c r="H47" s="24"/>
      <c r="I47" s="24"/>
      <c r="J47" s="24" t="s">
        <v>132</v>
      </c>
      <c r="K47" s="24"/>
      <c r="L47" s="24"/>
      <c r="M47" s="24"/>
      <c r="N47" s="24"/>
      <c r="O47" s="24"/>
    </row>
    <row r="48" spans="4:20">
      <c r="D48" t="s">
        <v>267</v>
      </c>
      <c r="E48" t="s">
        <v>285</v>
      </c>
      <c r="H48" s="24"/>
      <c r="I48" s="24"/>
      <c r="J48" s="24" t="s">
        <v>133</v>
      </c>
      <c r="K48" s="24"/>
      <c r="L48" s="24"/>
      <c r="M48" s="24"/>
      <c r="N48" s="24"/>
      <c r="O48" s="24"/>
    </row>
    <row r="49" spans="4:15">
      <c r="D49" t="s">
        <v>268</v>
      </c>
      <c r="E49" t="s">
        <v>286</v>
      </c>
      <c r="H49" s="24"/>
      <c r="I49" s="24"/>
      <c r="J49" s="24" t="s">
        <v>134</v>
      </c>
      <c r="K49" s="24"/>
      <c r="L49" s="24"/>
      <c r="M49" s="24"/>
      <c r="N49" s="24"/>
      <c r="O49" s="24"/>
    </row>
    <row r="50" spans="4:15">
      <c r="D50" t="s">
        <v>269</v>
      </c>
      <c r="E50" t="s">
        <v>287</v>
      </c>
    </row>
    <row r="51" spans="4:15">
      <c r="D51" t="s">
        <v>270</v>
      </c>
      <c r="E51" t="s">
        <v>481</v>
      </c>
    </row>
    <row r="52" spans="4:15">
      <c r="D52" t="s">
        <v>272</v>
      </c>
      <c r="E52" t="s">
        <v>271</v>
      </c>
    </row>
    <row r="53" spans="4:15">
      <c r="D53" t="s">
        <v>274</v>
      </c>
      <c r="E53" t="s">
        <v>273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dimension ref="A1:E36"/>
  <sheetViews>
    <sheetView workbookViewId="0">
      <selection activeCell="C13" sqref="C13"/>
    </sheetView>
  </sheetViews>
  <sheetFormatPr defaultColWidth="11" defaultRowHeight="12.75"/>
  <cols>
    <col min="1" max="1" width="14.375" customWidth="1"/>
    <col min="2" max="2" width="22.375" customWidth="1"/>
    <col min="3" max="3" width="28.25" customWidth="1"/>
    <col min="4" max="4" width="62.25" customWidth="1"/>
  </cols>
  <sheetData>
    <row r="1" spans="1:5">
      <c r="A1" t="s">
        <v>135</v>
      </c>
      <c r="B1" t="s">
        <v>136</v>
      </c>
      <c r="C1" t="s">
        <v>137</v>
      </c>
      <c r="D1" t="s">
        <v>138</v>
      </c>
      <c r="E1" t="s">
        <v>139</v>
      </c>
    </row>
    <row r="3" spans="1:5">
      <c r="A3" t="s">
        <v>140</v>
      </c>
      <c r="B3" t="s">
        <v>141</v>
      </c>
    </row>
    <row r="4" spans="1:5">
      <c r="A4" t="s">
        <v>140</v>
      </c>
      <c r="B4" t="s">
        <v>142</v>
      </c>
    </row>
    <row r="5" spans="1:5">
      <c r="A5" t="s">
        <v>140</v>
      </c>
      <c r="B5" t="s">
        <v>143</v>
      </c>
    </row>
    <row r="6" spans="1:5">
      <c r="A6" t="s">
        <v>144</v>
      </c>
    </row>
    <row r="8" spans="1:5">
      <c r="A8" t="s">
        <v>145</v>
      </c>
    </row>
    <row r="10" spans="1:5">
      <c r="D10" t="s">
        <v>146</v>
      </c>
    </row>
    <row r="12" spans="1:5">
      <c r="A12" t="s">
        <v>147</v>
      </c>
      <c r="B12" t="s">
        <v>148</v>
      </c>
      <c r="C12" t="s">
        <v>149</v>
      </c>
      <c r="D12" t="s">
        <v>150</v>
      </c>
      <c r="E12" t="s">
        <v>151</v>
      </c>
    </row>
    <row r="13" spans="1:5" s="15" customFormat="1" ht="127.5">
      <c r="A13" s="15">
        <v>2</v>
      </c>
      <c r="C13" s="15" t="s">
        <v>152</v>
      </c>
      <c r="D13" s="15" t="s">
        <v>153</v>
      </c>
    </row>
    <row r="14" spans="1:5" s="15" customFormat="1">
      <c r="A14" s="15">
        <v>21</v>
      </c>
      <c r="B14" s="15" t="s">
        <v>154</v>
      </c>
      <c r="C14" s="15" t="s">
        <v>155</v>
      </c>
    </row>
    <row r="15" spans="1:5" s="15" customFormat="1" ht="25.5">
      <c r="A15" s="15">
        <v>22</v>
      </c>
      <c r="C15" s="15" t="s">
        <v>156</v>
      </c>
      <c r="D15" s="15" t="s">
        <v>157</v>
      </c>
    </row>
    <row r="16" spans="1:5" s="15" customFormat="1">
      <c r="A16" s="15">
        <v>23</v>
      </c>
      <c r="C16" s="15" t="s">
        <v>158</v>
      </c>
    </row>
    <row r="17" spans="1:4" s="15" customFormat="1" ht="25.5">
      <c r="A17" s="15">
        <v>24</v>
      </c>
      <c r="C17" s="15" t="s">
        <v>159</v>
      </c>
      <c r="D17" s="15" t="s">
        <v>160</v>
      </c>
    </row>
    <row r="18" spans="1:4" s="15" customFormat="1" ht="51">
      <c r="A18" s="15">
        <v>25</v>
      </c>
      <c r="C18" s="15" t="s">
        <v>161</v>
      </c>
      <c r="D18" s="15" t="s">
        <v>162</v>
      </c>
    </row>
    <row r="19" spans="1:4" s="15" customFormat="1" ht="25.5">
      <c r="A19" s="15">
        <v>29</v>
      </c>
      <c r="C19" s="15" t="s">
        <v>163</v>
      </c>
    </row>
    <row r="22" spans="1:4" s="15" customFormat="1" ht="38.25">
      <c r="A22" s="15">
        <v>3</v>
      </c>
      <c r="C22" s="15" t="s">
        <v>164</v>
      </c>
      <c r="D22" s="15" t="s">
        <v>165</v>
      </c>
    </row>
    <row r="23" spans="1:4" s="15" customFormat="1" ht="153">
      <c r="A23" s="15">
        <v>30</v>
      </c>
      <c r="C23" s="15" t="s">
        <v>166</v>
      </c>
      <c r="D23" s="15" t="s">
        <v>167</v>
      </c>
    </row>
    <row r="24" spans="1:4" s="15" customFormat="1" ht="89.25">
      <c r="A24" s="15">
        <v>31</v>
      </c>
      <c r="C24" s="15" t="s">
        <v>168</v>
      </c>
      <c r="D24" s="15" t="s">
        <v>169</v>
      </c>
    </row>
    <row r="25" spans="1:4" s="15" customFormat="1" ht="63.75">
      <c r="A25" s="15">
        <v>32</v>
      </c>
      <c r="B25" s="15" t="s">
        <v>170</v>
      </c>
      <c r="C25" s="15" t="s">
        <v>171</v>
      </c>
      <c r="D25" s="15" t="s">
        <v>172</v>
      </c>
    </row>
    <row r="26" spans="1:4" s="15" customFormat="1" ht="63.75">
      <c r="B26" s="15">
        <v>323</v>
      </c>
      <c r="C26" s="15" t="s">
        <v>173</v>
      </c>
      <c r="D26" s="15" t="s">
        <v>174</v>
      </c>
    </row>
    <row r="27" spans="1:4" s="15" customFormat="1" ht="127.5">
      <c r="A27" s="15">
        <v>33</v>
      </c>
      <c r="C27" s="15" t="s">
        <v>175</v>
      </c>
      <c r="D27" s="15" t="s">
        <v>176</v>
      </c>
    </row>
    <row r="28" spans="1:4" s="15" customFormat="1" ht="76.5">
      <c r="A28" s="15">
        <v>34</v>
      </c>
      <c r="C28" s="15" t="s">
        <v>177</v>
      </c>
      <c r="D28" s="15" t="s">
        <v>178</v>
      </c>
    </row>
    <row r="29" spans="1:4" s="15" customFormat="1" ht="63.75">
      <c r="A29" s="15">
        <v>35</v>
      </c>
      <c r="C29" s="15" t="s">
        <v>179</v>
      </c>
    </row>
    <row r="30" spans="1:4" s="15" customFormat="1" ht="25.5">
      <c r="B30" s="15">
        <v>351</v>
      </c>
      <c r="C30" s="15" t="s">
        <v>180</v>
      </c>
    </row>
    <row r="31" spans="1:4" s="15" customFormat="1" ht="127.5">
      <c r="B31" s="15">
        <v>352</v>
      </c>
      <c r="C31" s="15" t="s">
        <v>181</v>
      </c>
      <c r="D31" s="15" t="s">
        <v>182</v>
      </c>
    </row>
    <row r="32" spans="1:4" s="15" customFormat="1" ht="114.75">
      <c r="B32" s="15" t="s">
        <v>183</v>
      </c>
      <c r="C32" s="15" t="s">
        <v>184</v>
      </c>
    </row>
    <row r="33" spans="1:4" s="15" customFormat="1" ht="76.5">
      <c r="A33" s="15">
        <v>36</v>
      </c>
      <c r="C33" s="15" t="s">
        <v>185</v>
      </c>
      <c r="D33" s="15" t="s">
        <v>186</v>
      </c>
    </row>
    <row r="34" spans="1:4" s="15" customFormat="1" ht="114.75">
      <c r="A34" s="15">
        <v>37</v>
      </c>
      <c r="C34" s="15" t="s">
        <v>187</v>
      </c>
      <c r="D34" s="15" t="s">
        <v>188</v>
      </c>
    </row>
    <row r="35" spans="1:4" s="15" customFormat="1" ht="76.5">
      <c r="A35" s="15">
        <v>38</v>
      </c>
      <c r="C35" s="15" t="s">
        <v>189</v>
      </c>
      <c r="D35" s="15" t="s">
        <v>190</v>
      </c>
    </row>
    <row r="36" spans="1:4" s="15" customFormat="1" ht="63.75">
      <c r="A36" s="15">
        <v>39</v>
      </c>
      <c r="C36" s="15" t="s">
        <v>191</v>
      </c>
      <c r="D36" s="15" t="s">
        <v>192</v>
      </c>
    </row>
  </sheetData>
  <phoneticPr fontId="1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B2:L17"/>
  <sheetViews>
    <sheetView workbookViewId="0">
      <selection activeCell="H11" sqref="H11"/>
    </sheetView>
  </sheetViews>
  <sheetFormatPr defaultRowHeight="12.75"/>
  <sheetData>
    <row r="2" spans="2:12">
      <c r="B2" s="26" t="s">
        <v>193</v>
      </c>
    </row>
    <row r="3" spans="2:12">
      <c r="B3" s="6" t="s">
        <v>194</v>
      </c>
    </row>
    <row r="7" spans="2:12">
      <c r="B7" s="26" t="s">
        <v>195</v>
      </c>
    </row>
    <row r="9" spans="2:12">
      <c r="D9" s="26" t="s">
        <v>196</v>
      </c>
      <c r="F9" s="26" t="s">
        <v>197</v>
      </c>
      <c r="H9" s="26" t="s">
        <v>198</v>
      </c>
      <c r="J9" s="26" t="s">
        <v>199</v>
      </c>
      <c r="L9" s="26" t="s">
        <v>200</v>
      </c>
    </row>
    <row r="10" spans="2:12">
      <c r="B10" s="26" t="s">
        <v>201</v>
      </c>
      <c r="D10">
        <v>2</v>
      </c>
    </row>
    <row r="11" spans="2:12">
      <c r="B11" s="26" t="s">
        <v>202</v>
      </c>
      <c r="D11">
        <v>351</v>
      </c>
      <c r="H11" s="26" t="s">
        <v>203</v>
      </c>
      <c r="J11" s="26" t="s">
        <v>204</v>
      </c>
      <c r="L11" s="26" t="s">
        <v>205</v>
      </c>
    </row>
    <row r="12" spans="2:12">
      <c r="B12" s="26" t="s">
        <v>108</v>
      </c>
      <c r="D12">
        <v>33</v>
      </c>
    </row>
    <row r="13" spans="2:12">
      <c r="B13" s="26" t="s">
        <v>206</v>
      </c>
      <c r="D13">
        <v>352</v>
      </c>
    </row>
    <row r="14" spans="2:12">
      <c r="B14" s="26" t="s">
        <v>207</v>
      </c>
      <c r="D14">
        <v>34</v>
      </c>
    </row>
    <row r="15" spans="2:12">
      <c r="B15" s="26" t="s">
        <v>208</v>
      </c>
      <c r="D15">
        <v>30</v>
      </c>
    </row>
    <row r="16" spans="2:12">
      <c r="B16" s="26" t="s">
        <v>209</v>
      </c>
      <c r="D16">
        <v>323</v>
      </c>
    </row>
    <row r="17" spans="2:10">
      <c r="B17" s="26" t="s">
        <v>118</v>
      </c>
      <c r="H17" s="26" t="s">
        <v>210</v>
      </c>
      <c r="J17" s="26" t="s">
        <v>211</v>
      </c>
    </row>
  </sheetData>
  <hyperlinks>
    <hyperlink ref="B3" r:id="rId1"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74">
    <tabColor rgb="FF0070C0"/>
  </sheetPr>
  <dimension ref="A1:O52"/>
  <sheetViews>
    <sheetView workbookViewId="0">
      <selection activeCell="K43" sqref="K42:L43"/>
    </sheetView>
  </sheetViews>
  <sheetFormatPr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t="s">
        <v>213</v>
      </c>
    </row>
    <row r="6" spans="1:15">
      <c r="B6" s="121" t="s">
        <v>214</v>
      </c>
    </row>
    <row r="7" spans="1:15">
      <c r="B7" s="26" t="s">
        <v>215</v>
      </c>
      <c r="C7">
        <v>-1</v>
      </c>
    </row>
    <row r="8" spans="1:15">
      <c r="A8" s="26" t="s">
        <v>216</v>
      </c>
      <c r="B8" s="122"/>
      <c r="C8" s="122" t="s">
        <v>819</v>
      </c>
      <c r="D8" s="122" t="s">
        <v>72</v>
      </c>
      <c r="E8" s="122" t="s">
        <v>76</v>
      </c>
      <c r="F8" s="122" t="s">
        <v>232</v>
      </c>
      <c r="G8" s="122" t="s">
        <v>820</v>
      </c>
      <c r="H8" s="122" t="s">
        <v>821</v>
      </c>
      <c r="I8" s="122" t="s">
        <v>289</v>
      </c>
      <c r="J8" s="122" t="s">
        <v>230</v>
      </c>
      <c r="K8" s="122" t="s">
        <v>288</v>
      </c>
      <c r="L8" s="122" t="s">
        <v>822</v>
      </c>
      <c r="M8" s="122" t="s">
        <v>78</v>
      </c>
      <c r="N8" s="122" t="s">
        <v>80</v>
      </c>
      <c r="O8" s="122" t="s">
        <v>823</v>
      </c>
    </row>
    <row r="9" spans="1:15">
      <c r="A9" t="s">
        <v>108</v>
      </c>
      <c r="B9" s="122" t="s">
        <v>824</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825</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826</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827</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828</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829</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830</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831</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15">
      <c r="A17" t="s">
        <v>116</v>
      </c>
      <c r="B17" s="122" t="s">
        <v>832</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15">
      <c r="C18" s="17">
        <v>53625.207999999999</v>
      </c>
      <c r="D18" s="17">
        <v>378362.9</v>
      </c>
      <c r="E18" s="17">
        <v>74420</v>
      </c>
      <c r="F18" s="17">
        <v>0</v>
      </c>
      <c r="G18" s="17">
        <v>61263.406173308525</v>
      </c>
      <c r="H18" s="17">
        <v>2289.9224052042141</v>
      </c>
      <c r="I18" s="17">
        <v>11981.282586165162</v>
      </c>
      <c r="J18" s="17">
        <v>0</v>
      </c>
      <c r="K18" s="17">
        <v>12444.925385084467</v>
      </c>
      <c r="L18" s="17">
        <v>0</v>
      </c>
      <c r="M18" s="17">
        <v>379817.25075812521</v>
      </c>
      <c r="N18" s="17">
        <v>70243.999969482422</v>
      </c>
      <c r="O18" s="17">
        <v>1007170.4952773701</v>
      </c>
    </row>
    <row r="19" spans="1:15">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15">
      <c r="G22" s="26"/>
    </row>
    <row r="25" spans="1:15">
      <c r="A25" s="26"/>
    </row>
    <row r="26" spans="1:15">
      <c r="A26" s="26" t="s">
        <v>218</v>
      </c>
    </row>
    <row r="28" spans="1:15">
      <c r="B28">
        <v>1E-3</v>
      </c>
      <c r="C28" s="26" t="s">
        <v>219</v>
      </c>
    </row>
    <row r="29" spans="1:15">
      <c r="B29" s="26" t="s">
        <v>220</v>
      </c>
    </row>
    <row r="30" spans="1:15" ht="25.5">
      <c r="B30" s="124"/>
      <c r="C30" s="125" t="s">
        <v>72</v>
      </c>
      <c r="D30" s="125" t="s">
        <v>76</v>
      </c>
      <c r="E30" s="126" t="s">
        <v>82</v>
      </c>
      <c r="F30" s="126" t="s">
        <v>78</v>
      </c>
      <c r="G30" s="126" t="s">
        <v>80</v>
      </c>
      <c r="H30" s="126" t="s">
        <v>84</v>
      </c>
      <c r="I30" s="126" t="s">
        <v>86</v>
      </c>
      <c r="J30" s="126" t="s">
        <v>70</v>
      </c>
      <c r="K30" s="125" t="s">
        <v>221</v>
      </c>
      <c r="L30" s="127" t="s">
        <v>88</v>
      </c>
      <c r="M30" s="128" t="s">
        <v>94</v>
      </c>
    </row>
    <row r="31" spans="1:15">
      <c r="B31" s="124" t="s">
        <v>103</v>
      </c>
      <c r="C31" s="129">
        <v>31.561200000000003</v>
      </c>
      <c r="D31" s="129">
        <v>0</v>
      </c>
      <c r="E31" s="129">
        <v>51.747259515340161</v>
      </c>
      <c r="F31" s="129">
        <v>107.41903758287336</v>
      </c>
      <c r="G31" s="129">
        <v>0.247</v>
      </c>
      <c r="H31" s="129">
        <v>0</v>
      </c>
      <c r="I31" s="129">
        <v>0</v>
      </c>
      <c r="J31" s="129"/>
      <c r="K31" s="129"/>
      <c r="L31" s="129"/>
      <c r="M31" s="129">
        <v>1.9082686656951751</v>
      </c>
    </row>
    <row r="32" spans="1:15">
      <c r="B32" s="124" t="s">
        <v>105</v>
      </c>
      <c r="C32" s="129">
        <v>50.33</v>
      </c>
      <c r="D32" s="129">
        <v>39.270000000000003</v>
      </c>
      <c r="E32" s="129">
        <v>0</v>
      </c>
      <c r="F32" s="129">
        <v>55.10318766954002</v>
      </c>
      <c r="G32" s="129">
        <v>0</v>
      </c>
      <c r="H32" s="129">
        <v>0</v>
      </c>
      <c r="I32" s="129">
        <v>0</v>
      </c>
      <c r="J32" s="129"/>
      <c r="K32" s="129"/>
      <c r="L32" s="129"/>
      <c r="M32" s="129">
        <v>0</v>
      </c>
    </row>
    <row r="33" spans="2:13">
      <c r="B33" s="124" t="s">
        <v>106</v>
      </c>
      <c r="C33" s="129">
        <v>63.050000000000004</v>
      </c>
      <c r="D33" s="129">
        <v>35.15</v>
      </c>
      <c r="E33" s="129">
        <v>0</v>
      </c>
      <c r="F33" s="129">
        <v>44.505504045599324</v>
      </c>
      <c r="G33" s="129">
        <v>17.888000000000002</v>
      </c>
      <c r="H33" s="129">
        <v>0</v>
      </c>
      <c r="I33" s="129">
        <v>0.20119265336451983</v>
      </c>
      <c r="J33" s="129"/>
      <c r="K33" s="129"/>
      <c r="L33" s="129"/>
      <c r="M33" s="129">
        <v>0</v>
      </c>
    </row>
    <row r="34" spans="2:13">
      <c r="B34" s="124" t="s">
        <v>108</v>
      </c>
      <c r="C34" s="129">
        <v>42.52</v>
      </c>
      <c r="D34" s="129">
        <v>0</v>
      </c>
      <c r="E34" s="129">
        <v>0</v>
      </c>
      <c r="F34" s="129">
        <v>27.963649846714464</v>
      </c>
      <c r="G34" s="129">
        <v>14.048</v>
      </c>
      <c r="H34" s="129">
        <v>0</v>
      </c>
      <c r="I34" s="129">
        <v>0</v>
      </c>
      <c r="J34" s="129"/>
      <c r="K34" s="129">
        <v>45.296208</v>
      </c>
      <c r="L34" s="129"/>
      <c r="M34" s="129">
        <v>0</v>
      </c>
    </row>
    <row r="35" spans="2:13">
      <c r="B35" s="124" t="s">
        <v>110</v>
      </c>
      <c r="C35" s="129">
        <v>1.19106</v>
      </c>
      <c r="D35" s="129">
        <v>0</v>
      </c>
      <c r="E35" s="129">
        <v>0</v>
      </c>
      <c r="F35" s="129">
        <v>67.125214281758517</v>
      </c>
      <c r="G35" s="129">
        <v>2.4140000000000001</v>
      </c>
      <c r="H35" s="129">
        <v>0</v>
      </c>
      <c r="I35" s="129">
        <v>0</v>
      </c>
      <c r="J35" s="129">
        <v>3.552</v>
      </c>
      <c r="K35" s="129"/>
      <c r="L35" s="129"/>
      <c r="M35" s="129">
        <v>0</v>
      </c>
    </row>
    <row r="36" spans="2:13">
      <c r="B36" s="124" t="s">
        <v>112</v>
      </c>
      <c r="C36" s="129">
        <v>48.918750000000003</v>
      </c>
      <c r="D36" s="129">
        <v>0</v>
      </c>
      <c r="E36" s="129">
        <v>0</v>
      </c>
      <c r="F36" s="129">
        <v>3.419384099532107</v>
      </c>
      <c r="G36" s="129">
        <v>15.000999969482422</v>
      </c>
      <c r="H36" s="129">
        <v>0</v>
      </c>
      <c r="I36" s="129">
        <v>2.1891232827425839</v>
      </c>
      <c r="J36" s="129"/>
      <c r="K36" s="129"/>
      <c r="L36" s="129"/>
      <c r="M36" s="129">
        <v>0</v>
      </c>
    </row>
    <row r="37" spans="2:13">
      <c r="B37" s="124" t="s">
        <v>114</v>
      </c>
      <c r="C37" s="129">
        <v>26.072800000000004</v>
      </c>
      <c r="D37" s="129">
        <v>0</v>
      </c>
      <c r="E37" s="129">
        <v>0</v>
      </c>
      <c r="F37" s="129">
        <v>16.046046865782269</v>
      </c>
      <c r="G37" s="129">
        <v>3.0369999999999999</v>
      </c>
      <c r="H37" s="129">
        <v>0</v>
      </c>
      <c r="I37" s="129">
        <v>1.9546563087943047</v>
      </c>
      <c r="J37" s="129"/>
      <c r="K37" s="129"/>
      <c r="L37" s="129"/>
      <c r="M37" s="129">
        <v>0</v>
      </c>
    </row>
    <row r="38" spans="2:13">
      <c r="B38" s="124" t="s">
        <v>116</v>
      </c>
      <c r="C38" s="129">
        <v>35.68</v>
      </c>
      <c r="D38" s="129">
        <v>0</v>
      </c>
      <c r="E38" s="129">
        <v>0</v>
      </c>
      <c r="F38" s="129">
        <v>16.324581435087119</v>
      </c>
      <c r="G38" s="129">
        <v>4.8360000000000003</v>
      </c>
      <c r="H38" s="129">
        <v>0</v>
      </c>
      <c r="I38" s="129">
        <v>0</v>
      </c>
      <c r="J38" s="129">
        <v>4.7770000000000001</v>
      </c>
      <c r="K38" s="129"/>
      <c r="L38" s="129"/>
      <c r="M38" s="129">
        <v>0</v>
      </c>
    </row>
    <row r="39" spans="2:13">
      <c r="B39" s="124" t="s">
        <v>118</v>
      </c>
      <c r="C39" s="129">
        <v>79.039090000000002</v>
      </c>
      <c r="D39" s="129">
        <v>0</v>
      </c>
      <c r="E39" s="129">
        <v>9.5161466579683598</v>
      </c>
      <c r="F39" s="129">
        <v>41.91064493123806</v>
      </c>
      <c r="G39" s="129">
        <v>12.773</v>
      </c>
      <c r="H39" s="129">
        <v>12.444925385084467</v>
      </c>
      <c r="I39" s="129">
        <v>7.636310341263755</v>
      </c>
      <c r="J39" s="129"/>
      <c r="K39" s="129"/>
      <c r="L39" s="129"/>
      <c r="M39" s="129">
        <v>0.38165373950903908</v>
      </c>
    </row>
    <row r="49" spans="3:5">
      <c r="C49" s="26"/>
      <c r="D49" s="26"/>
    </row>
    <row r="50" spans="3:5">
      <c r="E50" s="4"/>
    </row>
    <row r="51" spans="3:5">
      <c r="E51" s="4"/>
    </row>
    <row r="52" spans="3:5">
      <c r="C52" s="28"/>
      <c r="D52" s="28"/>
      <c r="E52" s="147"/>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7825E-CFFC-4C41-A177-63720C1EEDD5}">
  <sheetPr codeName="Sheet77">
    <tabColor rgb="FF0070C0"/>
  </sheetPr>
  <dimension ref="A1:X80"/>
  <sheetViews>
    <sheetView workbookViewId="0">
      <selection activeCell="H62" sqref="H62:H63"/>
    </sheetView>
  </sheetViews>
  <sheetFormatPr defaultColWidth="9"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row>
    <row r="6" spans="1:15">
      <c r="B6" s="121" t="s">
        <v>214</v>
      </c>
    </row>
    <row r="7" spans="1:15">
      <c r="B7" s="26" t="s">
        <v>215</v>
      </c>
      <c r="C7">
        <v>-1</v>
      </c>
    </row>
    <row r="8" spans="1:15">
      <c r="A8" s="26" t="s">
        <v>216</v>
      </c>
      <c r="B8" s="122"/>
      <c r="C8" s="122" t="s">
        <v>819</v>
      </c>
      <c r="D8" s="122" t="s">
        <v>72</v>
      </c>
      <c r="E8" s="122" t="s">
        <v>76</v>
      </c>
      <c r="F8" s="122" t="s">
        <v>232</v>
      </c>
      <c r="G8" s="122" t="s">
        <v>820</v>
      </c>
      <c r="H8" s="122" t="s">
        <v>821</v>
      </c>
      <c r="I8" s="122" t="s">
        <v>289</v>
      </c>
      <c r="J8" s="122" t="s">
        <v>230</v>
      </c>
      <c r="K8" s="122" t="s">
        <v>288</v>
      </c>
      <c r="L8" s="122" t="s">
        <v>822</v>
      </c>
      <c r="M8" s="122" t="s">
        <v>78</v>
      </c>
      <c r="N8" s="122" t="s">
        <v>80</v>
      </c>
      <c r="O8" s="122" t="s">
        <v>823</v>
      </c>
    </row>
    <row r="9" spans="1:15">
      <c r="A9" t="s">
        <v>108</v>
      </c>
      <c r="B9" s="122" t="s">
        <v>824</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825</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826</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827</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828</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829</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830</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831</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22">
      <c r="A17" t="s">
        <v>116</v>
      </c>
      <c r="B17" s="122" t="s">
        <v>832</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22">
      <c r="C18" s="17">
        <f>SUM(C9:C17)</f>
        <v>53625.207999999999</v>
      </c>
      <c r="D18" s="17">
        <f>SUM(D9:D17)</f>
        <v>378362.9</v>
      </c>
      <c r="E18" s="17">
        <f>SUM(E9:E17)</f>
        <v>74420</v>
      </c>
      <c r="F18" s="17">
        <f t="shared" ref="F18:M18" si="0">SUM(F9:F17)</f>
        <v>0</v>
      </c>
      <c r="G18" s="17">
        <f t="shared" si="0"/>
        <v>61263.406173308525</v>
      </c>
      <c r="H18" s="17">
        <f t="shared" si="0"/>
        <v>2289.9224052042141</v>
      </c>
      <c r="I18" s="17">
        <f t="shared" si="0"/>
        <v>11981.282586165162</v>
      </c>
      <c r="J18" s="17">
        <f t="shared" si="0"/>
        <v>0</v>
      </c>
      <c r="K18" s="17">
        <f t="shared" si="0"/>
        <v>12444.925385084467</v>
      </c>
      <c r="L18" s="17">
        <f t="shared" si="0"/>
        <v>0</v>
      </c>
      <c r="M18" s="17">
        <f t="shared" si="0"/>
        <v>379817.25075812521</v>
      </c>
      <c r="N18" s="17">
        <f>SUM(N9:N17)</f>
        <v>70243.999969482422</v>
      </c>
      <c r="O18" s="17">
        <f>SUM(O9:O17)</f>
        <v>1007170.4952773701</v>
      </c>
    </row>
    <row r="19" spans="1:22">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22">
      <c r="G22" s="26"/>
    </row>
    <row r="25" spans="1:22">
      <c r="A25" s="26"/>
    </row>
    <row r="26" spans="1:22">
      <c r="A26" s="26" t="s">
        <v>218</v>
      </c>
      <c r="O26">
        <v>1</v>
      </c>
      <c r="P26" t="s">
        <v>222</v>
      </c>
    </row>
    <row r="27" spans="1:22">
      <c r="O27" s="105">
        <v>42886</v>
      </c>
    </row>
    <row r="28" spans="1:22">
      <c r="B28">
        <f>0.001</f>
        <v>1E-3</v>
      </c>
      <c r="C28" s="26" t="s">
        <v>219</v>
      </c>
      <c r="O28" s="28" t="s">
        <v>223</v>
      </c>
    </row>
    <row r="29" spans="1:22">
      <c r="B29" s="26" t="s">
        <v>220</v>
      </c>
      <c r="O29" t="s">
        <v>224</v>
      </c>
    </row>
    <row r="30" spans="1:22" ht="25.5">
      <c r="B30" s="124"/>
      <c r="C30" s="125" t="s">
        <v>72</v>
      </c>
      <c r="D30" s="125" t="s">
        <v>76</v>
      </c>
      <c r="E30" s="126" t="s">
        <v>82</v>
      </c>
      <c r="F30" s="126" t="s">
        <v>78</v>
      </c>
      <c r="G30" s="126" t="s">
        <v>80</v>
      </c>
      <c r="H30" s="126" t="s">
        <v>84</v>
      </c>
      <c r="I30" s="126" t="s">
        <v>86</v>
      </c>
      <c r="J30" s="126" t="s">
        <v>70</v>
      </c>
      <c r="K30" s="125" t="s">
        <v>221</v>
      </c>
      <c r="L30" s="127" t="s">
        <v>88</v>
      </c>
      <c r="M30" s="128" t="s">
        <v>94</v>
      </c>
      <c r="P30" t="s">
        <v>72</v>
      </c>
      <c r="Q30" t="s">
        <v>76</v>
      </c>
      <c r="R30" t="s">
        <v>82</v>
      </c>
      <c r="S30" t="s">
        <v>78</v>
      </c>
      <c r="T30" t="s">
        <v>80</v>
      </c>
    </row>
    <row r="31" spans="1:22">
      <c r="B31" s="124" t="s">
        <v>103</v>
      </c>
      <c r="C31" s="129">
        <f t="shared" ref="C31:C40" si="1">INDEX($B$49:$X$58,MATCH($B31,$A$49:$A$58,0),MATCH(C$30,$B$48:$X$48,0))*$B$28-$O$26*P31</f>
        <v>38.149000000000001</v>
      </c>
      <c r="D31" s="129">
        <f t="shared" ref="D31:D40" si="2">INDEX($B$49:$X$58,MATCH($B31,$A$49:$A$58,0),MATCH(D$30,$B$48:$X$48,0))*$B$28-$O$26*Q31</f>
        <v>0</v>
      </c>
      <c r="E31" s="129">
        <f t="shared" ref="E31:E40" si="3">INDEX($B$49:$X$58,MATCH($B31,$A$49:$A$58,0),MATCH(E$30,$B$48:$X$48,0))*$B$28-$O$26*R31</f>
        <v>25.406351025250526</v>
      </c>
      <c r="F31" s="129">
        <f t="shared" ref="F31:F40" si="4">INDEX($B$49:$X$58,MATCH($B31,$A$49:$A$58,0),MATCH(F$30,$B$48:$X$48,0))*$B$28-$O$26*S31</f>
        <v>77.41835799502266</v>
      </c>
      <c r="G31" s="129">
        <f t="shared" ref="G31:M37" si="5">INDEX($B$49:$X$58,MATCH($B31,$A$49:$A$58,0),MATCH(G$30,$B$48:$X$48,0))*$B$28</f>
        <v>0</v>
      </c>
      <c r="H31" s="129">
        <f t="shared" si="5"/>
        <v>0</v>
      </c>
      <c r="I31" s="129">
        <f t="shared" si="5"/>
        <v>0.13585721000000001</v>
      </c>
      <c r="J31" s="129">
        <f t="shared" si="5"/>
        <v>0</v>
      </c>
      <c r="K31" s="129">
        <f t="shared" si="5"/>
        <v>0</v>
      </c>
      <c r="L31" s="129">
        <f t="shared" si="5"/>
        <v>0</v>
      </c>
      <c r="M31" s="129">
        <f t="shared" si="5"/>
        <v>0</v>
      </c>
      <c r="O31" t="s">
        <v>103</v>
      </c>
      <c r="R31" s="8">
        <v>4.5246489747494749</v>
      </c>
      <c r="S31" s="8">
        <v>32.653642004977343</v>
      </c>
      <c r="U31" s="3"/>
      <c r="V31" s="3"/>
    </row>
    <row r="32" spans="1:22">
      <c r="B32" s="124" t="s">
        <v>105</v>
      </c>
      <c r="C32" s="129">
        <f t="shared" si="1"/>
        <v>71.117999999999995</v>
      </c>
      <c r="D32" s="129">
        <f t="shared" si="2"/>
        <v>46.088999999999999</v>
      </c>
      <c r="E32" s="129">
        <f t="shared" si="3"/>
        <v>0</v>
      </c>
      <c r="F32" s="129">
        <f t="shared" si="4"/>
        <v>51.899000000000001</v>
      </c>
      <c r="G32" s="129">
        <f t="shared" si="5"/>
        <v>0</v>
      </c>
      <c r="H32" s="129">
        <f t="shared" si="5"/>
        <v>0</v>
      </c>
      <c r="I32" s="129">
        <f t="shared" si="5"/>
        <v>0</v>
      </c>
      <c r="J32" s="129">
        <f t="shared" si="5"/>
        <v>0</v>
      </c>
      <c r="K32" s="129">
        <f t="shared" si="5"/>
        <v>0</v>
      </c>
      <c r="L32" s="129">
        <f t="shared" si="5"/>
        <v>0</v>
      </c>
      <c r="M32" s="129">
        <f t="shared" si="5"/>
        <v>0</v>
      </c>
      <c r="O32" t="s">
        <v>105</v>
      </c>
    </row>
    <row r="33" spans="1:24">
      <c r="B33" s="124" t="s">
        <v>106</v>
      </c>
      <c r="C33" s="129">
        <f t="shared" si="1"/>
        <v>47.995000000000005</v>
      </c>
      <c r="D33" s="129">
        <f t="shared" si="2"/>
        <v>29.827999999999999</v>
      </c>
      <c r="E33" s="129">
        <f t="shared" si="3"/>
        <v>0</v>
      </c>
      <c r="F33" s="129">
        <f>INDEX($B$49:$X$58,MATCH($B33,$A$49:$A$58,0),MATCH(F$30,$B$48:$X$48,0))*$B$28-$O$26*S33</f>
        <v>17.312000000000001</v>
      </c>
      <c r="G33" s="129">
        <f t="shared" si="5"/>
        <v>9.8780000000000001</v>
      </c>
      <c r="H33" s="129">
        <f t="shared" si="5"/>
        <v>0</v>
      </c>
      <c r="I33" s="129">
        <f t="shared" si="5"/>
        <v>0.24199999999999999</v>
      </c>
      <c r="J33" s="129">
        <f t="shared" si="5"/>
        <v>0</v>
      </c>
      <c r="K33" s="129">
        <f t="shared" si="5"/>
        <v>0</v>
      </c>
      <c r="L33" s="129">
        <f t="shared" si="5"/>
        <v>0</v>
      </c>
      <c r="M33" s="129">
        <f t="shared" si="5"/>
        <v>0</v>
      </c>
      <c r="O33" t="s">
        <v>106</v>
      </c>
    </row>
    <row r="34" spans="1:24">
      <c r="B34" s="124" t="s">
        <v>108</v>
      </c>
      <c r="C34" s="129">
        <f t="shared" si="1"/>
        <v>24.367000000000001</v>
      </c>
      <c r="D34" s="129">
        <f t="shared" si="2"/>
        <v>0</v>
      </c>
      <c r="E34" s="129">
        <f t="shared" si="3"/>
        <v>0</v>
      </c>
      <c r="F34" s="129">
        <f t="shared" si="4"/>
        <v>40.459000000000003</v>
      </c>
      <c r="G34" s="129">
        <f t="shared" si="5"/>
        <v>3.69</v>
      </c>
      <c r="H34" s="129">
        <f t="shared" si="5"/>
        <v>0</v>
      </c>
      <c r="I34" s="129">
        <f t="shared" si="5"/>
        <v>0</v>
      </c>
      <c r="J34" s="129">
        <f t="shared" si="5"/>
        <v>0</v>
      </c>
      <c r="K34" s="129">
        <f t="shared" si="5"/>
        <v>0</v>
      </c>
      <c r="L34" s="129">
        <f t="shared" si="5"/>
        <v>0</v>
      </c>
      <c r="M34" s="129">
        <f t="shared" si="5"/>
        <v>0</v>
      </c>
      <c r="O34" t="s">
        <v>108</v>
      </c>
    </row>
    <row r="35" spans="1:24">
      <c r="B35" s="200" t="s">
        <v>117</v>
      </c>
      <c r="C35" s="129">
        <f t="shared" si="1"/>
        <v>0</v>
      </c>
      <c r="D35" s="129">
        <f t="shared" si="2"/>
        <v>0</v>
      </c>
      <c r="E35" s="129">
        <f t="shared" si="3"/>
        <v>0</v>
      </c>
      <c r="F35" s="129">
        <f t="shared" si="4"/>
        <v>37.372</v>
      </c>
      <c r="G35" s="129">
        <f t="shared" si="5"/>
        <v>1.7730000000000001</v>
      </c>
      <c r="H35" s="129">
        <f t="shared" si="5"/>
        <v>0</v>
      </c>
      <c r="I35" s="129">
        <f t="shared" si="5"/>
        <v>2.6270000000000002</v>
      </c>
      <c r="J35" s="129">
        <f t="shared" si="5"/>
        <v>0</v>
      </c>
      <c r="K35" s="129">
        <f t="shared" si="5"/>
        <v>0</v>
      </c>
      <c r="L35" s="129">
        <f t="shared" si="5"/>
        <v>0</v>
      </c>
      <c r="M35" s="129">
        <f t="shared" si="5"/>
        <v>0</v>
      </c>
      <c r="O35" t="s">
        <v>117</v>
      </c>
    </row>
    <row r="36" spans="1:24">
      <c r="B36" s="124" t="s">
        <v>110</v>
      </c>
      <c r="C36" s="129">
        <f t="shared" si="1"/>
        <v>0.45100000000000001</v>
      </c>
      <c r="D36" s="129">
        <f t="shared" si="2"/>
        <v>0</v>
      </c>
      <c r="E36" s="129">
        <f t="shared" si="3"/>
        <v>0</v>
      </c>
      <c r="F36" s="129">
        <f t="shared" si="4"/>
        <v>10.062942167027458</v>
      </c>
      <c r="G36" s="129">
        <f t="shared" si="5"/>
        <v>0.50700000000000001</v>
      </c>
      <c r="H36" s="129">
        <f t="shared" si="5"/>
        <v>0</v>
      </c>
      <c r="I36" s="129">
        <f t="shared" si="5"/>
        <v>0</v>
      </c>
      <c r="J36" s="129">
        <f t="shared" si="5"/>
        <v>0</v>
      </c>
      <c r="K36" s="129">
        <f t="shared" si="5"/>
        <v>0</v>
      </c>
      <c r="L36" s="129">
        <f t="shared" si="5"/>
        <v>0</v>
      </c>
      <c r="M36" s="129">
        <f t="shared" si="5"/>
        <v>0</v>
      </c>
      <c r="O36" t="s">
        <v>110</v>
      </c>
      <c r="S36" s="8">
        <v>6.6440578329725435</v>
      </c>
      <c r="U36" s="3"/>
    </row>
    <row r="37" spans="1:24">
      <c r="B37" s="124" t="s">
        <v>112</v>
      </c>
      <c r="C37" s="129">
        <f t="shared" si="1"/>
        <v>61.283999999999999</v>
      </c>
      <c r="D37" s="129">
        <f t="shared" si="2"/>
        <v>0</v>
      </c>
      <c r="E37" s="129">
        <f t="shared" si="3"/>
        <v>0</v>
      </c>
      <c r="F37" s="129">
        <f t="shared" si="4"/>
        <v>5.875</v>
      </c>
      <c r="G37" s="129">
        <f t="shared" si="5"/>
        <v>15.123000000000001</v>
      </c>
      <c r="H37" s="129">
        <f t="shared" si="5"/>
        <v>8.1159999999999997</v>
      </c>
      <c r="I37" s="129">
        <f t="shared" si="5"/>
        <v>0</v>
      </c>
      <c r="J37" s="129">
        <f t="shared" si="5"/>
        <v>0</v>
      </c>
      <c r="K37" s="129">
        <f t="shared" si="5"/>
        <v>0</v>
      </c>
      <c r="L37" s="129">
        <f t="shared" si="5"/>
        <v>0</v>
      </c>
      <c r="M37" s="129">
        <f t="shared" si="5"/>
        <v>0</v>
      </c>
      <c r="O37" t="s">
        <v>112</v>
      </c>
    </row>
    <row r="38" spans="1:24">
      <c r="B38" s="124" t="s">
        <v>114</v>
      </c>
      <c r="C38" s="129">
        <f t="shared" si="1"/>
        <v>16.272000000000002</v>
      </c>
      <c r="D38" s="129">
        <f t="shared" si="2"/>
        <v>0</v>
      </c>
      <c r="E38" s="129">
        <f t="shared" si="3"/>
        <v>0</v>
      </c>
      <c r="F38" s="129">
        <f t="shared" si="4"/>
        <v>14.952</v>
      </c>
      <c r="G38" s="129">
        <f>INDEX($B$49:$X$58,MATCH($B38,$A$49:$A$58,0),MATCH(G$30,$B$48:$X$48,0))*$B$28</f>
        <v>3.8240000000000003</v>
      </c>
      <c r="H38" s="129"/>
      <c r="I38" s="129">
        <f t="shared" ref="I38:M40" si="6">INDEX($B$49:$X$58,MATCH($B38,$A$49:$A$58,0),MATCH(I$30,$B$48:$X$48,0))*$B$28</f>
        <v>0</v>
      </c>
      <c r="J38" s="129">
        <f t="shared" si="6"/>
        <v>0</v>
      </c>
      <c r="K38" s="129">
        <f t="shared" si="6"/>
        <v>0</v>
      </c>
      <c r="L38" s="129">
        <f t="shared" si="6"/>
        <v>0</v>
      </c>
      <c r="M38" s="129">
        <f t="shared" si="6"/>
        <v>0</v>
      </c>
      <c r="O38" t="s">
        <v>114</v>
      </c>
    </row>
    <row r="39" spans="1:24">
      <c r="B39" s="124" t="s">
        <v>116</v>
      </c>
      <c r="C39" s="129">
        <f t="shared" si="1"/>
        <v>0</v>
      </c>
      <c r="D39" s="129">
        <f t="shared" si="2"/>
        <v>0</v>
      </c>
      <c r="E39" s="129">
        <f t="shared" si="3"/>
        <v>0</v>
      </c>
      <c r="F39" s="129">
        <f t="shared" si="4"/>
        <v>7.9660000000000002</v>
      </c>
      <c r="G39" s="129">
        <f>INDEX($B$49:$X$58,MATCH($B39,$A$49:$A$58,0),MATCH(G$30,$B$48:$X$48,0))*$B$28</f>
        <v>0.624</v>
      </c>
      <c r="H39" s="129">
        <f>INDEX($B$49:$X$58,MATCH($B39,$A$49:$A$58,0),MATCH(H$30,$B$48:$X$48,0))*$B$28</f>
        <v>1.2130000000000001</v>
      </c>
      <c r="I39" s="129">
        <f t="shared" si="6"/>
        <v>0</v>
      </c>
      <c r="J39" s="129">
        <f t="shared" si="6"/>
        <v>0</v>
      </c>
      <c r="K39" s="129">
        <f t="shared" si="6"/>
        <v>0</v>
      </c>
      <c r="L39" s="129">
        <f t="shared" si="6"/>
        <v>0</v>
      </c>
      <c r="M39" s="129">
        <f t="shared" si="6"/>
        <v>0</v>
      </c>
      <c r="O39" t="s">
        <v>116</v>
      </c>
    </row>
    <row r="40" spans="1:24">
      <c r="B40" s="124" t="s">
        <v>118</v>
      </c>
      <c r="C40" s="129">
        <f t="shared" si="1"/>
        <v>101.64</v>
      </c>
      <c r="D40" s="129">
        <f t="shared" si="2"/>
        <v>0</v>
      </c>
      <c r="E40" s="129">
        <f t="shared" si="3"/>
        <v>4.2</v>
      </c>
      <c r="F40" s="129">
        <f t="shared" si="4"/>
        <v>22.608000000000001</v>
      </c>
      <c r="G40" s="129">
        <f>INDEX($B$49:$X$58,MATCH($B40,$A$49:$A$58,0),MATCH(G$30,$B$48:$X$48,0))*$B$28</f>
        <v>4.2889999999999997</v>
      </c>
      <c r="H40" s="129"/>
      <c r="I40" s="129">
        <f t="shared" si="6"/>
        <v>0</v>
      </c>
      <c r="J40" s="129">
        <f t="shared" si="6"/>
        <v>0</v>
      </c>
      <c r="K40" s="129">
        <f t="shared" si="6"/>
        <v>0</v>
      </c>
      <c r="L40" s="129">
        <f t="shared" si="6"/>
        <v>0</v>
      </c>
      <c r="M40" s="129">
        <f t="shared" si="6"/>
        <v>0</v>
      </c>
      <c r="O40" t="s">
        <v>118</v>
      </c>
    </row>
    <row r="46" spans="1:24">
      <c r="A46" s="28" t="s">
        <v>225</v>
      </c>
    </row>
    <row r="47" spans="1:24">
      <c r="A47" s="28" t="s">
        <v>226</v>
      </c>
    </row>
    <row r="48" spans="1:24" ht="25.5">
      <c r="B48" t="s">
        <v>72</v>
      </c>
      <c r="C48" t="s">
        <v>227</v>
      </c>
      <c r="D48" t="s">
        <v>228</v>
      </c>
      <c r="E48" s="125" t="s">
        <v>76</v>
      </c>
      <c r="F48" s="126" t="s">
        <v>78</v>
      </c>
      <c r="G48" s="126" t="s">
        <v>229</v>
      </c>
      <c r="H48" s="126" t="s">
        <v>80</v>
      </c>
      <c r="I48" s="126" t="s">
        <v>82</v>
      </c>
      <c r="J48" t="s">
        <v>230</v>
      </c>
      <c r="K48" t="s">
        <v>231</v>
      </c>
      <c r="L48" t="s">
        <v>232</v>
      </c>
      <c r="M48" t="s">
        <v>233</v>
      </c>
      <c r="N48" s="126" t="s">
        <v>84</v>
      </c>
      <c r="O48" s="128" t="s">
        <v>94</v>
      </c>
      <c r="P48" s="126" t="s">
        <v>86</v>
      </c>
      <c r="Q48" t="s">
        <v>234</v>
      </c>
      <c r="R48" t="s">
        <v>235</v>
      </c>
      <c r="S48" t="s">
        <v>236</v>
      </c>
      <c r="T48" t="s">
        <v>237</v>
      </c>
      <c r="U48" s="125" t="s">
        <v>221</v>
      </c>
      <c r="V48" s="126" t="s">
        <v>70</v>
      </c>
      <c r="W48" t="s">
        <v>238</v>
      </c>
      <c r="X48" t="s">
        <v>239</v>
      </c>
    </row>
    <row r="49" spans="1:16" ht="15">
      <c r="A49" s="26" t="s">
        <v>103</v>
      </c>
      <c r="B49" s="202">
        <f>C74</f>
        <v>38149</v>
      </c>
      <c r="F49" s="17">
        <v>110072</v>
      </c>
      <c r="G49" s="17">
        <v>110072</v>
      </c>
      <c r="H49">
        <v>0</v>
      </c>
      <c r="I49">
        <v>29931</v>
      </c>
      <c r="P49">
        <v>135.85721000000001</v>
      </c>
    </row>
    <row r="50" spans="1:16">
      <c r="A50" t="s">
        <v>105</v>
      </c>
      <c r="B50" s="199">
        <v>71118</v>
      </c>
      <c r="E50">
        <v>46089</v>
      </c>
      <c r="F50" s="17">
        <v>51899</v>
      </c>
      <c r="G50" s="17">
        <v>51899</v>
      </c>
    </row>
    <row r="51" spans="1:16">
      <c r="A51" t="s">
        <v>106</v>
      </c>
      <c r="B51" s="17">
        <v>47995</v>
      </c>
      <c r="C51" s="4"/>
      <c r="E51">
        <v>29828</v>
      </c>
      <c r="F51" s="17">
        <v>17312</v>
      </c>
      <c r="G51" s="17">
        <v>17312</v>
      </c>
      <c r="H51" s="17">
        <v>9878</v>
      </c>
      <c r="P51">
        <v>242</v>
      </c>
    </row>
    <row r="52" spans="1:16" ht="15">
      <c r="A52" t="s">
        <v>108</v>
      </c>
      <c r="B52" s="202">
        <v>24367</v>
      </c>
      <c r="C52" s="4"/>
      <c r="F52" s="202">
        <v>40459</v>
      </c>
      <c r="G52" s="17">
        <v>40459</v>
      </c>
      <c r="H52" s="202">
        <v>3690</v>
      </c>
    </row>
    <row r="53" spans="1:16" ht="15">
      <c r="A53" t="s">
        <v>117</v>
      </c>
      <c r="B53" s="28"/>
      <c r="C53" s="147"/>
      <c r="F53" s="202">
        <v>37372</v>
      </c>
      <c r="H53" s="17">
        <v>1773</v>
      </c>
      <c r="P53">
        <v>2627</v>
      </c>
    </row>
    <row r="54" spans="1:16" ht="15">
      <c r="A54" t="s">
        <v>110</v>
      </c>
      <c r="B54">
        <v>451</v>
      </c>
      <c r="F54" s="202">
        <f>54079-F53</f>
        <v>16707</v>
      </c>
      <c r="G54" s="17">
        <v>54079</v>
      </c>
      <c r="H54">
        <v>507</v>
      </c>
    </row>
    <row r="55" spans="1:16">
      <c r="A55" t="s">
        <v>112</v>
      </c>
      <c r="B55" s="17">
        <v>61284</v>
      </c>
      <c r="F55" s="17">
        <v>5875</v>
      </c>
      <c r="G55" s="17">
        <v>5875</v>
      </c>
      <c r="H55" s="17">
        <v>15123</v>
      </c>
      <c r="N55">
        <v>8116</v>
      </c>
    </row>
    <row r="56" spans="1:16" ht="15">
      <c r="A56" t="s">
        <v>114</v>
      </c>
      <c r="B56" s="202">
        <v>16272</v>
      </c>
      <c r="F56" s="17">
        <v>14952</v>
      </c>
      <c r="G56" s="17">
        <v>17502</v>
      </c>
      <c r="H56" s="17">
        <v>3824</v>
      </c>
      <c r="N56" t="s">
        <v>26</v>
      </c>
    </row>
    <row r="57" spans="1:16">
      <c r="A57" t="s">
        <v>116</v>
      </c>
      <c r="B57">
        <v>0</v>
      </c>
      <c r="F57" s="17">
        <v>7966</v>
      </c>
      <c r="G57" s="17">
        <v>14235</v>
      </c>
      <c r="H57">
        <v>624</v>
      </c>
      <c r="N57">
        <v>1213</v>
      </c>
    </row>
    <row r="58" spans="1:16" ht="15">
      <c r="A58" t="s">
        <v>118</v>
      </c>
      <c r="B58" s="22">
        <f>50820*2</f>
        <v>101640</v>
      </c>
      <c r="F58" s="17">
        <v>22608</v>
      </c>
      <c r="G58" s="17">
        <v>22608</v>
      </c>
      <c r="H58" s="17">
        <v>4289</v>
      </c>
      <c r="I58">
        <v>4200</v>
      </c>
      <c r="N58" t="s">
        <v>26</v>
      </c>
    </row>
    <row r="67" spans="1:8">
      <c r="A67" s="26" t="s">
        <v>240</v>
      </c>
      <c r="B67" s="26" t="s">
        <v>241</v>
      </c>
      <c r="C67" s="26" t="s">
        <v>242</v>
      </c>
      <c r="D67" s="26" t="s">
        <v>243</v>
      </c>
      <c r="E67" s="26" t="s">
        <v>244</v>
      </c>
      <c r="F67" s="26" t="s">
        <v>245</v>
      </c>
      <c r="H67">
        <v>180</v>
      </c>
    </row>
    <row r="68" spans="1:8">
      <c r="A68" s="26" t="s">
        <v>246</v>
      </c>
      <c r="B68" s="26"/>
      <c r="C68" s="26"/>
      <c r="D68" s="26"/>
      <c r="E68" s="26"/>
      <c r="F68" s="26">
        <v>5</v>
      </c>
      <c r="H68">
        <v>174.2</v>
      </c>
    </row>
    <row r="69" spans="1:8">
      <c r="A69" s="26" t="s">
        <v>247</v>
      </c>
      <c r="B69" s="26"/>
      <c r="C69" s="26"/>
      <c r="D69" s="26"/>
      <c r="E69" s="26"/>
      <c r="F69" s="26">
        <f>F68-F70</f>
        <v>2.2185185185184864E-2</v>
      </c>
      <c r="H69">
        <f>F68+H68</f>
        <v>179.2</v>
      </c>
    </row>
    <row r="70" spans="1:8">
      <c r="A70" s="26" t="s">
        <v>248</v>
      </c>
      <c r="B70" s="26"/>
      <c r="C70" s="26"/>
      <c r="D70" s="26"/>
      <c r="E70" s="26"/>
      <c r="F70" s="26">
        <f>SUM(F71:F78)</f>
        <v>4.9778148148148151</v>
      </c>
    </row>
    <row r="71" spans="1:8">
      <c r="A71" s="26" t="s">
        <v>249</v>
      </c>
      <c r="B71">
        <v>6112</v>
      </c>
      <c r="C71" s="17">
        <f>B56</f>
        <v>16272</v>
      </c>
      <c r="D71" s="17">
        <f>C71-B71</f>
        <v>10160</v>
      </c>
      <c r="E71">
        <v>27</v>
      </c>
      <c r="F71">
        <f>D71/E71/1000</f>
        <v>0.3762962962962963</v>
      </c>
    </row>
    <row r="72" spans="1:8">
      <c r="A72" s="26" t="s">
        <v>250</v>
      </c>
    </row>
    <row r="73" spans="1:8">
      <c r="A73" s="26" t="s">
        <v>251</v>
      </c>
      <c r="B73">
        <v>45400</v>
      </c>
      <c r="C73">
        <v>70718</v>
      </c>
      <c r="D73">
        <f>C73-B73</f>
        <v>25318</v>
      </c>
      <c r="E73">
        <v>27</v>
      </c>
      <c r="F73">
        <f>D73/E73/1000</f>
        <v>0.93770370370370371</v>
      </c>
    </row>
    <row r="74" spans="1:8">
      <c r="A74" s="26" t="s">
        <v>103</v>
      </c>
      <c r="B74">
        <v>1266</v>
      </c>
      <c r="C74">
        <v>38149</v>
      </c>
      <c r="D74">
        <f>C74-B74</f>
        <v>36883</v>
      </c>
      <c r="E74">
        <v>27</v>
      </c>
      <c r="F74">
        <f>D74/E74/1000</f>
        <v>1.3660370370370369</v>
      </c>
    </row>
    <row r="75" spans="1:8">
      <c r="A75" s="26" t="s">
        <v>252</v>
      </c>
    </row>
    <row r="76" spans="1:8">
      <c r="A76" s="26" t="s">
        <v>253</v>
      </c>
      <c r="B76">
        <v>48900</v>
      </c>
      <c r="C76">
        <v>59640</v>
      </c>
      <c r="D76">
        <f>C76-B76</f>
        <v>10740</v>
      </c>
      <c r="E76">
        <v>27</v>
      </c>
      <c r="F76">
        <f>D76/E76/1000</f>
        <v>0.39777777777777779</v>
      </c>
    </row>
    <row r="77" spans="1:8">
      <c r="A77" s="26" t="s">
        <v>254</v>
      </c>
      <c r="D77">
        <f>F77*1000*E77</f>
        <v>51300</v>
      </c>
      <c r="E77">
        <v>27</v>
      </c>
      <c r="F77">
        <v>1.9</v>
      </c>
    </row>
    <row r="80" spans="1:8">
      <c r="A80" s="28" t="s">
        <v>255</v>
      </c>
      <c r="B80" s="214">
        <v>91096</v>
      </c>
      <c r="C80" s="214">
        <f>B80+D80</f>
        <v>178454</v>
      </c>
      <c r="D80" s="28">
        <f>D77+D76+D73</f>
        <v>87358</v>
      </c>
      <c r="E80" s="28">
        <v>27</v>
      </c>
      <c r="F80" s="28">
        <f>D80/E80/1000</f>
        <v>3.2354814814814814</v>
      </c>
    </row>
  </sheetData>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CB45-9FEA-40BD-8C46-3CB166C9DE4B}">
  <sheetPr>
    <tabColor rgb="FF0070C0"/>
  </sheetPr>
  <dimension ref="B1:AE103"/>
  <sheetViews>
    <sheetView topLeftCell="A59" zoomScale="115" zoomScaleNormal="115" workbookViewId="0">
      <selection activeCell="J75" sqref="J75"/>
    </sheetView>
  </sheetViews>
  <sheetFormatPr defaultRowHeight="12.75"/>
  <cols>
    <col min="2" max="2" width="25.125" customWidth="1"/>
  </cols>
  <sheetData>
    <row r="1" spans="2:14">
      <c r="B1" s="26" t="s">
        <v>256</v>
      </c>
    </row>
    <row r="2" spans="2:14">
      <c r="C2" s="2"/>
      <c r="D2" s="32" t="s">
        <v>257</v>
      </c>
      <c r="E2" s="32"/>
      <c r="F2" s="32"/>
      <c r="G2" s="32"/>
      <c r="H2" s="32"/>
      <c r="I2" s="32"/>
      <c r="J2" s="32"/>
      <c r="K2" s="32"/>
      <c r="L2" s="31"/>
    </row>
    <row r="3" spans="2:14">
      <c r="B3" s="1" t="s">
        <v>258</v>
      </c>
      <c r="C3" s="40" t="s">
        <v>259</v>
      </c>
      <c r="D3" s="66" t="str">
        <f>VLOOKUP(NameConv!D21,NameConv!D21:E30,2,FALSE)</f>
        <v>MI</v>
      </c>
      <c r="E3" s="66" t="str">
        <f>VLOOKUP(NameConv!D22,NameConv!D20:E30,2,FALSE)</f>
        <v>FA</v>
      </c>
      <c r="F3" s="66" t="str">
        <f>VLOOKUP(NameConv!D23,NameConv!D21:E30,2,FALSE)</f>
        <v>IS</v>
      </c>
      <c r="G3" s="66" t="str">
        <f>VLOOKUP(NameConv!D29,NameConv!D21:E30,2,FALSE)</f>
        <v>AL</v>
      </c>
      <c r="H3" s="66" t="str">
        <f>VLOOKUP(NameConv!D24,NameConv!D21:E30,2,FALSE)</f>
        <v>CP</v>
      </c>
      <c r="I3" s="66" t="str">
        <f>VLOOKUP(NameConv!D25,NameConv!D21:E30,2,FALSE)</f>
        <v>NF</v>
      </c>
      <c r="J3" s="66" t="str">
        <f>VLOOKUP(NameConv!D26,NameConv!D21:E30,2,FALSE)</f>
        <v>NM</v>
      </c>
      <c r="K3" s="66" t="str">
        <f>VLOOKUP(NameConv!D27,NameConv!D21:E30,2,FALSE)</f>
        <v>FB</v>
      </c>
      <c r="L3" s="66" t="str">
        <f>VLOOKUP(NameConv!D30,NameConv!D21:E30,2,FALSE)</f>
        <v>OT</v>
      </c>
    </row>
    <row r="4" spans="2:14">
      <c r="B4" s="226" t="s">
        <v>321</v>
      </c>
      <c r="C4" s="224" t="s">
        <v>260</v>
      </c>
      <c r="D4" s="67">
        <f>H93/100</f>
        <v>0.02</v>
      </c>
      <c r="E4" s="67">
        <v>1</v>
      </c>
      <c r="F4" s="67">
        <v>0.4</v>
      </c>
      <c r="G4" s="67"/>
      <c r="H4" s="229">
        <v>0.02</v>
      </c>
      <c r="I4" s="229">
        <v>0.01</v>
      </c>
      <c r="J4" s="67">
        <f>R60/100</f>
        <v>0.23</v>
      </c>
      <c r="K4" s="67">
        <v>7.0000000000000007E-2</v>
      </c>
      <c r="L4" s="67">
        <f>H75/100</f>
        <v>9.6500000000000002E-2</v>
      </c>
    </row>
    <row r="5" spans="2:14">
      <c r="B5" s="226" t="s">
        <v>280</v>
      </c>
      <c r="C5" s="224" t="s">
        <v>261</v>
      </c>
      <c r="D5" s="67">
        <f>H94/100</f>
        <v>0.18584628215542981</v>
      </c>
      <c r="E5" s="67"/>
      <c r="F5" s="67">
        <v>0.05</v>
      </c>
      <c r="G5" s="67"/>
      <c r="H5" s="229">
        <v>0.15</v>
      </c>
      <c r="I5" s="229">
        <v>0</v>
      </c>
      <c r="J5" s="67">
        <f t="shared" ref="J5:J6" si="0">R61/100</f>
        <v>0.13</v>
      </c>
      <c r="K5" s="67">
        <v>0.04</v>
      </c>
      <c r="L5" s="67">
        <v>0.10929999999999999</v>
      </c>
    </row>
    <row r="6" spans="2:14">
      <c r="B6" s="226" t="s">
        <v>281</v>
      </c>
      <c r="C6" s="224" t="s">
        <v>262</v>
      </c>
      <c r="D6" s="67">
        <f t="shared" ref="D6:D11" si="1">H95/100</f>
        <v>4.4999999999999998E-2</v>
      </c>
      <c r="E6" s="67"/>
      <c r="F6" s="67">
        <v>3.5000000000000003E-2</v>
      </c>
      <c r="G6" s="67"/>
      <c r="H6" s="229">
        <v>0.04</v>
      </c>
      <c r="I6" s="229">
        <v>0.01</v>
      </c>
      <c r="J6" s="67">
        <f t="shared" si="0"/>
        <v>0.05</v>
      </c>
      <c r="K6" s="67">
        <v>0.05</v>
      </c>
      <c r="L6" s="67">
        <v>8.0700000000000008E-2</v>
      </c>
      <c r="N6" s="121" t="s">
        <v>263</v>
      </c>
    </row>
    <row r="7" spans="2:14">
      <c r="B7" s="226" t="s">
        <v>282</v>
      </c>
      <c r="C7" s="224" t="s">
        <v>264</v>
      </c>
      <c r="D7" s="67">
        <f t="shared" si="1"/>
        <v>8.1179476487047514E-2</v>
      </c>
      <c r="E7" s="67"/>
      <c r="F7" s="67">
        <v>0.01</v>
      </c>
      <c r="G7" s="67"/>
      <c r="H7" s="229">
        <v>0.05</v>
      </c>
      <c r="I7" s="229">
        <v>0</v>
      </c>
      <c r="J7" s="67">
        <f>R63/100</f>
        <v>0</v>
      </c>
      <c r="K7" s="67">
        <v>0.23</v>
      </c>
      <c r="L7" s="67">
        <v>5.1400000000000008E-2</v>
      </c>
    </row>
    <row r="8" spans="2:14">
      <c r="B8" s="226" t="s">
        <v>283</v>
      </c>
      <c r="C8" s="224" t="s">
        <v>265</v>
      </c>
      <c r="D8" s="67">
        <f t="shared" si="1"/>
        <v>0.08</v>
      </c>
      <c r="E8" s="67"/>
      <c r="F8" s="67">
        <v>0.02</v>
      </c>
      <c r="G8" s="67"/>
      <c r="H8" s="229">
        <v>0.02</v>
      </c>
      <c r="I8" s="229">
        <v>0.01</v>
      </c>
      <c r="J8" s="229">
        <v>0.02</v>
      </c>
      <c r="K8" s="67">
        <v>0.06</v>
      </c>
      <c r="L8" s="67">
        <v>8.4900000000000003E-2</v>
      </c>
    </row>
    <row r="9" spans="2:14">
      <c r="B9" s="226" t="s">
        <v>284</v>
      </c>
      <c r="C9" s="224" t="s">
        <v>266</v>
      </c>
      <c r="D9" s="67">
        <f t="shared" si="1"/>
        <v>0.1788716237927602</v>
      </c>
      <c r="E9" s="67"/>
      <c r="F9" s="67">
        <v>2.5000000000000001E-2</v>
      </c>
      <c r="G9" s="67"/>
      <c r="H9" s="229">
        <v>0.35</v>
      </c>
      <c r="I9" s="229">
        <v>0</v>
      </c>
      <c r="J9" s="67">
        <f>R65/100</f>
        <v>8.5000000000000006E-2</v>
      </c>
      <c r="K9" s="67">
        <v>0.28000000000000003</v>
      </c>
      <c r="L9" s="67">
        <v>0.13</v>
      </c>
    </row>
    <row r="10" spans="2:14">
      <c r="B10" s="226" t="s">
        <v>285</v>
      </c>
      <c r="C10" s="224" t="s">
        <v>267</v>
      </c>
      <c r="D10" s="67">
        <f t="shared" si="1"/>
        <v>6.8871623792760225E-2</v>
      </c>
      <c r="E10" s="67"/>
      <c r="F10" s="67">
        <v>4.4999999999999998E-2</v>
      </c>
      <c r="G10" s="67"/>
      <c r="H10" s="229">
        <v>0.08</v>
      </c>
      <c r="I10" s="229">
        <v>0</v>
      </c>
      <c r="J10" s="67">
        <f>R66/100</f>
        <v>0.09</v>
      </c>
      <c r="K10" s="67">
        <v>0.04</v>
      </c>
      <c r="L10" s="67">
        <v>5.5350000000000003E-2</v>
      </c>
    </row>
    <row r="11" spans="2:14">
      <c r="B11" s="226" t="s">
        <v>286</v>
      </c>
      <c r="C11" s="225" t="s">
        <v>268</v>
      </c>
      <c r="D11" s="67">
        <f t="shared" si="1"/>
        <v>0.3379309937720022</v>
      </c>
      <c r="E11" s="67"/>
      <c r="F11" s="67">
        <v>0.41499999999999998</v>
      </c>
      <c r="G11" s="67"/>
      <c r="H11" s="229">
        <v>0.2</v>
      </c>
      <c r="I11" s="229">
        <v>7.0000000000000007E-2</v>
      </c>
      <c r="J11" s="67">
        <f>1-SUM(J4:J10,J12:J14)</f>
        <v>0.39500000000000002</v>
      </c>
      <c r="K11" s="67">
        <v>0.21</v>
      </c>
      <c r="L11" s="67">
        <v>0.36883000000000005</v>
      </c>
    </row>
    <row r="12" spans="2:14">
      <c r="B12" s="226" t="s">
        <v>287</v>
      </c>
      <c r="C12" s="225" t="s">
        <v>269</v>
      </c>
      <c r="D12" s="67">
        <f>H101/100</f>
        <v>2.3E-3</v>
      </c>
      <c r="E12" s="67"/>
      <c r="F12" s="67">
        <v>0</v>
      </c>
      <c r="G12" s="67"/>
      <c r="H12" s="229">
        <v>0.08</v>
      </c>
      <c r="I12" s="229">
        <v>0.9</v>
      </c>
      <c r="J12" s="229">
        <v>0</v>
      </c>
      <c r="K12" s="67">
        <v>0</v>
      </c>
      <c r="L12" s="67">
        <v>1.302E-2</v>
      </c>
    </row>
    <row r="13" spans="2:14">
      <c r="B13" s="226" t="s">
        <v>481</v>
      </c>
      <c r="C13" s="225" t="s">
        <v>270</v>
      </c>
      <c r="D13" s="67">
        <f>H102/100</f>
        <v>0</v>
      </c>
      <c r="E13" s="67"/>
      <c r="F13" s="67">
        <v>0</v>
      </c>
      <c r="G13" s="67"/>
      <c r="H13" s="229">
        <v>0.01</v>
      </c>
      <c r="I13" s="229">
        <v>0</v>
      </c>
      <c r="J13" s="67">
        <v>0</v>
      </c>
      <c r="K13" s="67">
        <v>0.02</v>
      </c>
      <c r="L13" s="243">
        <v>0.01</v>
      </c>
    </row>
    <row r="14" spans="2:14">
      <c r="B14" s="226" t="s">
        <v>271</v>
      </c>
      <c r="C14" s="225" t="s">
        <v>272</v>
      </c>
      <c r="D14" s="67">
        <v>1</v>
      </c>
      <c r="E14" s="67">
        <v>1</v>
      </c>
      <c r="F14" s="67">
        <v>1</v>
      </c>
      <c r="G14" s="67">
        <v>0</v>
      </c>
      <c r="H14" s="67">
        <v>0</v>
      </c>
      <c r="I14" s="67">
        <v>0</v>
      </c>
      <c r="J14" s="67">
        <v>0</v>
      </c>
      <c r="K14" s="67">
        <v>1</v>
      </c>
      <c r="L14" s="67">
        <v>2</v>
      </c>
    </row>
    <row r="15" spans="2:14">
      <c r="B15" s="227" t="s">
        <v>273</v>
      </c>
      <c r="C15" s="225" t="s">
        <v>274</v>
      </c>
      <c r="D15" s="67">
        <f>H94/100</f>
        <v>0.18584628215542981</v>
      </c>
      <c r="E15" s="67">
        <f>K61/100</f>
        <v>0.05</v>
      </c>
      <c r="F15" s="67">
        <v>0.15</v>
      </c>
      <c r="G15" s="67">
        <v>0</v>
      </c>
      <c r="H15" s="67">
        <f>R61/100</f>
        <v>0.13</v>
      </c>
      <c r="I15" s="229">
        <v>0.04</v>
      </c>
      <c r="J15" s="229">
        <v>0.35</v>
      </c>
      <c r="K15" s="67">
        <f>H76/100</f>
        <v>0.10929999999999999</v>
      </c>
      <c r="L15" s="67">
        <f>1%</f>
        <v>0.01</v>
      </c>
    </row>
    <row r="16" spans="2:14">
      <c r="B16" s="45" t="s">
        <v>275</v>
      </c>
      <c r="C16" s="46"/>
      <c r="D16" s="47">
        <f t="shared" ref="D16:K16" si="2">SUM(D4:D15)</f>
        <v>2.1858462821554299</v>
      </c>
      <c r="E16" s="47">
        <f t="shared" si="2"/>
        <v>2.0499999999999998</v>
      </c>
      <c r="F16" s="47">
        <f t="shared" si="2"/>
        <v>2.15</v>
      </c>
      <c r="G16" s="47">
        <f t="shared" si="2"/>
        <v>0</v>
      </c>
      <c r="H16" s="47">
        <f t="shared" si="2"/>
        <v>1.1299999999999999</v>
      </c>
      <c r="I16" s="47">
        <f t="shared" si="2"/>
        <v>1.04</v>
      </c>
      <c r="J16" s="47">
        <f t="shared" si="2"/>
        <v>1.35</v>
      </c>
      <c r="K16" s="47">
        <f t="shared" si="2"/>
        <v>2.1093000000000002</v>
      </c>
      <c r="L16" s="47">
        <f>SUM(L4:L15)</f>
        <v>3.01</v>
      </c>
    </row>
    <row r="19" spans="2:15" ht="18">
      <c r="B19" s="106" t="s">
        <v>276</v>
      </c>
    </row>
    <row r="21" spans="2:15">
      <c r="B21" s="105"/>
      <c r="C21" s="26"/>
      <c r="D21" s="26"/>
    </row>
    <row r="22" spans="2:15">
      <c r="D22" s="26"/>
    </row>
    <row r="26" spans="2:15" ht="15.75">
      <c r="B26" s="232"/>
      <c r="C26" s="232" t="s">
        <v>277</v>
      </c>
    </row>
    <row r="27" spans="2:15" ht="15.75">
      <c r="B27" s="251" t="s">
        <v>278</v>
      </c>
      <c r="C27" s="231">
        <v>0.76</v>
      </c>
      <c r="J27" s="121"/>
      <c r="K27" s="121"/>
    </row>
    <row r="28" spans="2:15" ht="15.75">
      <c r="B28" s="251" t="s">
        <v>279</v>
      </c>
      <c r="C28" s="231">
        <v>1</v>
      </c>
      <c r="E28" s="26"/>
      <c r="O28" s="19"/>
    </row>
    <row r="29" spans="2:15" ht="15.75">
      <c r="B29" s="251" t="s">
        <v>280</v>
      </c>
      <c r="C29" s="231">
        <v>0.05</v>
      </c>
      <c r="O29" s="19"/>
    </row>
    <row r="30" spans="2:15" ht="15.75">
      <c r="B30" s="251" t="s">
        <v>281</v>
      </c>
      <c r="C30" s="231">
        <v>0.3</v>
      </c>
      <c r="O30" s="19"/>
    </row>
    <row r="31" spans="2:15" ht="15.75">
      <c r="B31" s="251" t="s">
        <v>282</v>
      </c>
      <c r="C31" s="231">
        <v>2</v>
      </c>
      <c r="O31" s="19"/>
    </row>
    <row r="32" spans="2:15" ht="15.75">
      <c r="B32" s="251" t="s">
        <v>283</v>
      </c>
      <c r="C32" s="231">
        <v>0.9</v>
      </c>
      <c r="O32" s="19"/>
    </row>
    <row r="33" spans="2:15" ht="15.75">
      <c r="B33" s="251" t="s">
        <v>284</v>
      </c>
      <c r="C33" s="231">
        <v>0.8</v>
      </c>
      <c r="O33" s="19"/>
    </row>
    <row r="34" spans="2:15" ht="15.75">
      <c r="B34" s="251" t="s">
        <v>285</v>
      </c>
      <c r="C34" s="231">
        <v>0.8</v>
      </c>
      <c r="O34" s="19"/>
    </row>
    <row r="35" spans="2:15" ht="15.75">
      <c r="B35" s="251" t="s">
        <v>286</v>
      </c>
      <c r="C35" s="231">
        <v>0.8</v>
      </c>
      <c r="O35" s="19"/>
    </row>
    <row r="36" spans="2:15" ht="15.75">
      <c r="B36" s="251" t="s">
        <v>287</v>
      </c>
      <c r="C36" s="231">
        <v>1</v>
      </c>
      <c r="O36" s="19"/>
    </row>
    <row r="37" spans="2:15">
      <c r="C37" s="4"/>
      <c r="O37" s="19"/>
    </row>
    <row r="38" spans="2:15">
      <c r="B38" s="26" t="s">
        <v>605</v>
      </c>
      <c r="C38" s="4"/>
    </row>
    <row r="39" spans="2:15">
      <c r="B39" s="6" t="s">
        <v>604</v>
      </c>
      <c r="C39" s="4"/>
    </row>
    <row r="40" spans="2:15" ht="15.75">
      <c r="B40" s="71" t="s">
        <v>72</v>
      </c>
      <c r="C40" s="231">
        <v>0.64</v>
      </c>
      <c r="D40" s="4"/>
    </row>
    <row r="41" spans="2:15" ht="15.75">
      <c r="B41" s="71" t="s">
        <v>80</v>
      </c>
      <c r="C41" s="231">
        <v>0.72</v>
      </c>
      <c r="D41" s="4"/>
    </row>
    <row r="42" spans="2:15" ht="15.75">
      <c r="B42" s="71" t="s">
        <v>288</v>
      </c>
      <c r="C42" s="231">
        <v>0.68</v>
      </c>
      <c r="D42" s="4"/>
      <c r="E42" s="26"/>
    </row>
    <row r="43" spans="2:15" ht="15.75">
      <c r="B43" s="71" t="s">
        <v>289</v>
      </c>
      <c r="C43" s="231">
        <v>0.72</v>
      </c>
      <c r="D43" s="4"/>
    </row>
    <row r="44" spans="2:15" ht="15.75">
      <c r="B44" s="71" t="s">
        <v>290</v>
      </c>
      <c r="C44" s="231">
        <v>0.6</v>
      </c>
      <c r="D44" s="4"/>
    </row>
    <row r="45" spans="2:15" ht="15.75">
      <c r="B45" s="71" t="s">
        <v>291</v>
      </c>
      <c r="C45" s="231">
        <v>0.6</v>
      </c>
      <c r="D45" s="4"/>
    </row>
    <row r="46" spans="2:15" ht="15.75">
      <c r="B46" s="71" t="s">
        <v>88</v>
      </c>
      <c r="C46" s="231">
        <v>0.6</v>
      </c>
      <c r="D46" s="4"/>
    </row>
    <row r="47" spans="2:15">
      <c r="C47" s="4"/>
    </row>
    <row r="48" spans="2:15">
      <c r="C48" s="4"/>
    </row>
    <row r="49" spans="2:21">
      <c r="C49" s="4"/>
    </row>
    <row r="50" spans="2:21" ht="15.75">
      <c r="B50" s="232" t="s">
        <v>292</v>
      </c>
      <c r="C50" s="231">
        <v>1</v>
      </c>
      <c r="E50" s="26"/>
    </row>
    <row r="51" spans="2:21" ht="15.75">
      <c r="B51" s="232" t="s">
        <v>293</v>
      </c>
      <c r="C51" s="231">
        <v>1</v>
      </c>
    </row>
    <row r="52" spans="2:21" ht="15.75">
      <c r="B52" s="232" t="s">
        <v>88</v>
      </c>
      <c r="C52" s="231">
        <v>0.6</v>
      </c>
    </row>
    <row r="54" spans="2:21">
      <c r="B54" t="s">
        <v>294</v>
      </c>
      <c r="H54" t="s">
        <v>295</v>
      </c>
    </row>
    <row r="55" spans="2:21" ht="15.75">
      <c r="B55" s="236" t="s">
        <v>296</v>
      </c>
    </row>
    <row r="56" spans="2:21">
      <c r="B56" s="18" t="s">
        <v>297</v>
      </c>
      <c r="C56" s="18"/>
      <c r="D56" s="18"/>
      <c r="E56" s="18"/>
      <c r="F56" s="18"/>
      <c r="G56" s="18"/>
      <c r="H56" s="18"/>
      <c r="I56" s="18"/>
      <c r="J56" s="18"/>
      <c r="K56" s="18"/>
      <c r="L56" s="16" t="s">
        <v>298</v>
      </c>
      <c r="M56" s="16"/>
      <c r="N56" s="16"/>
      <c r="O56" s="16"/>
      <c r="P56" s="16"/>
      <c r="Q56" s="16"/>
      <c r="R56" s="16"/>
    </row>
    <row r="57" spans="2:21">
      <c r="E57" t="s">
        <v>299</v>
      </c>
      <c r="G57" t="s">
        <v>300</v>
      </c>
      <c r="H57" t="s">
        <v>301</v>
      </c>
      <c r="I57" t="s">
        <v>302</v>
      </c>
      <c r="S57" t="s">
        <v>303</v>
      </c>
      <c r="T57" t="s">
        <v>304</v>
      </c>
      <c r="U57" t="s">
        <v>305</v>
      </c>
    </row>
    <row r="58" spans="2:21">
      <c r="C58" t="s">
        <v>306</v>
      </c>
      <c r="D58" t="s">
        <v>307</v>
      </c>
      <c r="E58" t="s">
        <v>308</v>
      </c>
      <c r="F58" t="s">
        <v>309</v>
      </c>
      <c r="G58" t="s">
        <v>310</v>
      </c>
      <c r="H58">
        <v>172625</v>
      </c>
      <c r="I58" t="s">
        <v>311</v>
      </c>
      <c r="J58" t="s">
        <v>312</v>
      </c>
      <c r="K58" t="s">
        <v>313</v>
      </c>
      <c r="M58" t="s">
        <v>306</v>
      </c>
      <c r="N58" t="s">
        <v>307</v>
      </c>
      <c r="O58" t="s">
        <v>314</v>
      </c>
      <c r="P58" t="s">
        <v>315</v>
      </c>
      <c r="Q58" t="s">
        <v>316</v>
      </c>
      <c r="R58" s="19" t="s">
        <v>317</v>
      </c>
      <c r="S58" t="s">
        <v>311</v>
      </c>
      <c r="T58" t="s">
        <v>311</v>
      </c>
      <c r="U58" t="s">
        <v>311</v>
      </c>
    </row>
    <row r="59" spans="2:21">
      <c r="B59" t="s">
        <v>318</v>
      </c>
      <c r="C59">
        <v>0</v>
      </c>
      <c r="D59" t="s">
        <v>319</v>
      </c>
      <c r="H59">
        <f>8316/12</f>
        <v>693</v>
      </c>
      <c r="I59" s="233">
        <v>3.8409613812249244E-3</v>
      </c>
      <c r="K59" s="19">
        <v>0</v>
      </c>
      <c r="L59" t="s">
        <v>320</v>
      </c>
      <c r="M59">
        <v>0</v>
      </c>
      <c r="R59" s="19"/>
      <c r="S59" s="233">
        <v>1.1383964872337001E-3</v>
      </c>
      <c r="T59" s="233">
        <v>8.3970106642035437E-5</v>
      </c>
      <c r="U59" s="233">
        <v>1.5269850806047863E-3</v>
      </c>
    </row>
    <row r="60" spans="2:21">
      <c r="B60" t="s">
        <v>321</v>
      </c>
      <c r="C60">
        <v>39</v>
      </c>
      <c r="D60">
        <v>3.5</v>
      </c>
      <c r="H60">
        <f>+H59/H58*100</f>
        <v>0.40144822592324397</v>
      </c>
      <c r="I60" s="233">
        <v>0.42007187541594571</v>
      </c>
      <c r="J60" t="s">
        <v>319</v>
      </c>
      <c r="K60" s="19">
        <v>40</v>
      </c>
      <c r="L60" t="s">
        <v>322</v>
      </c>
      <c r="M60">
        <v>8</v>
      </c>
      <c r="N60">
        <v>22.7</v>
      </c>
      <c r="P60">
        <f>712/(1336.1)</f>
        <v>0.53289424444278122</v>
      </c>
      <c r="R60" s="19">
        <v>23</v>
      </c>
      <c r="S60" s="233">
        <v>0.37136119694259229</v>
      </c>
      <c r="T60" s="233">
        <v>0.10328323116970359</v>
      </c>
      <c r="U60" s="233">
        <v>0.23265244818263742</v>
      </c>
    </row>
    <row r="61" spans="2:21">
      <c r="B61" t="s">
        <v>323</v>
      </c>
      <c r="C61">
        <v>8</v>
      </c>
      <c r="D61">
        <v>4.29</v>
      </c>
      <c r="I61" s="233"/>
      <c r="K61" s="19">
        <v>5</v>
      </c>
      <c r="L61" t="s">
        <v>323</v>
      </c>
      <c r="M61">
        <v>14</v>
      </c>
      <c r="N61">
        <v>6.95</v>
      </c>
      <c r="P61">
        <f>180/1336.1</f>
        <v>0.1347204550557593</v>
      </c>
      <c r="R61" s="19">
        <v>13</v>
      </c>
      <c r="S61" s="233"/>
      <c r="T61" s="233"/>
      <c r="U61" s="233"/>
    </row>
    <row r="62" spans="2:21">
      <c r="B62" t="s">
        <v>324</v>
      </c>
      <c r="C62">
        <v>4</v>
      </c>
      <c r="D62">
        <v>3.5</v>
      </c>
      <c r="E62">
        <v>0.4</v>
      </c>
      <c r="I62" s="233">
        <v>3.4530623110418102E-2</v>
      </c>
      <c r="K62" s="19">
        <v>3.5</v>
      </c>
      <c r="L62" t="s">
        <v>324</v>
      </c>
      <c r="M62">
        <v>3</v>
      </c>
      <c r="N62">
        <v>10.89</v>
      </c>
      <c r="P62">
        <f>34.2/1336.1</f>
        <v>2.559688646059427E-2</v>
      </c>
      <c r="R62" s="19">
        <v>5</v>
      </c>
      <c r="S62" s="233">
        <v>5.4073833143600585E-2</v>
      </c>
      <c r="T62" s="233">
        <v>2.5610882525820809E-2</v>
      </c>
      <c r="U62" s="233">
        <v>4.7661960548713328E-2</v>
      </c>
    </row>
    <row r="63" spans="2:21">
      <c r="B63" t="s">
        <v>325</v>
      </c>
      <c r="C63">
        <v>1</v>
      </c>
      <c r="D63">
        <v>0</v>
      </c>
      <c r="I63" s="233">
        <v>6.997394991538476E-3</v>
      </c>
      <c r="K63" s="19">
        <v>1</v>
      </c>
      <c r="L63" t="s">
        <v>325</v>
      </c>
      <c r="M63">
        <v>0</v>
      </c>
      <c r="N63">
        <v>0</v>
      </c>
      <c r="R63" s="19">
        <v>0</v>
      </c>
      <c r="S63" s="233">
        <v>5.9277931370954627E-2</v>
      </c>
      <c r="T63" s="233">
        <v>1.3687127382651775E-2</v>
      </c>
      <c r="U63" s="233">
        <v>2.848703314308601E-2</v>
      </c>
    </row>
    <row r="64" spans="2:21">
      <c r="B64" t="s">
        <v>326</v>
      </c>
      <c r="C64">
        <v>3</v>
      </c>
      <c r="D64">
        <v>0.59</v>
      </c>
      <c r="I64" s="233">
        <v>2.8769181038580744E-2</v>
      </c>
      <c r="K64" s="19">
        <v>2</v>
      </c>
      <c r="L64" t="s">
        <v>326</v>
      </c>
      <c r="M64">
        <v>3</v>
      </c>
      <c r="N64">
        <v>0.68</v>
      </c>
      <c r="R64" s="19">
        <v>3</v>
      </c>
      <c r="S64" s="233">
        <v>6.1798666449829238E-2</v>
      </c>
      <c r="T64" s="233">
        <v>2.5023091779326559E-2</v>
      </c>
      <c r="U64" s="233">
        <v>5.0916191048362869E-2</v>
      </c>
    </row>
    <row r="65" spans="2:21">
      <c r="B65" t="s">
        <v>327</v>
      </c>
      <c r="D65">
        <v>2.61</v>
      </c>
      <c r="I65" s="233"/>
      <c r="K65" s="19">
        <v>2.5</v>
      </c>
      <c r="L65" t="s">
        <v>327</v>
      </c>
      <c r="N65">
        <v>8.57</v>
      </c>
      <c r="R65" s="19">
        <v>8.5</v>
      </c>
      <c r="S65" s="233"/>
      <c r="T65" s="233"/>
      <c r="U65" s="233"/>
    </row>
    <row r="66" spans="2:21">
      <c r="B66" t="s">
        <v>328</v>
      </c>
      <c r="D66">
        <v>4.59</v>
      </c>
      <c r="I66" s="233"/>
      <c r="K66" s="19">
        <v>4.5</v>
      </c>
      <c r="L66" t="s">
        <v>328</v>
      </c>
      <c r="N66">
        <v>8.99</v>
      </c>
      <c r="R66" s="19">
        <v>9</v>
      </c>
      <c r="S66" s="233"/>
      <c r="T66" s="233"/>
      <c r="U66" s="233"/>
    </row>
    <row r="67" spans="2:21">
      <c r="B67" t="s">
        <v>329</v>
      </c>
      <c r="I67" s="233">
        <v>0.47369321747066989</v>
      </c>
      <c r="K67" s="19">
        <f>100-SUM(K59:K66)</f>
        <v>41.5</v>
      </c>
      <c r="L67" t="s">
        <v>329</v>
      </c>
      <c r="N67">
        <v>17.5</v>
      </c>
      <c r="P67">
        <f>+(54+26)/1336.1</f>
        <v>5.9875757802559694E-2</v>
      </c>
      <c r="R67" s="19">
        <f>100-SUM(R59:R66)-R68</f>
        <v>38.35</v>
      </c>
      <c r="S67" s="233">
        <v>0.39494226703529028</v>
      </c>
      <c r="T67" s="233">
        <v>0.81157108069527251</v>
      </c>
      <c r="U67" s="233">
        <v>0.57960348452988886</v>
      </c>
    </row>
    <row r="68" spans="2:21">
      <c r="B68" t="s">
        <v>330</v>
      </c>
      <c r="D68">
        <v>6.99</v>
      </c>
      <c r="I68" s="233">
        <v>1.7892795345211158E-2</v>
      </c>
      <c r="K68" s="19"/>
      <c r="L68" t="s">
        <v>330</v>
      </c>
      <c r="N68">
        <v>0.16</v>
      </c>
      <c r="R68" s="19">
        <v>0.15</v>
      </c>
      <c r="S68" s="233">
        <v>9.5137420718816069E-3</v>
      </c>
      <c r="T68" s="233">
        <v>0</v>
      </c>
      <c r="U68" s="233">
        <v>7.7350555722439174E-3</v>
      </c>
    </row>
    <row r="69" spans="2:21">
      <c r="B69" t="s">
        <v>331</v>
      </c>
      <c r="D69">
        <v>56.02</v>
      </c>
      <c r="I69" s="5"/>
      <c r="K69" s="19"/>
    </row>
    <row r="70" spans="2:21">
      <c r="I70" s="5"/>
      <c r="K70" s="19"/>
    </row>
    <row r="71" spans="2:21">
      <c r="B71" s="20" t="s">
        <v>332</v>
      </c>
      <c r="C71" s="20"/>
      <c r="D71" s="20"/>
      <c r="E71" s="20"/>
      <c r="F71" s="20"/>
      <c r="G71" s="20"/>
      <c r="H71" s="20"/>
      <c r="I71" t="s">
        <v>333</v>
      </c>
      <c r="J71" t="s">
        <v>334</v>
      </c>
      <c r="K71" t="s">
        <v>333</v>
      </c>
      <c r="L71" t="s">
        <v>334</v>
      </c>
      <c r="M71" t="s">
        <v>335</v>
      </c>
      <c r="N71" t="s">
        <v>336</v>
      </c>
    </row>
    <row r="72" spans="2:21">
      <c r="I72" t="s">
        <v>337</v>
      </c>
    </row>
    <row r="73" spans="2:21" ht="15.75">
      <c r="B73" s="236" t="s">
        <v>296</v>
      </c>
      <c r="C73" t="s">
        <v>338</v>
      </c>
      <c r="D73" t="s">
        <v>339</v>
      </c>
      <c r="E73" t="s">
        <v>340</v>
      </c>
      <c r="F73" t="s">
        <v>341</v>
      </c>
      <c r="G73" t="s">
        <v>342</v>
      </c>
      <c r="H73" t="s">
        <v>343</v>
      </c>
      <c r="I73" t="s">
        <v>344</v>
      </c>
      <c r="J73" t="s">
        <v>345</v>
      </c>
      <c r="K73" t="s">
        <v>346</v>
      </c>
      <c r="L73" t="s">
        <v>340</v>
      </c>
      <c r="M73" t="s">
        <v>340</v>
      </c>
      <c r="N73" t="s">
        <v>347</v>
      </c>
      <c r="O73" t="s">
        <v>348</v>
      </c>
      <c r="P73" s="21" t="s">
        <v>349</v>
      </c>
      <c r="Q73" s="21" t="s">
        <v>350</v>
      </c>
    </row>
    <row r="74" spans="2:21" ht="15">
      <c r="B74" t="s">
        <v>351</v>
      </c>
      <c r="C74" t="s">
        <v>154</v>
      </c>
      <c r="D74">
        <v>1</v>
      </c>
      <c r="H74" s="19">
        <f>+P74*0.07+Q74*0.93</f>
        <v>1</v>
      </c>
      <c r="I74" s="234">
        <v>7.1555154311699603E-3</v>
      </c>
      <c r="J74">
        <v>1</v>
      </c>
      <c r="O74">
        <v>1</v>
      </c>
      <c r="P74" s="21">
        <f t="shared" ref="P74:P79" si="3">+J74</f>
        <v>1</v>
      </c>
      <c r="Q74" s="21">
        <v>1</v>
      </c>
    </row>
    <row r="75" spans="2:21" ht="15">
      <c r="B75" t="s">
        <v>352</v>
      </c>
      <c r="C75" t="s">
        <v>154</v>
      </c>
      <c r="D75">
        <v>10</v>
      </c>
      <c r="H75" s="19">
        <f t="shared" ref="H75:H83" si="4">+P75*0.07+Q75*0.93</f>
        <v>9.65</v>
      </c>
      <c r="I75" s="234">
        <v>4.4939311866787041E-2</v>
      </c>
      <c r="J75">
        <v>5</v>
      </c>
      <c r="L75">
        <v>25.54</v>
      </c>
      <c r="M75">
        <v>38.1</v>
      </c>
      <c r="N75" s="233">
        <v>9.4268098988677412E-2</v>
      </c>
      <c r="O75">
        <v>10</v>
      </c>
      <c r="P75" s="21">
        <f t="shared" si="3"/>
        <v>5</v>
      </c>
      <c r="Q75" s="21">
        <v>10</v>
      </c>
    </row>
    <row r="76" spans="2:21" ht="15">
      <c r="B76" t="s">
        <v>353</v>
      </c>
      <c r="C76" t="s">
        <v>154</v>
      </c>
      <c r="D76">
        <v>9</v>
      </c>
      <c r="H76" s="19">
        <f t="shared" si="4"/>
        <v>10.93</v>
      </c>
      <c r="I76" s="234"/>
      <c r="J76">
        <v>10</v>
      </c>
      <c r="M76">
        <v>11.12</v>
      </c>
      <c r="N76" s="235"/>
      <c r="O76">
        <v>9</v>
      </c>
      <c r="P76" s="21">
        <f t="shared" si="3"/>
        <v>10</v>
      </c>
      <c r="Q76" s="21">
        <v>11</v>
      </c>
    </row>
    <row r="77" spans="2:21" ht="15">
      <c r="B77" t="s">
        <v>354</v>
      </c>
      <c r="C77" t="s">
        <v>154</v>
      </c>
      <c r="D77">
        <v>6</v>
      </c>
      <c r="H77" s="19">
        <f t="shared" si="4"/>
        <v>8.07</v>
      </c>
      <c r="I77" s="234">
        <v>8.8674892165713712E-2</v>
      </c>
      <c r="J77">
        <v>9</v>
      </c>
      <c r="L77">
        <v>8.52</v>
      </c>
      <c r="M77">
        <v>10</v>
      </c>
      <c r="N77" s="233">
        <v>0.13407643767630734</v>
      </c>
      <c r="O77">
        <v>6</v>
      </c>
      <c r="P77" s="21">
        <f t="shared" si="3"/>
        <v>9</v>
      </c>
      <c r="Q77" s="21">
        <v>8</v>
      </c>
    </row>
    <row r="78" spans="2:21" ht="15">
      <c r="B78" t="s">
        <v>355</v>
      </c>
      <c r="C78" t="s">
        <v>154</v>
      </c>
      <c r="D78">
        <v>5</v>
      </c>
      <c r="H78" s="19">
        <f t="shared" si="4"/>
        <v>5.1400000000000006</v>
      </c>
      <c r="I78" s="234">
        <v>9.235296084528706E-2</v>
      </c>
      <c r="J78">
        <v>7</v>
      </c>
      <c r="N78" s="233">
        <v>3.3288532101077684E-2</v>
      </c>
      <c r="O78">
        <v>5</v>
      </c>
      <c r="P78" s="21">
        <f t="shared" si="3"/>
        <v>7</v>
      </c>
      <c r="Q78" s="21">
        <v>5</v>
      </c>
    </row>
    <row r="79" spans="2:21" ht="15">
      <c r="B79" t="s">
        <v>356</v>
      </c>
      <c r="C79" t="s">
        <v>154</v>
      </c>
      <c r="D79">
        <v>8</v>
      </c>
      <c r="H79" s="19">
        <f t="shared" si="4"/>
        <v>8.49</v>
      </c>
      <c r="I79" s="234">
        <v>0.13806132343598487</v>
      </c>
      <c r="J79">
        <v>15</v>
      </c>
      <c r="L79">
        <v>0.53</v>
      </c>
      <c r="M79">
        <v>2.4</v>
      </c>
      <c r="N79" s="233">
        <v>0.1760960449329351</v>
      </c>
      <c r="O79">
        <v>8</v>
      </c>
      <c r="P79" s="21">
        <f t="shared" si="3"/>
        <v>15</v>
      </c>
      <c r="Q79" s="21">
        <v>8</v>
      </c>
    </row>
    <row r="80" spans="2:21" ht="15">
      <c r="B80" t="s">
        <v>357</v>
      </c>
      <c r="C80" t="s">
        <v>154</v>
      </c>
      <c r="H80" s="19">
        <f t="shared" si="4"/>
        <v>13</v>
      </c>
      <c r="I80" s="234"/>
      <c r="M80">
        <v>12.88</v>
      </c>
      <c r="N80" s="233" t="s">
        <v>336</v>
      </c>
      <c r="P80" s="21">
        <v>13</v>
      </c>
      <c r="Q80" s="21">
        <v>13</v>
      </c>
    </row>
    <row r="81" spans="2:31" ht="15">
      <c r="B81" t="s">
        <v>358</v>
      </c>
      <c r="H81" s="19">
        <f t="shared" si="4"/>
        <v>5.5350000000000001</v>
      </c>
      <c r="I81" s="234"/>
      <c r="M81">
        <v>5.46</v>
      </c>
      <c r="N81" s="235"/>
      <c r="P81" s="21">
        <v>6</v>
      </c>
      <c r="Q81" s="21">
        <v>5.5</v>
      </c>
    </row>
    <row r="82" spans="2:31" ht="15">
      <c r="B82" t="s">
        <v>359</v>
      </c>
      <c r="D82">
        <v>47</v>
      </c>
      <c r="H82" s="19">
        <f t="shared" si="4"/>
        <v>36.883000000000003</v>
      </c>
      <c r="I82" s="234">
        <v>0.58243889390443704</v>
      </c>
      <c r="J82">
        <v>50</v>
      </c>
      <c r="N82" s="233" t="s">
        <v>336</v>
      </c>
      <c r="P82" s="21">
        <f>100-SUM(P74:P81)</f>
        <v>34</v>
      </c>
      <c r="Q82" s="21">
        <f>100-SUM(Q74:Q81)-Q83</f>
        <v>37.1</v>
      </c>
    </row>
    <row r="83" spans="2:31" ht="15">
      <c r="B83" t="s">
        <v>360</v>
      </c>
      <c r="D83">
        <v>11</v>
      </c>
      <c r="H83" s="19">
        <f t="shared" si="4"/>
        <v>1.302</v>
      </c>
      <c r="I83" s="3"/>
      <c r="J83">
        <v>0</v>
      </c>
      <c r="L83">
        <v>1.42</v>
      </c>
      <c r="N83" s="233">
        <v>1.236017951347609E-2</v>
      </c>
      <c r="O83">
        <v>11</v>
      </c>
      <c r="P83" s="21"/>
      <c r="Q83" s="21">
        <v>1.4</v>
      </c>
    </row>
    <row r="84" spans="2:31" ht="15">
      <c r="H84" s="19"/>
      <c r="I84" s="3"/>
      <c r="P84" s="21"/>
      <c r="Q84" s="21"/>
    </row>
    <row r="85" spans="2:31" ht="15">
      <c r="H85" s="19"/>
      <c r="P85" s="21"/>
      <c r="Q85" s="21"/>
    </row>
    <row r="88" spans="2:31">
      <c r="B88" s="25" t="s">
        <v>361</v>
      </c>
      <c r="C88" s="25"/>
      <c r="D88" s="25"/>
      <c r="E88" s="25"/>
      <c r="F88" s="25"/>
      <c r="G88" s="25"/>
      <c r="H88" s="25"/>
      <c r="I88" t="s">
        <v>362</v>
      </c>
    </row>
    <row r="89" spans="2:31">
      <c r="I89" t="s">
        <v>363</v>
      </c>
      <c r="P89" t="s">
        <v>364</v>
      </c>
      <c r="Y89" t="s">
        <v>365</v>
      </c>
    </row>
    <row r="90" spans="2:31">
      <c r="Z90" t="s">
        <v>366</v>
      </c>
    </row>
    <row r="91" spans="2:31">
      <c r="C91" t="s">
        <v>340</v>
      </c>
      <c r="D91" t="s">
        <v>340</v>
      </c>
      <c r="E91" t="s">
        <v>340</v>
      </c>
      <c r="H91" t="s">
        <v>343</v>
      </c>
      <c r="J91" t="s">
        <v>339</v>
      </c>
      <c r="K91" t="s">
        <v>340</v>
      </c>
      <c r="L91" t="s">
        <v>341</v>
      </c>
      <c r="M91" t="s">
        <v>342</v>
      </c>
      <c r="N91" t="s">
        <v>367</v>
      </c>
      <c r="O91" t="s">
        <v>343</v>
      </c>
      <c r="Q91" t="s">
        <v>339</v>
      </c>
      <c r="S91" t="s">
        <v>340</v>
      </c>
      <c r="T91" t="s">
        <v>341</v>
      </c>
      <c r="U91" t="s">
        <v>342</v>
      </c>
      <c r="V91" t="s">
        <v>367</v>
      </c>
      <c r="W91" t="s">
        <v>343</v>
      </c>
      <c r="Z91" t="s">
        <v>339</v>
      </c>
      <c r="AA91" t="s">
        <v>340</v>
      </c>
      <c r="AB91" t="s">
        <v>341</v>
      </c>
      <c r="AC91" t="s">
        <v>342</v>
      </c>
      <c r="AD91" t="s">
        <v>367</v>
      </c>
      <c r="AE91" t="s">
        <v>343</v>
      </c>
    </row>
    <row r="92" spans="2:31">
      <c r="C92" t="s">
        <v>368</v>
      </c>
      <c r="D92" t="s">
        <v>369</v>
      </c>
      <c r="E92" t="s">
        <v>370</v>
      </c>
      <c r="H92" s="19">
        <f t="shared" ref="H92:H101" si="5">+C94*C$93+D94*D$93+E94*E$93</f>
        <v>0</v>
      </c>
      <c r="I92" t="s">
        <v>351</v>
      </c>
      <c r="J92">
        <v>0</v>
      </c>
      <c r="O92" s="19">
        <v>0</v>
      </c>
      <c r="P92" t="s">
        <v>351</v>
      </c>
      <c r="Q92">
        <v>0</v>
      </c>
      <c r="W92" s="19">
        <v>0</v>
      </c>
      <c r="X92" s="19"/>
      <c r="Y92" t="s">
        <v>351</v>
      </c>
      <c r="Z92" t="s">
        <v>154</v>
      </c>
      <c r="AE92" s="19">
        <v>0</v>
      </c>
    </row>
    <row r="93" spans="2:31">
      <c r="B93" t="s">
        <v>371</v>
      </c>
      <c r="C93" s="235">
        <v>0.47179059481900565</v>
      </c>
      <c r="D93" s="235">
        <v>0.33436838816058956</v>
      </c>
      <c r="E93">
        <f>1-C93-D93</f>
        <v>0.19384101702040479</v>
      </c>
      <c r="H93" s="19">
        <f t="shared" si="5"/>
        <v>2</v>
      </c>
      <c r="I93" t="s">
        <v>352</v>
      </c>
      <c r="J93">
        <v>2</v>
      </c>
      <c r="K93">
        <v>2</v>
      </c>
      <c r="O93" s="19">
        <v>2</v>
      </c>
      <c r="P93" t="s">
        <v>352</v>
      </c>
      <c r="Q93">
        <v>2</v>
      </c>
      <c r="S93">
        <v>2</v>
      </c>
      <c r="W93" s="19">
        <v>2</v>
      </c>
      <c r="X93" s="19"/>
      <c r="Y93" t="s">
        <v>352</v>
      </c>
      <c r="Z93" t="s">
        <v>154</v>
      </c>
      <c r="AA93">
        <v>2.74</v>
      </c>
      <c r="AE93" s="19">
        <f>+AA93</f>
        <v>2.74</v>
      </c>
    </row>
    <row r="94" spans="2:31">
      <c r="B94" t="s">
        <v>351</v>
      </c>
      <c r="C94">
        <f t="shared" ref="C94:C103" si="6">+O92</f>
        <v>0</v>
      </c>
      <c r="D94">
        <f t="shared" ref="D94:D103" si="7">+W92</f>
        <v>0</v>
      </c>
      <c r="E94">
        <f t="shared" ref="E94:E103" si="8">+W92</f>
        <v>0</v>
      </c>
      <c r="H94" s="19">
        <f t="shared" si="5"/>
        <v>18.584628215542981</v>
      </c>
      <c r="I94" t="s">
        <v>353</v>
      </c>
      <c r="J94">
        <v>20</v>
      </c>
      <c r="K94">
        <v>19.559999999999999</v>
      </c>
      <c r="L94">
        <f>+G116</f>
        <v>0</v>
      </c>
      <c r="O94" s="19">
        <v>17</v>
      </c>
      <c r="P94" t="s">
        <v>353</v>
      </c>
      <c r="Q94">
        <v>20</v>
      </c>
      <c r="T94">
        <v>67</v>
      </c>
      <c r="W94" s="19">
        <v>20</v>
      </c>
      <c r="X94" s="19"/>
      <c r="Y94" t="s">
        <v>353</v>
      </c>
      <c r="Z94" t="s">
        <v>154</v>
      </c>
      <c r="AA94">
        <v>4.79</v>
      </c>
      <c r="AE94" s="19">
        <f t="shared" ref="AE94:AE101" si="9">+AA94</f>
        <v>4.79</v>
      </c>
    </row>
    <row r="95" spans="2:31">
      <c r="B95" t="s">
        <v>352</v>
      </c>
      <c r="C95">
        <f t="shared" si="6"/>
        <v>2</v>
      </c>
      <c r="D95">
        <f t="shared" si="7"/>
        <v>2</v>
      </c>
      <c r="E95">
        <f t="shared" si="8"/>
        <v>2</v>
      </c>
      <c r="H95" s="19">
        <f t="shared" si="5"/>
        <v>4.5</v>
      </c>
      <c r="I95" t="s">
        <v>354</v>
      </c>
      <c r="J95">
        <v>4</v>
      </c>
      <c r="K95">
        <v>4.43</v>
      </c>
      <c r="O95" s="19">
        <v>4.5</v>
      </c>
      <c r="P95" t="s">
        <v>354</v>
      </c>
      <c r="Q95">
        <v>4</v>
      </c>
      <c r="S95">
        <v>4.43</v>
      </c>
      <c r="W95" s="19">
        <v>4.5</v>
      </c>
      <c r="X95" s="19"/>
      <c r="Y95" t="s">
        <v>354</v>
      </c>
      <c r="Z95" t="s">
        <v>154</v>
      </c>
      <c r="AA95">
        <v>6.01</v>
      </c>
      <c r="AE95" s="19">
        <f t="shared" si="9"/>
        <v>6.01</v>
      </c>
    </row>
    <row r="96" spans="2:31">
      <c r="B96" t="s">
        <v>353</v>
      </c>
      <c r="C96">
        <f t="shared" si="6"/>
        <v>17</v>
      </c>
      <c r="D96">
        <f t="shared" si="7"/>
        <v>20</v>
      </c>
      <c r="E96">
        <f t="shared" si="8"/>
        <v>20</v>
      </c>
      <c r="H96" s="19">
        <f t="shared" si="5"/>
        <v>8.1179476487047513</v>
      </c>
      <c r="I96" t="s">
        <v>355</v>
      </c>
      <c r="J96">
        <v>7</v>
      </c>
      <c r="K96">
        <v>6.98</v>
      </c>
      <c r="L96">
        <f>+G120+G119</f>
        <v>0</v>
      </c>
      <c r="O96" s="19">
        <v>8.25</v>
      </c>
      <c r="P96" t="s">
        <v>355</v>
      </c>
      <c r="Q96">
        <v>7</v>
      </c>
      <c r="S96">
        <v>6.98</v>
      </c>
      <c r="T96">
        <v>8</v>
      </c>
      <c r="W96" s="19">
        <v>8</v>
      </c>
      <c r="X96" s="19"/>
      <c r="Y96" t="s">
        <v>355</v>
      </c>
      <c r="Z96" t="s">
        <v>154</v>
      </c>
      <c r="AA96">
        <v>3.67</v>
      </c>
      <c r="AE96" s="19">
        <f t="shared" si="9"/>
        <v>3.67</v>
      </c>
    </row>
    <row r="97" spans="2:31">
      <c r="B97" t="s">
        <v>354</v>
      </c>
      <c r="C97">
        <f t="shared" si="6"/>
        <v>4.5</v>
      </c>
      <c r="D97">
        <f t="shared" si="7"/>
        <v>4.5</v>
      </c>
      <c r="E97">
        <f t="shared" si="8"/>
        <v>4.5</v>
      </c>
      <c r="H97" s="19">
        <f>+C99*C$93+D99*D$93+E99*E$93</f>
        <v>8</v>
      </c>
      <c r="I97" t="s">
        <v>356</v>
      </c>
      <c r="J97">
        <v>8</v>
      </c>
      <c r="K97">
        <v>0</v>
      </c>
      <c r="O97" s="19">
        <v>8</v>
      </c>
      <c r="P97" t="s">
        <v>356</v>
      </c>
      <c r="Q97">
        <v>8</v>
      </c>
      <c r="S97">
        <v>0</v>
      </c>
      <c r="W97" s="19">
        <v>8</v>
      </c>
      <c r="X97" s="19"/>
      <c r="Y97" t="s">
        <v>356</v>
      </c>
      <c r="Z97" t="s">
        <v>154</v>
      </c>
      <c r="AA97">
        <v>1</v>
      </c>
      <c r="AE97" s="19">
        <f t="shared" si="9"/>
        <v>1</v>
      </c>
    </row>
    <row r="98" spans="2:31">
      <c r="B98" t="s">
        <v>355</v>
      </c>
      <c r="C98">
        <f t="shared" si="6"/>
        <v>8.25</v>
      </c>
      <c r="D98">
        <f t="shared" si="7"/>
        <v>8</v>
      </c>
      <c r="E98">
        <f t="shared" si="8"/>
        <v>8</v>
      </c>
      <c r="H98" s="19">
        <f t="shared" si="5"/>
        <v>17.88716237927602</v>
      </c>
      <c r="I98" t="s">
        <v>357</v>
      </c>
      <c r="J98" t="s">
        <v>154</v>
      </c>
      <c r="K98">
        <v>16.600000000000001</v>
      </c>
      <c r="L98">
        <f>+G118</f>
        <v>0</v>
      </c>
      <c r="O98" s="19">
        <v>20</v>
      </c>
      <c r="P98" t="s">
        <v>357</v>
      </c>
      <c r="S98">
        <v>16.600000000000001</v>
      </c>
      <c r="W98" s="19">
        <v>16</v>
      </c>
      <c r="X98" s="19"/>
      <c r="Y98" t="s">
        <v>357</v>
      </c>
      <c r="AA98">
        <v>5.16</v>
      </c>
      <c r="AE98" s="19">
        <f t="shared" si="9"/>
        <v>5.16</v>
      </c>
    </row>
    <row r="99" spans="2:31">
      <c r="B99" t="s">
        <v>356</v>
      </c>
      <c r="C99">
        <f t="shared" si="6"/>
        <v>8</v>
      </c>
      <c r="D99">
        <f t="shared" si="7"/>
        <v>8</v>
      </c>
      <c r="E99">
        <f t="shared" si="8"/>
        <v>8</v>
      </c>
      <c r="H99" s="19">
        <f t="shared" si="5"/>
        <v>6.8871623792760222</v>
      </c>
      <c r="I99" t="s">
        <v>358</v>
      </c>
      <c r="K99">
        <v>7.94</v>
      </c>
      <c r="L99">
        <f>+G117</f>
        <v>0</v>
      </c>
      <c r="O99" s="19">
        <v>9</v>
      </c>
      <c r="P99" t="s">
        <v>358</v>
      </c>
      <c r="S99">
        <v>7.94</v>
      </c>
      <c r="T99">
        <v>3</v>
      </c>
      <c r="W99" s="19">
        <v>5</v>
      </c>
      <c r="X99" s="19"/>
      <c r="Y99" t="s">
        <v>358</v>
      </c>
      <c r="AA99">
        <v>5.0999999999999996</v>
      </c>
      <c r="AE99" s="19">
        <f t="shared" si="9"/>
        <v>5.0999999999999996</v>
      </c>
    </row>
    <row r="100" spans="2:31">
      <c r="B100" t="s">
        <v>357</v>
      </c>
      <c r="C100">
        <f t="shared" si="6"/>
        <v>20</v>
      </c>
      <c r="D100">
        <f t="shared" si="7"/>
        <v>16</v>
      </c>
      <c r="E100">
        <f t="shared" si="8"/>
        <v>16</v>
      </c>
      <c r="H100" s="19">
        <f t="shared" si="5"/>
        <v>33.793099377200221</v>
      </c>
      <c r="I100" t="s">
        <v>359</v>
      </c>
      <c r="O100" s="19">
        <f>100-SUM(O92:O99)-O101</f>
        <v>31.02</v>
      </c>
      <c r="P100" t="s">
        <v>359</v>
      </c>
      <c r="T100">
        <v>20</v>
      </c>
      <c r="W100" s="19">
        <f>100-SUM(W92:W99)-W101</f>
        <v>36.270000000000003</v>
      </c>
      <c r="X100" s="19"/>
      <c r="Y100" t="s">
        <v>359</v>
      </c>
      <c r="AE100" s="19">
        <f>100-SUM(AE92:AE99)-AE101</f>
        <v>69.53</v>
      </c>
    </row>
    <row r="101" spans="2:31">
      <c r="B101" t="s">
        <v>358</v>
      </c>
      <c r="C101">
        <f t="shared" si="6"/>
        <v>9</v>
      </c>
      <c r="D101">
        <f t="shared" si="7"/>
        <v>5</v>
      </c>
      <c r="E101">
        <f t="shared" si="8"/>
        <v>5</v>
      </c>
      <c r="H101" s="19">
        <f t="shared" si="5"/>
        <v>0.23</v>
      </c>
      <c r="I101" t="s">
        <v>372</v>
      </c>
      <c r="K101">
        <v>0.23</v>
      </c>
      <c r="O101" s="19">
        <v>0.23</v>
      </c>
      <c r="P101" t="s">
        <v>373</v>
      </c>
      <c r="S101">
        <v>0.23</v>
      </c>
      <c r="W101" s="19">
        <v>0.23</v>
      </c>
      <c r="X101" s="19"/>
      <c r="Y101" t="s">
        <v>374</v>
      </c>
      <c r="AA101">
        <v>2</v>
      </c>
      <c r="AE101" s="19">
        <f t="shared" si="9"/>
        <v>2</v>
      </c>
    </row>
    <row r="102" spans="2:31">
      <c r="B102" t="s">
        <v>359</v>
      </c>
      <c r="C102">
        <f t="shared" si="6"/>
        <v>31.02</v>
      </c>
      <c r="D102">
        <f t="shared" si="7"/>
        <v>36.270000000000003</v>
      </c>
      <c r="E102">
        <f t="shared" si="8"/>
        <v>36.270000000000003</v>
      </c>
      <c r="H102" s="19"/>
      <c r="O102" s="19"/>
      <c r="W102" s="19"/>
      <c r="X102" s="19"/>
      <c r="AE102" s="19"/>
    </row>
    <row r="103" spans="2:31">
      <c r="B103" t="s">
        <v>372</v>
      </c>
      <c r="C103">
        <f t="shared" si="6"/>
        <v>0.23</v>
      </c>
      <c r="D103">
        <f t="shared" si="7"/>
        <v>0.23</v>
      </c>
      <c r="E103">
        <f t="shared" si="8"/>
        <v>0.23</v>
      </c>
      <c r="H103" s="19"/>
      <c r="O103" s="19"/>
      <c r="W103" s="19"/>
      <c r="X103" s="19"/>
      <c r="AE103" s="19"/>
    </row>
  </sheetData>
  <hyperlinks>
    <hyperlink ref="B39" r:id="rId1" xr:uid="{E2CD76F3-B506-4F9D-B920-450DADFB3B60}"/>
  </hyperlinks>
  <pageMargins left="0.7" right="0.7" top="0.75" bottom="0.75" header="0.3" footer="0.3"/>
  <pageSetup orientation="portrait"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80">
    <tabColor rgb="FFFF0000"/>
    <pageSetUpPr autoPageBreaks="0"/>
  </sheetPr>
  <dimension ref="A1:AX271"/>
  <sheetViews>
    <sheetView topLeftCell="A63" zoomScale="70" zoomScaleNormal="70" workbookViewId="0">
      <selection activeCell="L108" sqref="A102:L108"/>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6" max="36" width="11.125" customWidth="1"/>
  </cols>
  <sheetData>
    <row r="1" spans="1:29" s="2" customFormat="1" ht="15.75">
      <c r="A1" s="116" t="s">
        <v>375</v>
      </c>
      <c r="B1" s="280" t="s">
        <v>376</v>
      </c>
      <c r="C1" s="280"/>
      <c r="D1" s="280"/>
      <c r="E1" s="29">
        <v>2012</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c r="A3" s="30"/>
      <c r="B3" s="30"/>
      <c r="C3" s="32" t="s">
        <v>378</v>
      </c>
      <c r="D3" s="32"/>
      <c r="E3" s="32"/>
      <c r="F3" s="32"/>
      <c r="G3" s="32"/>
      <c r="H3" s="32"/>
      <c r="I3" s="32"/>
      <c r="J3" s="32"/>
      <c r="K3" s="11"/>
      <c r="M3" s="2" t="s">
        <v>379</v>
      </c>
      <c r="N3" s="26" t="s">
        <v>380</v>
      </c>
      <c r="O3" s="2"/>
      <c r="P3" s="31"/>
      <c r="Q3" s="31"/>
      <c r="R3" s="31"/>
      <c r="S3" s="30"/>
    </row>
    <row r="4" spans="1:29">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15">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 t="shared" ref="C7:L7" si="1">+SUM(C10:C19)</f>
        <v>378.36290000000002</v>
      </c>
      <c r="D7" s="136">
        <f t="shared" si="1"/>
        <v>74.42</v>
      </c>
      <c r="E7" s="136">
        <f t="shared" si="1"/>
        <v>61.263406173308525</v>
      </c>
      <c r="F7" s="136">
        <f t="shared" si="1"/>
        <v>379.81725075812523</v>
      </c>
      <c r="G7" s="136">
        <f t="shared" si="1"/>
        <v>95.2</v>
      </c>
      <c r="H7" s="136">
        <f t="shared" si="1"/>
        <v>12.444925385084467</v>
      </c>
      <c r="I7" s="136">
        <f t="shared" si="1"/>
        <v>11.981282586165163</v>
      </c>
      <c r="J7" s="136">
        <f t="shared" si="1"/>
        <v>8.3290000000000006</v>
      </c>
      <c r="K7" s="136">
        <f t="shared" si="1"/>
        <v>45.296208</v>
      </c>
      <c r="L7" s="136">
        <f t="shared" si="1"/>
        <v>0</v>
      </c>
      <c r="M7" s="136">
        <f>SUM(C7:L7)</f>
        <v>1067.1149729026836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392</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INDEX('2012 SATIM EB'!$C$31:$M$39,MATCH($A10,'2012 SATIM EB'!$B$31:$B$39,0),MATCH(C$5,'2012 SATIM EB'!$C$30:$M$30,0))</f>
        <v>31.561200000000003</v>
      </c>
      <c r="D10" s="152">
        <f>INDEX('2012 SATIM EB'!$C$31:$M$39,MATCH($A10,'2012 SATIM EB'!$B$31:$B$39,0),MATCH(D$5,'2012 SATIM EB'!$C$30:$M$30,0))</f>
        <v>0</v>
      </c>
      <c r="E10" s="152">
        <f>INDEX('2012 SATIM EB'!$C$31:$M$39,MATCH($A10,'2012 SATIM EB'!$B$31:$B$39,0),MATCH(E$5,'2012 SATIM EB'!$C$30:$M$30,0))</f>
        <v>51.747259515340161</v>
      </c>
      <c r="F10" s="152">
        <f>INDEX('2012 SATIM EB'!$C$31:$M$39,MATCH($A10,'2012 SATIM EB'!$B$31:$B$39,0),MATCH(F$5,'2012 SATIM EB'!$C$30:$M$30,0))</f>
        <v>107.41903758287336</v>
      </c>
      <c r="G10" s="152">
        <f>INDEX('2012 SATIM EB'!$C$31:$M$39,MATCH($A10,'2012 SATIM EB'!$B$31:$B$39,0),MATCH(G$5,'2012 SATIM EB'!$C$30:$M$30,0))</f>
        <v>0.247</v>
      </c>
      <c r="H10" s="152">
        <f>INDEX('2012 SATIM EB'!$C$31:$M$39,MATCH($A10,'2012 SATIM EB'!$B$31:$B$39,0),MATCH(H$5,'2012 SATIM EB'!$C$30:$M$30,0))</f>
        <v>0</v>
      </c>
      <c r="I10" s="152">
        <f>INDEX('2012 SATIM EB'!$C$31:$M$39,MATCH($A10,'2012 SATIM EB'!$B$31:$B$39,0),MATCH(I$5,'2012 SATIM EB'!$C$30:$M$30,0))</f>
        <v>0</v>
      </c>
      <c r="J10" s="152">
        <f>INDEX('2012 SATIM EB'!$C$31:$M$39,MATCH($A10,'2012 SATIM EB'!$B$31:$B$39,0),MATCH(J$5,'2012 SATIM EB'!$C$30:$M$30,0))</f>
        <v>0</v>
      </c>
      <c r="K10" s="152">
        <f>INDEX('2012 SATIM EB'!$C$31:$M$39,MATCH($A10,'2012 SATIM EB'!$B$31:$B$39,0),MATCH(K$5,'2012 SATIM EB'!$C$30:$M$30,0))</f>
        <v>0</v>
      </c>
      <c r="L10" s="153">
        <f>INDEX('2012 SATIM EB'!$C$31:$M$39,MATCH($A10,'2012 SATIM EB'!$B$31:$B$39,0),MATCH(L$5,'2012 SATIM EB'!$C$30:$M$30,0))</f>
        <v>0</v>
      </c>
      <c r="M10" s="114">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0.247</v>
      </c>
      <c r="Y10">
        <f t="shared" ref="Y10:Y18" si="2">S10/$S$5*$Y$5</f>
        <v>164.63273734821703</v>
      </c>
      <c r="Z10" s="8">
        <f>-PMT(8%,60,Y10,0,1)</f>
        <v>12.316655071370345</v>
      </c>
      <c r="AA10">
        <f>SUMPRODUCT(Z10:Z18,X10:X18)/SUM(X10:X18)</f>
        <v>13.937029252216528</v>
      </c>
      <c r="AC10" s="182">
        <f>SUM(C10:K10)</f>
        <v>190.97449709821353</v>
      </c>
    </row>
    <row r="11" spans="1:29" ht="15">
      <c r="A11" s="131" t="str">
        <f>NameConv!D22</f>
        <v>Ferro Alloys</v>
      </c>
      <c r="B11" s="132" t="str">
        <f>VLOOKUP(A11,NameConv!D20:E28,2,FALSE)</f>
        <v>FA</v>
      </c>
      <c r="C11" s="137">
        <f>INDEX('2012 SATIM EB'!$C$31:$M$39,MATCH($A11,'2012 SATIM EB'!$B$31:$B$39,0),MATCH(C$5,'2012 SATIM EB'!$C$30:$M$30,0))</f>
        <v>50.33</v>
      </c>
      <c r="D11" s="137">
        <f>INDEX('2012 SATIM EB'!$C$31:$M$39,MATCH($A11,'2012 SATIM EB'!$B$31:$B$39,0),MATCH(D$5,'2012 SATIM EB'!$C$30:$M$30,0))</f>
        <v>39.270000000000003</v>
      </c>
      <c r="E11" s="137">
        <f>INDEX('2012 SATIM EB'!$C$31:$M$39,MATCH($A11,'2012 SATIM EB'!$B$31:$B$39,0),MATCH(E$5,'2012 SATIM EB'!$C$30:$M$30,0))</f>
        <v>0</v>
      </c>
      <c r="F11" s="137">
        <f>INDEX('2012 SATIM EB'!$C$31:$M$39,MATCH($A11,'2012 SATIM EB'!$B$31:$B$39,0),MATCH(F$5,'2012 SATIM EB'!$C$30:$M$30,0))</f>
        <v>55.10318766954002</v>
      </c>
      <c r="G11" s="137">
        <f>INDEX('2012 SATIM EB'!$C$31:$M$39,MATCH($A11,'2012 SATIM EB'!$B$31:$B$39,0),MATCH(G$5,'2012 SATIM EB'!$C$30:$M$30,0))</f>
        <v>0</v>
      </c>
      <c r="H11" s="137">
        <f>INDEX('2012 SATIM EB'!$C$31:$M$39,MATCH($A11,'2012 SATIM EB'!$B$31:$B$39,0),MATCH(H$5,'2012 SATIM EB'!$C$30:$M$30,0))</f>
        <v>0</v>
      </c>
      <c r="I11" s="137">
        <f>INDEX('2012 SATIM EB'!$C$31:$M$39,MATCH($A11,'2012 SATIM EB'!$B$31:$B$39,0),MATCH(I$5,'2012 SATIM EB'!$C$30:$M$30,0))</f>
        <v>0</v>
      </c>
      <c r="J11" s="137">
        <f>INDEX('2012 SATIM EB'!$C$31:$M$39,MATCH($A11,'2012 SATIM EB'!$B$31:$B$39,0),MATCH(J$5,'2012 SATIM EB'!$C$30:$M$30,0))</f>
        <v>0</v>
      </c>
      <c r="K11" s="137">
        <f>INDEX('2012 SATIM EB'!$C$31:$M$39,MATCH($A11,'2012 SATIM EB'!$B$31:$B$39,0),MATCH(K$5,'2012 SATIM EB'!$C$30:$M$30,0))</f>
        <v>0</v>
      </c>
      <c r="L11" s="138">
        <f>INDEX('2012 SATIM EB'!$C$31:$M$39,MATCH($A11,'2012 SATIM EB'!$B$31:$B$39,0),MATCH(L$5,'2012 SATIM EB'!$C$30:$M$30,0))</f>
        <v>0</v>
      </c>
      <c r="M11" s="114">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144.70318766954</v>
      </c>
    </row>
    <row r="12" spans="1:29" ht="15">
      <c r="A12" s="131" t="str">
        <f>NameConv!D23</f>
        <v>Iron &amp; Steel</v>
      </c>
      <c r="B12" s="132" t="str">
        <f>VLOOKUP(A12,NameConv!D21:E30,2,FALSE)</f>
        <v>IS</v>
      </c>
      <c r="C12" s="137">
        <f>INDEX('2012 SATIM EB'!$C$31:$M$39,MATCH($A12,'2012 SATIM EB'!$B$31:$B$39,0),MATCH(C$5,'2012 SATIM EB'!$C$30:$M$30,0))</f>
        <v>63.050000000000004</v>
      </c>
      <c r="D12" s="137">
        <f>INDEX('2012 SATIM EB'!$C$31:$M$39,MATCH($A12,'2012 SATIM EB'!$B$31:$B$39,0),MATCH(D$5,'2012 SATIM EB'!$C$30:$M$30,0))</f>
        <v>35.15</v>
      </c>
      <c r="E12" s="137">
        <f>INDEX('2012 SATIM EB'!$C$31:$M$39,MATCH($A12,'2012 SATIM EB'!$B$31:$B$39,0),MATCH(E$5,'2012 SATIM EB'!$C$30:$M$30,0))</f>
        <v>0</v>
      </c>
      <c r="F12" s="137">
        <f>INDEX('2012 SATIM EB'!$C$31:$M$39,MATCH($A12,'2012 SATIM EB'!$B$31:$B$39,0),MATCH(F$5,'2012 SATIM EB'!$C$30:$M$30,0))</f>
        <v>44.505504045599324</v>
      </c>
      <c r="G12" s="137">
        <f>INDEX('2012 SATIM EB'!$C$31:$M$39,MATCH($A12,'2012 SATIM EB'!$B$31:$B$39,0),MATCH(G$5,'2012 SATIM EB'!$C$30:$M$30,0))</f>
        <v>17.888000000000002</v>
      </c>
      <c r="H12" s="137">
        <f>INDEX('2012 SATIM EB'!$C$31:$M$39,MATCH($A12,'2012 SATIM EB'!$B$31:$B$39,0),MATCH(H$5,'2012 SATIM EB'!$C$30:$M$30,0))</f>
        <v>0</v>
      </c>
      <c r="I12" s="137">
        <f>INDEX('2012 SATIM EB'!$C$31:$M$39,MATCH($A12,'2012 SATIM EB'!$B$31:$B$39,0),MATCH(I$5,'2012 SATIM EB'!$C$30:$M$30,0))</f>
        <v>0.20119265336451983</v>
      </c>
      <c r="J12" s="137">
        <f>INDEX('2012 SATIM EB'!$C$31:$M$39,MATCH($A12,'2012 SATIM EB'!$B$31:$B$39,0),MATCH(J$5,'2012 SATIM EB'!$C$30:$M$30,0))</f>
        <v>0</v>
      </c>
      <c r="K12" s="137">
        <f>INDEX('2012 SATIM EB'!$C$31:$M$39,MATCH($A12,'2012 SATIM EB'!$B$31:$B$39,0),MATCH(K$5,'2012 SATIM EB'!$C$30:$M$30,0))</f>
        <v>0</v>
      </c>
      <c r="L12" s="138">
        <f>INDEX('2012 SATIM EB'!$C$31:$M$39,MATCH($A12,'2012 SATIM EB'!$B$31:$B$39,0),MATCH(L$5,'2012 SATIM EB'!$C$30:$M$30,0))</f>
        <v>0</v>
      </c>
      <c r="M12" s="114">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17.888000000000002</v>
      </c>
      <c r="Y12">
        <f t="shared" si="2"/>
        <v>164.63273734821703</v>
      </c>
      <c r="Z12" s="8">
        <f>-PMT(8%,60,Y12,0,1)</f>
        <v>12.316655071370345</v>
      </c>
      <c r="AC12" s="182">
        <f>SUM(C12:K12)</f>
        <v>160.79469669896386</v>
      </c>
    </row>
    <row r="13" spans="1:29" ht="15">
      <c r="A13" s="131" t="s">
        <v>117</v>
      </c>
      <c r="B13" s="132" t="s">
        <v>9</v>
      </c>
      <c r="C13" s="137"/>
      <c r="D13" s="137"/>
      <c r="E13" s="137"/>
      <c r="F13" s="137"/>
      <c r="G13" s="137"/>
      <c r="H13" s="137"/>
      <c r="I13" s="137"/>
      <c r="J13" s="137"/>
      <c r="K13" s="137"/>
      <c r="L13" s="138"/>
      <c r="M13" s="114">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39.004000030517574</v>
      </c>
      <c r="Y13">
        <f t="shared" si="2"/>
        <v>164.63273734821703</v>
      </c>
      <c r="Z13" s="8">
        <f t="shared" ref="Z13:Z18" si="9">-PMT(8%,60,Y13,0,1)</f>
        <v>12.316655071370345</v>
      </c>
      <c r="AC13" s="182">
        <f t="shared" ref="AC13:AC18" si="10">SUM(C14:K14)</f>
        <v>154.78385787723204</v>
      </c>
    </row>
    <row r="14" spans="1:29" ht="15">
      <c r="A14" s="131" t="str">
        <f>NameConv!D24</f>
        <v>Chemicals</v>
      </c>
      <c r="B14" s="132" t="str">
        <f>VLOOKUP(A14,NameConv!D21:E30,2,FALSE)</f>
        <v>CP</v>
      </c>
      <c r="C14" s="137">
        <f>INDEX('2012 SATIM EB'!$C$31:$M$39,MATCH($A14,'2012 SATIM EB'!$B$31:$B$39,0),MATCH(C$5,'2012 SATIM EB'!$C$30:$M$30,0))</f>
        <v>42.52</v>
      </c>
      <c r="D14" s="137">
        <f>INDEX('2012 SATIM EB'!$C$31:$M$39,MATCH($A14,'2012 SATIM EB'!$B$31:$B$39,0),MATCH(D$5,'2012 SATIM EB'!$C$30:$M$30,0))</f>
        <v>0</v>
      </c>
      <c r="E14" s="137">
        <f>INDEX('2012 SATIM EB'!$C$31:$M$39,MATCH($A14,'2012 SATIM EB'!$B$31:$B$39,0),MATCH(E$5,'2012 SATIM EB'!$C$30:$M$30,0))</f>
        <v>0</v>
      </c>
      <c r="F14" s="137">
        <f>INDEX('2012 SATIM EB'!$C$31:$M$39,MATCH($A14,'2012 SATIM EB'!$B$31:$B$39,0),MATCH(F$5,'2012 SATIM EB'!$C$30:$M$30,0))</f>
        <v>27.963649846714464</v>
      </c>
      <c r="G14" s="197">
        <f>131-35.8-(SUM(G15:G19)+SUM(G10:G12))</f>
        <v>39.004000030517574</v>
      </c>
      <c r="H14" s="137">
        <f>INDEX('2012 SATIM EB'!$C$31:$M$39,MATCH($A14,'2012 SATIM EB'!$B$31:$B$39,0),MATCH(H$5,'2012 SATIM EB'!$C$30:$M$30,0))</f>
        <v>0</v>
      </c>
      <c r="I14" s="137">
        <f>INDEX('2012 SATIM EB'!$C$31:$M$39,MATCH($A14,'2012 SATIM EB'!$B$31:$B$39,0),MATCH(I$5,'2012 SATIM EB'!$C$30:$M$30,0))</f>
        <v>0</v>
      </c>
      <c r="J14" s="137">
        <f>INDEX('2012 SATIM EB'!$C$31:$M$39,MATCH($A14,'2012 SATIM EB'!$B$31:$B$39,0),MATCH(J$5,'2012 SATIM EB'!$C$30:$M$30,0))</f>
        <v>0</v>
      </c>
      <c r="K14" s="137">
        <f>INDEX('2012 SATIM EB'!$C$31:$M$39,MATCH($A14,'2012 SATIM EB'!$B$31:$B$39,0),MATCH(K$5,'2012 SATIM EB'!$C$30:$M$30,0))</f>
        <v>45.296208</v>
      </c>
      <c r="L14" s="138">
        <f>INDEX('2012 SATIM EB'!$C$31:$M$39,MATCH($A14,'2012 SATIM EB'!$B$31:$B$39,0),MATCH(L$5,'2012 SATIM EB'!$C$30:$M$30,0))</f>
        <v>0</v>
      </c>
      <c r="M14" s="114">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2.4140000000000001</v>
      </c>
      <c r="Y14">
        <f t="shared" si="2"/>
        <v>164.63273734821703</v>
      </c>
      <c r="Z14" s="8">
        <f t="shared" si="9"/>
        <v>12.316655071370345</v>
      </c>
      <c r="AC14" s="182">
        <f t="shared" si="10"/>
        <v>74.282274281758518</v>
      </c>
    </row>
    <row r="15" spans="1:29" ht="15">
      <c r="A15" s="131" t="str">
        <f>NameConv!D25</f>
        <v>Precious &amp; Non-Ferrous metals</v>
      </c>
      <c r="B15" s="132" t="str">
        <f>VLOOKUP(A15,NameConv!D21:E30,2,FALSE)</f>
        <v>NF</v>
      </c>
      <c r="C15" s="137">
        <f>INDEX('2012 SATIM EB'!$C$31:$M$39,MATCH($A15,'2012 SATIM EB'!$B$31:$B$39,0),MATCH(C$5,'2012 SATIM EB'!$C$30:$M$30,0))</f>
        <v>1.19106</v>
      </c>
      <c r="D15" s="137">
        <f>INDEX('2012 SATIM EB'!$C$31:$M$39,MATCH($A15,'2012 SATIM EB'!$B$31:$B$39,0),MATCH(D$5,'2012 SATIM EB'!$C$30:$M$30,0))</f>
        <v>0</v>
      </c>
      <c r="E15" s="137">
        <f>INDEX('2012 SATIM EB'!$C$31:$M$39,MATCH($A15,'2012 SATIM EB'!$B$31:$B$39,0),MATCH(E$5,'2012 SATIM EB'!$C$30:$M$30,0))</f>
        <v>0</v>
      </c>
      <c r="F15" s="137">
        <f>INDEX('2012 SATIM EB'!$C$31:$M$39,MATCH($A15,'2012 SATIM EB'!$B$31:$B$39,0),MATCH(F$5,'2012 SATIM EB'!$C$30:$M$30,0))</f>
        <v>67.125214281758517</v>
      </c>
      <c r="G15" s="137">
        <f>INDEX('2012 SATIM EB'!$C$31:$M$39,MATCH($A15,'2012 SATIM EB'!$B$31:$B$39,0),MATCH(G$5,'2012 SATIM EB'!$C$30:$M$30,0))</f>
        <v>2.4140000000000001</v>
      </c>
      <c r="H15" s="137">
        <f>INDEX('2012 SATIM EB'!$C$31:$M$39,MATCH($A15,'2012 SATIM EB'!$B$31:$B$39,0),MATCH(H$5,'2012 SATIM EB'!$C$30:$M$30,0))</f>
        <v>0</v>
      </c>
      <c r="I15" s="137">
        <f>INDEX('2012 SATIM EB'!$C$31:$M$39,MATCH($A15,'2012 SATIM EB'!$B$31:$B$39,0),MATCH(I$5,'2012 SATIM EB'!$C$30:$M$30,0))</f>
        <v>0</v>
      </c>
      <c r="J15" s="137">
        <f>INDEX('2012 SATIM EB'!$C$31:$M$39,MATCH($A15,'2012 SATIM EB'!$B$31:$B$39,0),MATCH(J$5,'2012 SATIM EB'!$C$30:$M$30,0))</f>
        <v>3.552</v>
      </c>
      <c r="K15" s="137">
        <f>INDEX('2012 SATIM EB'!$C$31:$M$39,MATCH($A15,'2012 SATIM EB'!$B$31:$B$39,0),MATCH(K$5,'2012 SATIM EB'!$C$30:$M$30,0))</f>
        <v>0</v>
      </c>
      <c r="L15" s="138">
        <f>INDEX('2012 SATIM EB'!$C$31:$M$39,MATCH($A15,'2012 SATIM EB'!$B$31:$B$39,0),MATCH(L$5,'2012 SATIM EB'!$C$30:$M$30,0))</f>
        <v>0</v>
      </c>
      <c r="M15" s="114">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 t="shared" si="6"/>
        <v>NM-Gas</v>
      </c>
      <c r="V15" t="str">
        <f t="shared" si="7"/>
        <v>INMGAS</v>
      </c>
      <c r="W15" s="4">
        <v>0</v>
      </c>
      <c r="X15" s="101">
        <f t="shared" si="8"/>
        <v>15.000999969482422</v>
      </c>
      <c r="Y15">
        <f t="shared" si="2"/>
        <v>164.63273734821703</v>
      </c>
      <c r="Z15" s="8">
        <f t="shared" si="9"/>
        <v>12.316655071370345</v>
      </c>
      <c r="AC15" s="182">
        <f t="shared" si="10"/>
        <v>69.528257351757119</v>
      </c>
    </row>
    <row r="16" spans="1:29" ht="15">
      <c r="A16" s="131" t="str">
        <f>NameConv!D26</f>
        <v>N.M.M Products</v>
      </c>
      <c r="B16" s="132" t="str">
        <f>VLOOKUP(A16,NameConv!D21:E30,2,FALSE)</f>
        <v>NM</v>
      </c>
      <c r="C16" s="137">
        <f>INDEX('2012 SATIM EB'!$C$31:$M$39,MATCH($A16,'2012 SATIM EB'!$B$31:$B$39,0),MATCH(C$5,'2012 SATIM EB'!$C$30:$M$30,0))</f>
        <v>48.918750000000003</v>
      </c>
      <c r="D16" s="137">
        <f>INDEX('2012 SATIM EB'!$C$31:$M$39,MATCH($A16,'2012 SATIM EB'!$B$31:$B$39,0),MATCH(D$5,'2012 SATIM EB'!$C$30:$M$30,0))</f>
        <v>0</v>
      </c>
      <c r="E16" s="137">
        <f>INDEX('2012 SATIM EB'!$C$31:$M$39,MATCH($A16,'2012 SATIM EB'!$B$31:$B$39,0),MATCH(E$5,'2012 SATIM EB'!$C$30:$M$30,0))</f>
        <v>0</v>
      </c>
      <c r="F16" s="137">
        <f>INDEX('2012 SATIM EB'!$C$31:$M$39,MATCH($A16,'2012 SATIM EB'!$B$31:$B$39,0),MATCH(F$5,'2012 SATIM EB'!$C$30:$M$30,0))</f>
        <v>3.419384099532107</v>
      </c>
      <c r="G16" s="137">
        <f>INDEX('2012 SATIM EB'!$C$31:$M$39,MATCH($A16,'2012 SATIM EB'!$B$31:$B$39,0),MATCH(G$5,'2012 SATIM EB'!$C$30:$M$30,0))</f>
        <v>15.000999969482422</v>
      </c>
      <c r="H16" s="137">
        <f>INDEX('2012 SATIM EB'!$C$31:$M$39,MATCH($A16,'2012 SATIM EB'!$B$31:$B$39,0),MATCH(H$5,'2012 SATIM EB'!$C$30:$M$30,0))</f>
        <v>0</v>
      </c>
      <c r="I16" s="137">
        <f>INDEX('2012 SATIM EB'!$C$31:$M$39,MATCH($A16,'2012 SATIM EB'!$B$31:$B$39,0),MATCH(I$5,'2012 SATIM EB'!$C$30:$M$30,0))</f>
        <v>2.1891232827425839</v>
      </c>
      <c r="J16" s="137">
        <f>INDEX('2012 SATIM EB'!$C$31:$M$39,MATCH($A16,'2012 SATIM EB'!$B$31:$B$39,0),MATCH(J$5,'2012 SATIM EB'!$C$30:$M$30,0))</f>
        <v>0</v>
      </c>
      <c r="K16" s="137">
        <f>INDEX('2012 SATIM EB'!$C$31:$M$39,MATCH($A16,'2012 SATIM EB'!$B$31:$B$39,0),MATCH(K$5,'2012 SATIM EB'!$C$30:$M$30,0))</f>
        <v>0</v>
      </c>
      <c r="L16" s="138">
        <f>INDEX('2012 SATIM EB'!$C$31:$M$39,MATCH($A16,'2012 SATIM EB'!$B$31:$B$39,0),MATCH(L$5,'2012 SATIM EB'!$C$30:$M$30,0))</f>
        <v>0</v>
      </c>
      <c r="M16" s="114">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3.0369999999999999</v>
      </c>
      <c r="Y16">
        <f t="shared" si="2"/>
        <v>264.50382048472221</v>
      </c>
      <c r="Z16" s="8">
        <f>-PMT(8%,60,Y16,0,1)</f>
        <v>19.788301977141771</v>
      </c>
      <c r="AC16" s="182">
        <f t="shared" si="10"/>
        <v>47.110503174576579</v>
      </c>
    </row>
    <row r="17" spans="1:29" ht="15">
      <c r="A17" s="131" t="str">
        <f>NameConv!D27</f>
        <v>Food, Beverage &amp; Tabacco</v>
      </c>
      <c r="B17" s="132" t="str">
        <f>VLOOKUP(A17,NameConv!D21:E30,2,FALSE)</f>
        <v>FB</v>
      </c>
      <c r="C17" s="137">
        <f>INDEX('2012 SATIM EB'!$C$31:$M$39,MATCH($A17,'2012 SATIM EB'!$B$31:$B$39,0),MATCH(C$5,'2012 SATIM EB'!$C$30:$M$30,0))</f>
        <v>26.072800000000004</v>
      </c>
      <c r="D17" s="137">
        <f>INDEX('2012 SATIM EB'!$C$31:$M$39,MATCH($A17,'2012 SATIM EB'!$B$31:$B$39,0),MATCH(D$5,'2012 SATIM EB'!$C$30:$M$30,0))</f>
        <v>0</v>
      </c>
      <c r="E17" s="137">
        <f>INDEX('2012 SATIM EB'!$C$31:$M$39,MATCH($A17,'2012 SATIM EB'!$B$31:$B$39,0),MATCH(E$5,'2012 SATIM EB'!$C$30:$M$30,0))</f>
        <v>0</v>
      </c>
      <c r="F17" s="137">
        <f>INDEX('2012 SATIM EB'!$C$31:$M$39,MATCH($A17,'2012 SATIM EB'!$B$31:$B$39,0),MATCH(F$5,'2012 SATIM EB'!$C$30:$M$30,0))</f>
        <v>16.046046865782269</v>
      </c>
      <c r="G17" s="137">
        <f>INDEX('2012 SATIM EB'!$C$31:$M$39,MATCH($A17,'2012 SATIM EB'!$B$31:$B$39,0),MATCH(G$5,'2012 SATIM EB'!$C$30:$M$30,0))</f>
        <v>3.0369999999999999</v>
      </c>
      <c r="H17" s="137">
        <f>INDEX('2012 SATIM EB'!$C$31:$M$39,MATCH($A17,'2012 SATIM EB'!$B$31:$B$39,0),MATCH(H$5,'2012 SATIM EB'!$C$30:$M$30,0))</f>
        <v>0</v>
      </c>
      <c r="I17" s="137">
        <f>INDEX('2012 SATIM EB'!$C$31:$M$39,MATCH($A17,'2012 SATIM EB'!$B$31:$B$39,0),MATCH(I$5,'2012 SATIM EB'!$C$30:$M$30,0))</f>
        <v>1.9546563087943047</v>
      </c>
      <c r="J17" s="137">
        <f>INDEX('2012 SATIM EB'!$C$31:$M$39,MATCH($A17,'2012 SATIM EB'!$B$31:$B$39,0),MATCH(J$5,'2012 SATIM EB'!$C$30:$M$30,0))</f>
        <v>0</v>
      </c>
      <c r="K17" s="137">
        <f>INDEX('2012 SATIM EB'!$C$31:$M$39,MATCH($A17,'2012 SATIM EB'!$B$31:$B$39,0),MATCH(K$5,'2012 SATIM EB'!$C$30:$M$30,0))</f>
        <v>0</v>
      </c>
      <c r="L17" s="138">
        <f>INDEX('2012 SATIM EB'!$C$31:$M$39,MATCH($A17,'2012 SATIM EB'!$B$31:$B$39,0),MATCH(L$5,'2012 SATIM EB'!$C$30:$M$30,0))</f>
        <v>0</v>
      </c>
      <c r="M17" s="114">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4.8360000000000003</v>
      </c>
      <c r="Y17">
        <f t="shared" si="2"/>
        <v>264.50382048472221</v>
      </c>
      <c r="Z17" s="8">
        <f t="shared" si="9"/>
        <v>19.788301977141771</v>
      </c>
      <c r="AC17" s="182">
        <f t="shared" si="10"/>
        <v>61.617581435087118</v>
      </c>
    </row>
    <row r="18" spans="1:29" ht="15">
      <c r="A18" s="131" t="str">
        <f>NameConv!D28</f>
        <v>Pulp &amp; Paper Products</v>
      </c>
      <c r="B18" s="132" t="str">
        <f>VLOOKUP(A18,NameConv!D21:E30,2,FALSE)</f>
        <v>PP</v>
      </c>
      <c r="C18" s="137">
        <f>INDEX('2012 SATIM EB'!$C$31:$M$39,MATCH($A18,'2012 SATIM EB'!$B$31:$B$39,0),MATCH(C$5,'2012 SATIM EB'!$C$30:$M$30,0))</f>
        <v>35.68</v>
      </c>
      <c r="D18" s="137">
        <f>INDEX('2012 SATIM EB'!$C$31:$M$39,MATCH($A18,'2012 SATIM EB'!$B$31:$B$39,0),MATCH(D$5,'2012 SATIM EB'!$C$30:$M$30,0))</f>
        <v>0</v>
      </c>
      <c r="E18" s="137">
        <f>INDEX('2012 SATIM EB'!$C$31:$M$39,MATCH($A18,'2012 SATIM EB'!$B$31:$B$39,0),MATCH(E$5,'2012 SATIM EB'!$C$30:$M$30,0))</f>
        <v>0</v>
      </c>
      <c r="F18" s="137">
        <f>INDEX('2012 SATIM EB'!$C$31:$M$39,MATCH($A18,'2012 SATIM EB'!$B$31:$B$39,0),MATCH(F$5,'2012 SATIM EB'!$C$30:$M$30,0))</f>
        <v>16.324581435087119</v>
      </c>
      <c r="G18" s="137">
        <f>INDEX('2012 SATIM EB'!$C$31:$M$39,MATCH($A18,'2012 SATIM EB'!$B$31:$B$39,0),MATCH(G$5,'2012 SATIM EB'!$C$30:$M$30,0))</f>
        <v>4.8360000000000003</v>
      </c>
      <c r="H18" s="137">
        <f>INDEX('2012 SATIM EB'!$C$31:$M$39,MATCH($A18,'2012 SATIM EB'!$B$31:$B$39,0),MATCH(H$5,'2012 SATIM EB'!$C$30:$M$30,0))</f>
        <v>0</v>
      </c>
      <c r="I18" s="137">
        <f>INDEX('2012 SATIM EB'!$C$31:$M$39,MATCH($A18,'2012 SATIM EB'!$B$31:$B$39,0),MATCH(I$5,'2012 SATIM EB'!$C$30:$M$30,0))</f>
        <v>0</v>
      </c>
      <c r="J18" s="137">
        <f>INDEX('2012 SATIM EB'!$C$31:$M$39,MATCH($A18,'2012 SATIM EB'!$B$31:$B$39,0),MATCH(J$5,'2012 SATIM EB'!$C$30:$M$30,0))</f>
        <v>4.7770000000000001</v>
      </c>
      <c r="K18" s="137">
        <f>INDEX('2012 SATIM EB'!$C$31:$M$39,MATCH($A18,'2012 SATIM EB'!$B$31:$B$39,0),MATCH(K$5,'2012 SATIM EB'!$C$30:$M$30,0))</f>
        <v>0</v>
      </c>
      <c r="L18" s="138">
        <f>INDEX('2012 SATIM EB'!$C$31:$M$39,MATCH($A18,'2012 SATIM EB'!$B$31:$B$39,0),MATCH(L$5,'2012 SATIM EB'!$C$30:$M$30,0))</f>
        <v>0</v>
      </c>
      <c r="M18" s="114">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12.773</v>
      </c>
      <c r="Y18">
        <f t="shared" si="2"/>
        <v>264.50382048472221</v>
      </c>
      <c r="Z18" s="8">
        <f t="shared" si="9"/>
        <v>19.788301977141771</v>
      </c>
      <c r="AC18" s="182">
        <f t="shared" si="10"/>
        <v>163.32011731555465</v>
      </c>
    </row>
    <row r="19" spans="1:29" ht="15">
      <c r="A19" s="131" t="str">
        <f>NameConv!D30</f>
        <v>Other</v>
      </c>
      <c r="B19" s="132" t="str">
        <f>VLOOKUP(A19,NameConv!D21:E30,2,FALSE)</f>
        <v>OT</v>
      </c>
      <c r="C19" s="139">
        <f>INDEX('2012 SATIM EB'!$C$31:$M$39,MATCH($A19,'2012 SATIM EB'!$B$31:$B$39,0),MATCH(C$5,'2012 SATIM EB'!$C$30:$M$30,0))</f>
        <v>79.039090000000002</v>
      </c>
      <c r="D19" s="139">
        <f>INDEX('2012 SATIM EB'!$C$31:$M$39,MATCH($A19,'2012 SATIM EB'!$B$31:$B$39,0),MATCH(D$5,'2012 SATIM EB'!$C$30:$M$30,0))</f>
        <v>0</v>
      </c>
      <c r="E19" s="139">
        <f>INDEX('2012 SATIM EB'!$C$31:$M$39,MATCH($A19,'2012 SATIM EB'!$B$31:$B$39,0),MATCH(E$5,'2012 SATIM EB'!$C$30:$M$30,0))</f>
        <v>9.5161466579683598</v>
      </c>
      <c r="F19" s="139">
        <f>INDEX('2012 SATIM EB'!$C$31:$M$39,MATCH($A19,'2012 SATIM EB'!$B$31:$B$39,0),MATCH(F$5,'2012 SATIM EB'!$C$30:$M$30,0))</f>
        <v>41.91064493123806</v>
      </c>
      <c r="G19" s="139">
        <f>INDEX('2012 SATIM EB'!$C$31:$M$39,MATCH($A19,'2012 SATIM EB'!$B$31:$B$39,0),MATCH(G$5,'2012 SATIM EB'!$C$30:$M$30,0))</f>
        <v>12.773</v>
      </c>
      <c r="H19" s="139">
        <f>INDEX('2012 SATIM EB'!$C$31:$M$39,MATCH($A19,'2012 SATIM EB'!$B$31:$B$39,0),MATCH(H$5,'2012 SATIM EB'!$C$30:$M$30,0))</f>
        <v>12.444925385084467</v>
      </c>
      <c r="I19" s="139">
        <f>INDEX('2012 SATIM EB'!$C$31:$M$39,MATCH($A19,'2012 SATIM EB'!$B$31:$B$39,0),MATCH(I$5,'2012 SATIM EB'!$C$30:$M$30,0))</f>
        <v>7.636310341263755</v>
      </c>
      <c r="J19" s="139">
        <f>INDEX('2012 SATIM EB'!$C$31:$M$39,MATCH($A19,'2012 SATIM EB'!$B$31:$B$39,0),MATCH(J$5,'2012 SATIM EB'!$C$30:$M$30,0))</f>
        <v>0</v>
      </c>
      <c r="K19" s="139">
        <f>INDEX('2012 SATIM EB'!$C$31:$M$39,MATCH($A19,'2012 SATIM EB'!$B$31:$B$39,0),MATCH(K$5,'2012 SATIM EB'!$C$30:$M$30,0))</f>
        <v>0</v>
      </c>
      <c r="L19" s="140">
        <f>INDEX('2012 SATIM EB'!$C$31:$M$39,MATCH($A19,'2012 SATIM EB'!$B$31:$B$39,0),MATCH(L$5,'2012 SATIM EB'!$C$30:$M$30,0))</f>
        <v>0</v>
      </c>
      <c r="M19" s="114">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1067.1149729026836</v>
      </c>
      <c r="C20" s="141">
        <f t="shared" ref="C20:L20" si="11">SUM(C10:C19)</f>
        <v>378.36290000000002</v>
      </c>
      <c r="D20" s="141">
        <f t="shared" si="11"/>
        <v>74.42</v>
      </c>
      <c r="E20" s="141">
        <f t="shared" si="11"/>
        <v>61.263406173308525</v>
      </c>
      <c r="F20" s="141">
        <f t="shared" si="11"/>
        <v>379.81725075812523</v>
      </c>
      <c r="G20" s="141">
        <f t="shared" si="11"/>
        <v>95.2</v>
      </c>
      <c r="H20" s="141">
        <f t="shared" si="11"/>
        <v>12.444925385084467</v>
      </c>
      <c r="I20" s="141">
        <f t="shared" si="11"/>
        <v>11.981282586165163</v>
      </c>
      <c r="J20" s="141">
        <f t="shared" si="11"/>
        <v>8.3290000000000006</v>
      </c>
      <c r="K20" s="141">
        <f t="shared" si="11"/>
        <v>45.296208</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1"/>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42" t="s">
        <v>321</v>
      </c>
      <c r="B31" s="30" t="s">
        <v>260</v>
      </c>
      <c r="C31" s="36"/>
      <c r="D31" s="42"/>
      <c r="E31" s="36"/>
      <c r="F31" s="36"/>
      <c r="G31" s="36"/>
      <c r="H31" s="36"/>
      <c r="I31" s="36" t="s">
        <v>336</v>
      </c>
      <c r="J31" s="36"/>
      <c r="K31" s="31"/>
      <c r="L31" s="2"/>
      <c r="M31" s="2"/>
      <c r="O31" s="2"/>
      <c r="P31" s="2"/>
      <c r="Q31" s="2"/>
      <c r="R31" s="2"/>
      <c r="S31" s="2"/>
      <c r="T31" s="2"/>
      <c r="U31" s="2"/>
      <c r="V31" s="2"/>
    </row>
    <row r="32" spans="1:29">
      <c r="A32" s="42" t="s">
        <v>280</v>
      </c>
      <c r="B32" s="30" t="s">
        <v>261</v>
      </c>
      <c r="C32" s="36"/>
      <c r="D32" s="42"/>
      <c r="E32" s="36"/>
      <c r="F32" s="36"/>
      <c r="G32" s="36"/>
      <c r="H32" s="36"/>
      <c r="I32" s="36"/>
      <c r="J32" s="36"/>
      <c r="K32" s="31"/>
      <c r="L32" s="2"/>
      <c r="M32" s="2"/>
      <c r="O32" s="2"/>
      <c r="P32" s="2"/>
      <c r="Q32" s="2"/>
      <c r="R32" s="2"/>
      <c r="S32" s="2"/>
      <c r="T32" s="2"/>
      <c r="U32" s="2"/>
      <c r="V32" s="2"/>
    </row>
    <row r="33" spans="1:33">
      <c r="A33" s="42" t="s">
        <v>281</v>
      </c>
      <c r="B33" s="30" t="s">
        <v>262</v>
      </c>
      <c r="C33" s="36"/>
      <c r="E33" s="36"/>
      <c r="F33" s="36"/>
      <c r="G33" s="36"/>
      <c r="H33" s="36"/>
      <c r="I33" s="36" t="s">
        <v>336</v>
      </c>
      <c r="J33" s="36"/>
      <c r="K33" s="31"/>
      <c r="L33" s="2"/>
      <c r="M33" s="2"/>
      <c r="O33" s="2"/>
      <c r="P33" s="2"/>
      <c r="Q33" s="2"/>
      <c r="R33" s="2"/>
      <c r="S33" s="2"/>
      <c r="T33" s="2"/>
      <c r="U33" s="2"/>
      <c r="V33" s="2"/>
    </row>
    <row r="34" spans="1:33">
      <c r="A34" s="42" t="s">
        <v>282</v>
      </c>
      <c r="B34" s="30" t="s">
        <v>264</v>
      </c>
      <c r="C34" s="36"/>
      <c r="D34" s="42"/>
      <c r="E34" s="36"/>
      <c r="F34" s="36"/>
      <c r="G34" s="36"/>
      <c r="H34" s="36"/>
      <c r="I34" s="36"/>
      <c r="J34" s="36"/>
      <c r="K34" s="31"/>
      <c r="L34" s="2"/>
      <c r="M34" s="2"/>
      <c r="O34" s="2"/>
      <c r="P34" s="2"/>
      <c r="Q34" s="2"/>
      <c r="R34" s="2"/>
      <c r="S34" s="2"/>
      <c r="T34" s="2"/>
      <c r="U34" s="2"/>
      <c r="V34" s="2"/>
    </row>
    <row r="35" spans="1:33">
      <c r="A35" s="42" t="s">
        <v>283</v>
      </c>
      <c r="B35" s="30" t="s">
        <v>265</v>
      </c>
      <c r="C35" s="36"/>
      <c r="D35" s="42"/>
      <c r="E35" s="36"/>
      <c r="F35" s="36"/>
      <c r="G35" s="36"/>
      <c r="H35" s="36"/>
      <c r="I35" s="36"/>
      <c r="J35" s="36"/>
      <c r="K35" s="31"/>
      <c r="L35" s="2"/>
      <c r="M35" s="2"/>
      <c r="O35" s="2"/>
      <c r="P35" s="2"/>
      <c r="Q35" s="2"/>
      <c r="R35" s="2"/>
      <c r="S35" s="2"/>
      <c r="T35" s="2"/>
      <c r="U35" s="2"/>
      <c r="V35" s="2"/>
    </row>
    <row r="36" spans="1:33">
      <c r="A36" s="42" t="s">
        <v>284</v>
      </c>
      <c r="B36" s="30" t="s">
        <v>266</v>
      </c>
      <c r="C36" s="36"/>
      <c r="D36" s="36"/>
      <c r="E36" s="36"/>
      <c r="F36" s="36"/>
      <c r="G36" s="36"/>
      <c r="H36" s="36"/>
      <c r="I36" s="36"/>
      <c r="J36" s="36"/>
      <c r="K36" s="31"/>
      <c r="L36" s="2"/>
      <c r="M36" s="2"/>
      <c r="O36" s="2"/>
      <c r="P36" s="2"/>
      <c r="Q36" s="2"/>
      <c r="R36" s="2"/>
      <c r="S36" s="2"/>
      <c r="T36" s="2"/>
      <c r="U36" s="2"/>
      <c r="V36" s="2"/>
    </row>
    <row r="37" spans="1:33">
      <c r="A37" s="42" t="s">
        <v>285</v>
      </c>
      <c r="B37" s="30" t="s">
        <v>267</v>
      </c>
      <c r="C37" s="36"/>
      <c r="D37" s="42"/>
      <c r="E37" s="36"/>
      <c r="F37" s="36"/>
      <c r="G37" s="36"/>
      <c r="H37" s="36"/>
      <c r="I37" s="36"/>
      <c r="J37" s="36"/>
      <c r="K37" s="31"/>
      <c r="L37" s="2"/>
      <c r="M37" s="2"/>
      <c r="O37" s="2"/>
      <c r="P37" s="2"/>
      <c r="Q37" s="2"/>
      <c r="R37" s="2"/>
      <c r="S37" s="2"/>
      <c r="T37" s="2"/>
      <c r="U37" s="2"/>
      <c r="V37" s="2"/>
    </row>
    <row r="38" spans="1:33">
      <c r="A38" s="42" t="s">
        <v>286</v>
      </c>
      <c r="B38" s="43" t="s">
        <v>268</v>
      </c>
      <c r="C38" s="43"/>
      <c r="D38" s="43"/>
      <c r="E38" s="43"/>
      <c r="F38" s="43"/>
      <c r="G38" s="43"/>
      <c r="H38" s="43"/>
      <c r="I38" s="43"/>
      <c r="J38" s="43"/>
      <c r="K38" s="31"/>
      <c r="L38" s="2"/>
      <c r="M38" s="2"/>
      <c r="O38" s="2"/>
      <c r="P38" s="2"/>
      <c r="Q38" s="2"/>
      <c r="R38" s="2"/>
      <c r="S38" s="2"/>
      <c r="T38" s="2"/>
      <c r="U38" s="2"/>
      <c r="V38" s="2"/>
    </row>
    <row r="39" spans="1:33">
      <c r="A39" s="42" t="s">
        <v>287</v>
      </c>
      <c r="B39" s="43" t="s">
        <v>269</v>
      </c>
      <c r="C39" s="43"/>
      <c r="D39" s="43"/>
      <c r="E39" s="43"/>
      <c r="F39" s="43"/>
      <c r="G39" s="43"/>
      <c r="H39" s="43"/>
      <c r="I39" s="43"/>
      <c r="J39" s="43"/>
      <c r="K39" s="31"/>
      <c r="L39" s="2"/>
      <c r="M39" s="2"/>
      <c r="O39" s="2"/>
      <c r="P39" s="2"/>
      <c r="Q39" s="2"/>
      <c r="R39" s="2"/>
      <c r="S39" s="2"/>
      <c r="T39" s="2"/>
      <c r="U39" s="2"/>
      <c r="V39" s="2"/>
    </row>
    <row r="40" spans="1:33" ht="13.5" thickBot="1">
      <c r="A40" s="42" t="s">
        <v>481</v>
      </c>
      <c r="B40" s="43" t="s">
        <v>270</v>
      </c>
      <c r="C40" s="43"/>
      <c r="D40" s="43"/>
      <c r="E40" s="43"/>
      <c r="F40" s="43"/>
      <c r="G40" s="43"/>
      <c r="H40" s="43"/>
      <c r="I40" s="43"/>
      <c r="J40" s="43"/>
      <c r="K40" s="31"/>
      <c r="L40" s="2"/>
      <c r="M40" s="2"/>
      <c r="O40" s="2"/>
      <c r="P40" s="2"/>
      <c r="Q40" s="2"/>
      <c r="R40" s="2"/>
      <c r="S40" s="2"/>
      <c r="T40" s="2"/>
      <c r="U40" s="2"/>
      <c r="V40" s="2"/>
    </row>
    <row r="41" spans="1:33" ht="15">
      <c r="A41" s="85" t="s">
        <v>402</v>
      </c>
      <c r="B41" s="86" t="s">
        <v>272</v>
      </c>
      <c r="C41" s="43"/>
      <c r="D41" s="43"/>
      <c r="E41" s="43"/>
      <c r="F41" s="43"/>
      <c r="G41" s="43"/>
      <c r="H41" s="43"/>
      <c r="I41" s="43"/>
      <c r="J41" s="43"/>
      <c r="K41" s="31"/>
      <c r="L41" s="2"/>
      <c r="M41" s="2"/>
      <c r="N41" s="2"/>
      <c r="O41" s="2"/>
      <c r="P41" s="2"/>
      <c r="Q41" s="2"/>
      <c r="R41" s="2"/>
      <c r="S41" s="2"/>
      <c r="T41" s="2"/>
      <c r="U41" s="2"/>
      <c r="V41" s="2"/>
      <c r="Z41" s="169" t="s">
        <v>403</v>
      </c>
      <c r="AA41" s="156"/>
      <c r="AB41" s="156"/>
      <c r="AC41" s="156"/>
      <c r="AD41" s="156"/>
      <c r="AE41" s="156"/>
      <c r="AF41" s="156"/>
      <c r="AG41" s="157"/>
    </row>
    <row r="42" spans="1:33">
      <c r="A42" s="42" t="s">
        <v>273</v>
      </c>
      <c r="B42" s="43" t="s">
        <v>274</v>
      </c>
      <c r="C42" s="43"/>
      <c r="D42" s="43"/>
      <c r="E42" s="43"/>
      <c r="F42" s="43"/>
      <c r="G42" s="43"/>
      <c r="H42" s="43"/>
      <c r="I42" s="43"/>
      <c r="J42" s="43"/>
      <c r="K42" s="31"/>
      <c r="L42" s="2"/>
      <c r="M42" s="2"/>
      <c r="N42" s="2"/>
      <c r="O42" s="2"/>
      <c r="P42" s="2"/>
      <c r="Q42" s="2"/>
      <c r="R42" s="2"/>
      <c r="S42" s="2"/>
      <c r="T42" s="2"/>
      <c r="U42" s="2"/>
      <c r="V42" s="2"/>
      <c r="Z42" s="158"/>
      <c r="AG42" s="159"/>
    </row>
    <row r="43" spans="1:33" ht="15">
      <c r="A43" s="42"/>
      <c r="B43" s="43"/>
      <c r="C43" s="43"/>
      <c r="D43" s="43"/>
      <c r="E43" s="43"/>
      <c r="F43" s="43"/>
      <c r="G43" s="43"/>
      <c r="H43" s="43"/>
      <c r="I43" s="43"/>
      <c r="J43" s="43"/>
      <c r="K43" s="31"/>
      <c r="L43" s="2"/>
      <c r="M43" s="2"/>
      <c r="N43" s="2"/>
      <c r="O43" s="2"/>
      <c r="P43" s="2"/>
      <c r="Q43" s="2"/>
      <c r="R43" s="2"/>
      <c r="S43" s="2"/>
      <c r="T43" s="2"/>
      <c r="U43" s="2"/>
      <c r="V43" s="2"/>
      <c r="Z43" s="158"/>
      <c r="AA43" s="26" t="s">
        <v>404</v>
      </c>
      <c r="AB43" s="79">
        <v>0</v>
      </c>
      <c r="AC43" s="2" t="str">
        <f>VLOOKUP(AB43,$AA$45:$AB$53,2,FALSE)</f>
        <v>No Efficiency</v>
      </c>
      <c r="AG43" s="159"/>
    </row>
    <row r="44" spans="1:33">
      <c r="B44" s="2"/>
      <c r="C44" s="32" t="s">
        <v>257</v>
      </c>
      <c r="D44" s="32"/>
      <c r="E44" s="32"/>
      <c r="F44" s="32"/>
      <c r="G44" s="32"/>
      <c r="H44" s="32"/>
      <c r="I44" s="32"/>
      <c r="J44" s="32"/>
      <c r="K44" s="31"/>
      <c r="L44" s="2"/>
      <c r="M44" s="2"/>
      <c r="N44" s="2"/>
      <c r="O44" s="2"/>
      <c r="P44" s="2"/>
      <c r="Q44" s="2"/>
      <c r="R44" s="2"/>
      <c r="S44" s="2"/>
      <c r="T44" s="2"/>
      <c r="U44" s="2"/>
      <c r="V44" s="2"/>
      <c r="Z44" s="158"/>
      <c r="AG44" s="159"/>
    </row>
    <row r="45" spans="1:33">
      <c r="A45" s="40" t="s">
        <v>258</v>
      </c>
      <c r="B45" s="40" t="s">
        <v>259</v>
      </c>
      <c r="C45" s="66" t="str">
        <f t="array" ref="C45:J45">+TRANSPOSE(B10:B19)</f>
        <v>MI</v>
      </c>
      <c r="D45" s="66" t="str">
        <v>FA</v>
      </c>
      <c r="E45" s="66" t="str">
        <v>IS</v>
      </c>
      <c r="F45" s="66" t="str">
        <v>AL</v>
      </c>
      <c r="G45" s="66" t="str">
        <v>CP</v>
      </c>
      <c r="H45" s="66" t="str">
        <v>NF</v>
      </c>
      <c r="I45" s="66" t="str">
        <v>NM</v>
      </c>
      <c r="J45" s="66" t="str">
        <v>FB</v>
      </c>
      <c r="K45" s="66" t="s">
        <v>119</v>
      </c>
      <c r="L45" s="2"/>
      <c r="M45" s="2"/>
      <c r="N45" s="115"/>
      <c r="O45" s="2"/>
      <c r="P45" s="2"/>
      <c r="Q45" s="2"/>
      <c r="R45" s="2"/>
      <c r="S45" s="2"/>
      <c r="T45" s="2"/>
      <c r="U45" s="2"/>
      <c r="V45" s="2"/>
      <c r="Z45" s="170"/>
      <c r="AA45" s="1">
        <v>0</v>
      </c>
      <c r="AB45" s="1" t="s">
        <v>405</v>
      </c>
      <c r="AC45" s="2"/>
      <c r="AG45" s="159"/>
    </row>
    <row r="46" spans="1:33">
      <c r="A46" s="65" t="str">
        <f t="shared" ref="A46:A54" si="12">A31</f>
        <v>Elec Heating</v>
      </c>
      <c r="B46" s="46" t="str">
        <f t="shared" ref="B46:B57" si="13">+B31</f>
        <v>K</v>
      </c>
      <c r="C46" s="67">
        <v>0.02</v>
      </c>
      <c r="D46" s="67">
        <v>1</v>
      </c>
      <c r="E46" s="67">
        <v>0.4</v>
      </c>
      <c r="F46" s="67" t="e">
        <v>#N/A</v>
      </c>
      <c r="G46" s="67">
        <v>0.02</v>
      </c>
      <c r="H46" s="67">
        <v>0.01</v>
      </c>
      <c r="I46" s="67">
        <v>0.23</v>
      </c>
      <c r="J46" s="67">
        <v>7.0000000000000007E-2</v>
      </c>
      <c r="K46" s="67">
        <v>9.6500000000000002E-2</v>
      </c>
      <c r="L46" s="2"/>
      <c r="M46" s="2"/>
      <c r="N46" s="2"/>
      <c r="O46" s="2"/>
      <c r="P46" s="2"/>
      <c r="Q46" s="2"/>
      <c r="R46" s="2"/>
      <c r="S46" s="2"/>
      <c r="T46" s="2"/>
      <c r="U46" s="2"/>
      <c r="V46" s="2"/>
      <c r="Z46" s="170"/>
      <c r="AA46" s="2">
        <v>1</v>
      </c>
      <c r="AB46" s="2" t="s">
        <v>406</v>
      </c>
      <c r="AC46" s="2"/>
      <c r="AG46" s="159"/>
    </row>
    <row r="47" spans="1:33">
      <c r="A47" s="65" t="str">
        <f t="shared" si="12"/>
        <v>Compressed air</v>
      </c>
      <c r="B47" s="46" t="str">
        <f t="shared" si="13"/>
        <v>A</v>
      </c>
      <c r="C47" s="67">
        <v>0.18584628215542981</v>
      </c>
      <c r="D47" s="67"/>
      <c r="E47" s="67">
        <v>0.05</v>
      </c>
      <c r="F47" s="67" t="e">
        <v>#N/A</v>
      </c>
      <c r="G47" s="67">
        <v>0.15</v>
      </c>
      <c r="H47" s="67">
        <v>0</v>
      </c>
      <c r="I47" s="67">
        <v>0.13</v>
      </c>
      <c r="J47" s="67">
        <v>0.04</v>
      </c>
      <c r="K47" s="67">
        <v>0.10929999999999999</v>
      </c>
      <c r="L47" s="2"/>
      <c r="M47" s="2"/>
      <c r="N47" s="2"/>
      <c r="O47" s="2"/>
      <c r="P47" s="2"/>
      <c r="Q47" s="2"/>
      <c r="R47" s="2"/>
      <c r="S47" s="2"/>
      <c r="T47" s="2"/>
      <c r="U47" s="2"/>
      <c r="V47" s="2"/>
      <c r="Z47" s="170"/>
      <c r="AA47" s="2">
        <v>2</v>
      </c>
      <c r="AB47" s="2" t="s">
        <v>407</v>
      </c>
      <c r="AC47" s="2"/>
      <c r="AG47" s="159"/>
    </row>
    <row r="48" spans="1:33">
      <c r="A48" s="65" t="str">
        <f t="shared" si="12"/>
        <v>Lighting</v>
      </c>
      <c r="B48" s="46" t="str">
        <f t="shared" si="13"/>
        <v>L</v>
      </c>
      <c r="C48" s="67">
        <v>4.4999999999999998E-2</v>
      </c>
      <c r="D48" s="67"/>
      <c r="E48" s="67">
        <v>3.5000000000000003E-2</v>
      </c>
      <c r="F48" s="67" t="e">
        <v>#N/A</v>
      </c>
      <c r="G48" s="67">
        <v>0.04</v>
      </c>
      <c r="H48" s="67">
        <v>0.01</v>
      </c>
      <c r="I48" s="67">
        <v>0.05</v>
      </c>
      <c r="J48" s="67">
        <v>0.05</v>
      </c>
      <c r="K48" s="67">
        <v>8.0700000000000008E-2</v>
      </c>
      <c r="L48" s="2"/>
      <c r="M48" s="2"/>
      <c r="N48" s="2"/>
      <c r="O48" s="2"/>
      <c r="P48" s="2"/>
      <c r="Q48" s="2"/>
      <c r="R48" s="2"/>
      <c r="S48" s="2"/>
      <c r="T48" s="2"/>
      <c r="U48" s="2"/>
      <c r="V48" s="2"/>
      <c r="Z48" s="170"/>
      <c r="AA48" s="2">
        <v>3</v>
      </c>
      <c r="AB48" s="2" t="s">
        <v>408</v>
      </c>
      <c r="AC48" s="2"/>
      <c r="AD48" s="2"/>
      <c r="AG48" s="159"/>
    </row>
    <row r="49" spans="1:47">
      <c r="A49" s="65" t="str">
        <f t="shared" si="12"/>
        <v>Cooling</v>
      </c>
      <c r="B49" s="46" t="str">
        <f t="shared" si="13"/>
        <v>C</v>
      </c>
      <c r="C49" s="67">
        <v>8.1179476487047514E-2</v>
      </c>
      <c r="D49" s="67"/>
      <c r="E49" s="67">
        <v>0.01</v>
      </c>
      <c r="F49" s="67" t="e">
        <v>#N/A</v>
      </c>
      <c r="G49" s="67">
        <v>0.05</v>
      </c>
      <c r="H49" s="67">
        <v>0</v>
      </c>
      <c r="I49" s="67">
        <v>0</v>
      </c>
      <c r="J49" s="67">
        <v>0.23</v>
      </c>
      <c r="K49" s="67">
        <v>5.1400000000000008E-2</v>
      </c>
      <c r="L49" s="2"/>
      <c r="M49" s="2"/>
      <c r="N49" s="2"/>
      <c r="O49" s="2"/>
      <c r="P49" s="2"/>
      <c r="Q49" s="2"/>
      <c r="R49" s="2"/>
      <c r="S49" s="2"/>
      <c r="T49" s="2"/>
      <c r="U49" s="2"/>
      <c r="V49" s="2"/>
      <c r="Z49" s="170"/>
      <c r="AA49" s="2">
        <v>4</v>
      </c>
      <c r="AB49" s="2" t="s">
        <v>409</v>
      </c>
      <c r="AC49" s="2"/>
      <c r="AD49" s="2"/>
      <c r="AF49" s="26"/>
      <c r="AG49" s="159"/>
    </row>
    <row r="50" spans="1:47">
      <c r="A50" s="65" t="str">
        <f t="shared" si="12"/>
        <v>HVAC</v>
      </c>
      <c r="B50" s="46" t="str">
        <f t="shared" si="13"/>
        <v>H</v>
      </c>
      <c r="C50" s="67">
        <v>0.08</v>
      </c>
      <c r="D50" s="67"/>
      <c r="E50" s="67">
        <v>0.02</v>
      </c>
      <c r="F50" s="67" t="e">
        <v>#N/A</v>
      </c>
      <c r="G50" s="67">
        <v>0.02</v>
      </c>
      <c r="H50" s="67">
        <v>0.01</v>
      </c>
      <c r="I50" s="67">
        <v>0.02</v>
      </c>
      <c r="J50" s="67">
        <v>0.06</v>
      </c>
      <c r="K50" s="67">
        <v>8.4900000000000003E-2</v>
      </c>
      <c r="L50" s="2"/>
      <c r="M50" s="2"/>
      <c r="N50" s="2"/>
      <c r="O50" s="2"/>
      <c r="P50" s="2"/>
      <c r="Q50" s="2"/>
      <c r="R50" s="2"/>
      <c r="S50" s="2"/>
      <c r="T50" s="2"/>
      <c r="U50" s="2"/>
      <c r="V50" s="2"/>
      <c r="Z50" s="170"/>
      <c r="AA50" s="2">
        <v>5</v>
      </c>
      <c r="AB50" s="2" t="s">
        <v>410</v>
      </c>
      <c r="AC50" s="2"/>
      <c r="AD50" s="2"/>
      <c r="AG50" s="159"/>
    </row>
    <row r="51" spans="1:47">
      <c r="A51" s="65" t="str">
        <f t="shared" si="12"/>
        <v>Pumping</v>
      </c>
      <c r="B51" s="46" t="str">
        <f t="shared" si="13"/>
        <v>P</v>
      </c>
      <c r="C51" s="67">
        <v>0.1788716237927602</v>
      </c>
      <c r="D51" s="67"/>
      <c r="E51" s="67">
        <v>2.5000000000000001E-2</v>
      </c>
      <c r="F51" s="67" t="e">
        <v>#N/A</v>
      </c>
      <c r="G51" s="67">
        <v>0.35</v>
      </c>
      <c r="H51" s="67">
        <v>0</v>
      </c>
      <c r="I51" s="67">
        <v>8.5000000000000006E-2</v>
      </c>
      <c r="J51" s="67">
        <v>0.28000000000000003</v>
      </c>
      <c r="K51" s="67">
        <v>0.13</v>
      </c>
      <c r="L51" s="2"/>
      <c r="M51" s="2"/>
      <c r="N51" s="2"/>
      <c r="Z51" s="170"/>
      <c r="AA51" s="2">
        <v>6</v>
      </c>
      <c r="AB51" s="2" t="s">
        <v>411</v>
      </c>
      <c r="AC51" s="2"/>
      <c r="AD51" s="2"/>
      <c r="AF51" s="2"/>
      <c r="AG51" s="159"/>
    </row>
    <row r="52" spans="1:47">
      <c r="A52" s="65" t="str">
        <f t="shared" si="12"/>
        <v>Fans</v>
      </c>
      <c r="B52" s="46" t="str">
        <f t="shared" si="13"/>
        <v>F</v>
      </c>
      <c r="C52" s="67">
        <v>6.8871623792760225E-2</v>
      </c>
      <c r="D52" s="67"/>
      <c r="E52" s="67">
        <v>4.4999999999999998E-2</v>
      </c>
      <c r="F52" s="67" t="e">
        <v>#N/A</v>
      </c>
      <c r="G52" s="67">
        <v>0.08</v>
      </c>
      <c r="H52" s="67">
        <v>0</v>
      </c>
      <c r="I52" s="67">
        <v>0.09</v>
      </c>
      <c r="J52" s="67">
        <v>0.04</v>
      </c>
      <c r="K52" s="67">
        <v>5.5350000000000003E-2</v>
      </c>
      <c r="L52" s="2"/>
      <c r="M52" s="2"/>
      <c r="N52" s="2"/>
      <c r="Z52" s="158"/>
      <c r="AA52" s="2">
        <v>7</v>
      </c>
      <c r="AB52" t="s">
        <v>412</v>
      </c>
      <c r="AC52" s="2"/>
      <c r="AD52" s="2"/>
      <c r="AE52" s="2"/>
      <c r="AF52" s="2"/>
      <c r="AG52" s="159"/>
    </row>
    <row r="53" spans="1:47">
      <c r="A53" s="65" t="str">
        <f t="shared" si="12"/>
        <v>Other motive</v>
      </c>
      <c r="B53" s="46" t="str">
        <f t="shared" si="13"/>
        <v>O</v>
      </c>
      <c r="C53" s="67">
        <v>0.3379309937720022</v>
      </c>
      <c r="D53" s="67"/>
      <c r="E53" s="67">
        <v>0.41499999999999998</v>
      </c>
      <c r="F53" s="67" t="e">
        <v>#N/A</v>
      </c>
      <c r="G53" s="67">
        <v>0.2</v>
      </c>
      <c r="H53" s="67">
        <v>7.0000000000000007E-2</v>
      </c>
      <c r="I53" s="67">
        <v>0.39500000000000002</v>
      </c>
      <c r="J53" s="67">
        <v>0.21</v>
      </c>
      <c r="K53" s="67">
        <v>0.36883000000000005</v>
      </c>
      <c r="L53" s="2"/>
      <c r="M53" s="2"/>
      <c r="N53" s="2"/>
      <c r="Z53" s="158"/>
      <c r="AA53" s="171">
        <v>8</v>
      </c>
      <c r="AB53" s="171" t="s">
        <v>413</v>
      </c>
      <c r="AD53" s="26" t="s">
        <v>414</v>
      </c>
      <c r="AE53" s="2"/>
      <c r="AF53" s="2"/>
      <c r="AG53" s="159"/>
    </row>
    <row r="54" spans="1:47" ht="13.5" thickBot="1">
      <c r="A54" s="65" t="str">
        <f t="shared" si="12"/>
        <v>Electrochemical</v>
      </c>
      <c r="B54" s="46" t="str">
        <f t="shared" si="13"/>
        <v>E</v>
      </c>
      <c r="C54" s="67">
        <v>2.3E-3</v>
      </c>
      <c r="D54" s="67"/>
      <c r="E54" s="67">
        <v>0</v>
      </c>
      <c r="F54" s="67" t="e">
        <v>#N/A</v>
      </c>
      <c r="G54" s="67">
        <v>0.08</v>
      </c>
      <c r="H54" s="67">
        <v>0.9</v>
      </c>
      <c r="I54" s="67">
        <v>0</v>
      </c>
      <c r="J54" s="67">
        <v>0</v>
      </c>
      <c r="K54" s="67">
        <v>1.302E-2</v>
      </c>
      <c r="L54" s="2"/>
      <c r="M54" s="2"/>
      <c r="N54" s="2"/>
      <c r="Z54" s="161"/>
      <c r="AA54" s="162"/>
      <c r="AB54" s="162"/>
      <c r="AC54" s="162"/>
      <c r="AD54" s="162"/>
      <c r="AE54" s="172"/>
      <c r="AF54" s="172"/>
      <c r="AG54" s="163"/>
    </row>
    <row r="55" spans="1:47">
      <c r="A55" s="143" t="s">
        <v>481</v>
      </c>
      <c r="B55" s="44" t="str">
        <f t="shared" si="13"/>
        <v>S</v>
      </c>
      <c r="C55" s="67">
        <v>0</v>
      </c>
      <c r="D55" s="144"/>
      <c r="E55" s="67">
        <v>0</v>
      </c>
      <c r="F55" s="67" t="e">
        <v>#N/A</v>
      </c>
      <c r="G55" s="67">
        <v>0.01</v>
      </c>
      <c r="H55" s="67">
        <v>0</v>
      </c>
      <c r="I55" s="67">
        <v>0</v>
      </c>
      <c r="J55" s="67">
        <v>0.02</v>
      </c>
      <c r="K55" s="67">
        <v>0.01</v>
      </c>
      <c r="L55" s="2"/>
      <c r="M55" s="2"/>
      <c r="N55" s="2"/>
      <c r="AE55" s="2"/>
      <c r="AF55" s="2"/>
    </row>
    <row r="56" spans="1:47">
      <c r="A56" s="65" t="str">
        <f>A41</f>
        <v>Ancillary</v>
      </c>
      <c r="B56" s="46" t="str">
        <f t="shared" si="13"/>
        <v>T</v>
      </c>
      <c r="C56" s="67">
        <v>1</v>
      </c>
      <c r="D56" s="67">
        <v>1</v>
      </c>
      <c r="E56" s="67">
        <v>1</v>
      </c>
      <c r="F56" s="67">
        <v>0</v>
      </c>
      <c r="G56" s="67">
        <v>0</v>
      </c>
      <c r="H56" s="67">
        <v>0</v>
      </c>
      <c r="I56" s="67">
        <v>0</v>
      </c>
      <c r="J56" s="67">
        <v>1</v>
      </c>
      <c r="K56" s="67">
        <v>2</v>
      </c>
      <c r="L56" s="2"/>
      <c r="M56" s="2"/>
      <c r="N56" s="2"/>
      <c r="AA56" s="2"/>
      <c r="AB56" s="2"/>
      <c r="AD56" s="2"/>
      <c r="AE56" s="2"/>
      <c r="AF56" s="2"/>
    </row>
    <row r="57" spans="1:47">
      <c r="A57" s="65" t="s">
        <v>273</v>
      </c>
      <c r="B57" s="46" t="str">
        <f t="shared" si="13"/>
        <v>R</v>
      </c>
      <c r="C57" s="67">
        <v>0.18584628215542981</v>
      </c>
      <c r="D57" s="67">
        <v>0.05</v>
      </c>
      <c r="E57" s="67">
        <v>0.15</v>
      </c>
      <c r="F57" s="67">
        <v>0</v>
      </c>
      <c r="G57" s="67">
        <v>0.13</v>
      </c>
      <c r="H57" s="67">
        <v>0.04</v>
      </c>
      <c r="I57" s="67">
        <v>0.35</v>
      </c>
      <c r="J57" s="67">
        <v>0.10929999999999999</v>
      </c>
      <c r="K57" s="67">
        <v>0.01</v>
      </c>
      <c r="L57" s="2"/>
      <c r="M57" s="2"/>
      <c r="N57" s="2"/>
      <c r="AD57" s="2"/>
      <c r="AE57" s="2"/>
      <c r="AF57" s="2"/>
    </row>
    <row r="58" spans="1:47">
      <c r="A58" s="45" t="s">
        <v>275</v>
      </c>
      <c r="B58" s="46"/>
      <c r="C58" s="47">
        <f t="shared" ref="C58:J58" si="14">SUM(C46:C57)</f>
        <v>2.1858462821554299</v>
      </c>
      <c r="D58" s="47">
        <f t="shared" si="14"/>
        <v>2.0499999999999998</v>
      </c>
      <c r="E58" s="47">
        <f t="shared" si="14"/>
        <v>2.15</v>
      </c>
      <c r="F58" s="47" t="e">
        <f t="shared" si="14"/>
        <v>#N/A</v>
      </c>
      <c r="G58" s="47">
        <f t="shared" si="14"/>
        <v>1.1299999999999999</v>
      </c>
      <c r="H58" s="47">
        <f t="shared" si="14"/>
        <v>1.04</v>
      </c>
      <c r="I58" s="47">
        <f t="shared" si="14"/>
        <v>1.35</v>
      </c>
      <c r="J58" s="47">
        <f t="shared" si="14"/>
        <v>2.1093000000000002</v>
      </c>
      <c r="K58" s="47">
        <f>SUM(K46:K57)</f>
        <v>3.01</v>
      </c>
      <c r="L58" s="2"/>
      <c r="M58" s="2"/>
      <c r="N58" s="2"/>
      <c r="Z58" s="74"/>
      <c r="AA58" s="74"/>
      <c r="AB58" s="74">
        <v>2020</v>
      </c>
      <c r="AC58" s="74">
        <f>AB58+5</f>
        <v>2025</v>
      </c>
      <c r="AD58" s="74">
        <f>AC58+5</f>
        <v>2030</v>
      </c>
      <c r="AE58" s="74">
        <f>AD58+5</f>
        <v>2035</v>
      </c>
      <c r="AF58" s="74">
        <f>AE58+5</f>
        <v>2040</v>
      </c>
      <c r="AG58" s="74">
        <v>2050</v>
      </c>
    </row>
    <row r="59" spans="1:47" ht="15">
      <c r="A59" s="64"/>
      <c r="B59" s="2"/>
      <c r="C59" s="43"/>
      <c r="D59" s="43"/>
      <c r="E59" s="43"/>
      <c r="F59" s="43"/>
      <c r="G59" s="43"/>
      <c r="H59" s="43"/>
      <c r="I59" s="43"/>
      <c r="J59" s="43"/>
      <c r="K59" s="2"/>
      <c r="L59" s="2"/>
      <c r="M59" s="2"/>
      <c r="N59" s="2"/>
      <c r="Z59" s="27" t="s">
        <v>415</v>
      </c>
      <c r="AA59" s="27"/>
      <c r="AE59" s="2"/>
      <c r="AF59" s="2"/>
    </row>
    <row r="60" spans="1:47">
      <c r="A60" s="40" t="s">
        <v>416</v>
      </c>
      <c r="B60" s="40" t="s">
        <v>259</v>
      </c>
      <c r="C60" s="44" t="str">
        <f t="shared" ref="C60:J60" si="15">+C45</f>
        <v>MI</v>
      </c>
      <c r="D60" s="44" t="str">
        <f t="shared" si="15"/>
        <v>FA</v>
      </c>
      <c r="E60" s="44" t="str">
        <f t="shared" si="15"/>
        <v>IS</v>
      </c>
      <c r="F60" s="44" t="str">
        <f t="shared" si="15"/>
        <v>AL</v>
      </c>
      <c r="G60" s="44" t="str">
        <f t="shared" si="15"/>
        <v>CP</v>
      </c>
      <c r="H60" s="44" t="str">
        <f t="shared" si="15"/>
        <v>NF</v>
      </c>
      <c r="I60" s="44" t="str">
        <f t="shared" si="15"/>
        <v>NM</v>
      </c>
      <c r="J60" s="44" t="str">
        <f t="shared" si="15"/>
        <v>FB</v>
      </c>
      <c r="K60" s="44" t="str">
        <f>+K45</f>
        <v>OT</v>
      </c>
      <c r="L60" s="44" t="s">
        <v>275</v>
      </c>
      <c r="M60" s="2"/>
      <c r="N60" s="2"/>
      <c r="O60" s="2"/>
      <c r="AB60" s="26" t="s">
        <v>417</v>
      </c>
      <c r="AC60" s="26" t="s">
        <v>418</v>
      </c>
      <c r="AD60" s="26" t="s">
        <v>419</v>
      </c>
      <c r="AE60" s="2" t="s">
        <v>420</v>
      </c>
      <c r="AF60" s="2" t="s">
        <v>421</v>
      </c>
      <c r="AG60" s="26" t="s">
        <v>422</v>
      </c>
    </row>
    <row r="61" spans="1:47" ht="15">
      <c r="A61" s="65" t="str">
        <f>A$31</f>
        <v>Elec Heating</v>
      </c>
      <c r="B61" s="46" t="str">
        <f t="shared" ref="B61:B70" si="16">+B46</f>
        <v>K</v>
      </c>
      <c r="C61" s="39">
        <f t="shared" ref="C61:K61" si="17">C46*INDEX($F$10:$F$19,MATCH(C$60,$B$10:$B$19,0))</f>
        <v>2.1483807516574673</v>
      </c>
      <c r="D61" s="39">
        <f t="shared" si="17"/>
        <v>55.10318766954002</v>
      </c>
      <c r="E61" s="39">
        <f t="shared" si="17"/>
        <v>17.802201618239732</v>
      </c>
      <c r="F61" s="39" t="e">
        <f t="shared" si="17"/>
        <v>#N/A</v>
      </c>
      <c r="G61" s="39">
        <f t="shared" si="17"/>
        <v>0.55927299693428933</v>
      </c>
      <c r="H61" s="39">
        <f t="shared" si="17"/>
        <v>0.67125214281758516</v>
      </c>
      <c r="I61" s="39">
        <f t="shared" si="17"/>
        <v>0.78645834289238459</v>
      </c>
      <c r="J61" s="39">
        <f t="shared" si="17"/>
        <v>1.1232232806047591</v>
      </c>
      <c r="K61" s="39">
        <f t="shared" si="17"/>
        <v>4.0443772358644727</v>
      </c>
      <c r="L61" s="48" t="e">
        <f>SUM(C61:K61)</f>
        <v>#N/A</v>
      </c>
      <c r="M61" s="7" t="e">
        <f t="shared" ref="M61:M70" si="18">L61/$K$73</f>
        <v>#N/A</v>
      </c>
      <c r="N61" s="2"/>
      <c r="O61">
        <v>4</v>
      </c>
      <c r="Z61" t="s">
        <v>423</v>
      </c>
      <c r="AA61" s="2"/>
      <c r="AB61" s="154"/>
      <c r="AC61" s="167"/>
      <c r="AD61" s="154"/>
      <c r="AE61" s="154"/>
      <c r="AF61" s="154"/>
      <c r="AG61" s="154"/>
      <c r="AK61" s="158"/>
      <c r="AU61" s="159"/>
    </row>
    <row r="62" spans="1:47" ht="15">
      <c r="A62" s="65" t="str">
        <f>A$32</f>
        <v>Compressed air</v>
      </c>
      <c r="B62" s="46" t="str">
        <f t="shared" si="16"/>
        <v>A</v>
      </c>
      <c r="C62" s="39">
        <f t="shared" ref="C62:K62" si="19">C47*INDEX($F$10:$F$19,MATCH(C$60,$B$10:$B$19,0))</f>
        <v>19.963428767491401</v>
      </c>
      <c r="D62" s="39">
        <f t="shared" si="19"/>
        <v>0</v>
      </c>
      <c r="E62" s="39">
        <f t="shared" si="19"/>
        <v>2.2252752022799664</v>
      </c>
      <c r="F62" s="39" t="e">
        <f t="shared" si="19"/>
        <v>#N/A</v>
      </c>
      <c r="G62" s="39">
        <f t="shared" si="19"/>
        <v>4.1945474770071698</v>
      </c>
      <c r="H62" s="39">
        <f t="shared" si="19"/>
        <v>0</v>
      </c>
      <c r="I62" s="39">
        <f t="shared" si="19"/>
        <v>0.44451993293917391</v>
      </c>
      <c r="J62" s="39">
        <f t="shared" si="19"/>
        <v>0.64184187463129083</v>
      </c>
      <c r="K62" s="39">
        <f t="shared" si="19"/>
        <v>4.58083349098432</v>
      </c>
      <c r="L62" s="48" t="e">
        <f t="shared" ref="L62:L70" si="20">SUM(C62:K62)</f>
        <v>#N/A</v>
      </c>
      <c r="M62" s="7" t="e">
        <f t="shared" si="18"/>
        <v>#N/A</v>
      </c>
      <c r="N62" s="2"/>
      <c r="O62">
        <f>O61+1</f>
        <v>5</v>
      </c>
      <c r="Z62" t="s">
        <v>424</v>
      </c>
      <c r="AA62" s="2"/>
      <c r="AB62" s="154"/>
      <c r="AC62" s="154"/>
      <c r="AD62" s="154"/>
      <c r="AE62" s="154"/>
      <c r="AF62" s="154"/>
      <c r="AG62" s="154"/>
      <c r="AK62" s="158"/>
      <c r="AU62" s="159"/>
    </row>
    <row r="63" spans="1:47" ht="15">
      <c r="A63" s="65" t="str">
        <f>A$33</f>
        <v>Lighting</v>
      </c>
      <c r="B63" s="46" t="str">
        <f t="shared" si="16"/>
        <v>L</v>
      </c>
      <c r="C63" s="39">
        <f t="shared" ref="C63:K63" si="21">C48*INDEX($F$10:$F$19,MATCH(C$60,$B$10:$B$19,0))</f>
        <v>4.8338566912293013</v>
      </c>
      <c r="D63" s="39">
        <f t="shared" si="21"/>
        <v>0</v>
      </c>
      <c r="E63" s="39">
        <f t="shared" si="21"/>
        <v>1.5576926415959764</v>
      </c>
      <c r="F63" s="39" t="e">
        <f t="shared" si="21"/>
        <v>#N/A</v>
      </c>
      <c r="G63" s="39">
        <f t="shared" si="21"/>
        <v>1.1185459938685787</v>
      </c>
      <c r="H63" s="39">
        <f t="shared" si="21"/>
        <v>0.67125214281758516</v>
      </c>
      <c r="I63" s="39">
        <f t="shared" si="21"/>
        <v>0.17096920497660537</v>
      </c>
      <c r="J63" s="39">
        <f t="shared" si="21"/>
        <v>0.80230234328911354</v>
      </c>
      <c r="K63" s="39">
        <f t="shared" si="21"/>
        <v>3.3821890459509119</v>
      </c>
      <c r="L63" s="48" t="e">
        <f t="shared" si="20"/>
        <v>#N/A</v>
      </c>
      <c r="M63" s="7" t="e">
        <f t="shared" si="18"/>
        <v>#N/A</v>
      </c>
      <c r="N63" s="2"/>
      <c r="O63">
        <f t="shared" ref="O63:O69" si="22">O62+1</f>
        <v>6</v>
      </c>
      <c r="Z63" t="s">
        <v>281</v>
      </c>
      <c r="AA63" s="2"/>
      <c r="AB63" s="154"/>
      <c r="AC63" s="154"/>
      <c r="AD63" s="154"/>
      <c r="AE63" s="154"/>
      <c r="AF63" s="154"/>
      <c r="AG63" s="154"/>
      <c r="AK63" s="158"/>
      <c r="AU63" s="159"/>
    </row>
    <row r="64" spans="1:47" ht="15.75" thickBot="1">
      <c r="A64" s="65" t="str">
        <f>$A$34</f>
        <v>Cooling</v>
      </c>
      <c r="B64" s="46" t="str">
        <f t="shared" si="16"/>
        <v>C</v>
      </c>
      <c r="C64" s="39">
        <f t="shared" ref="C64:K64" si="23">C49*INDEX($F$10:$F$19,MATCH(C$60,$B$10:$B$19,0))</f>
        <v>8.7202212357201407</v>
      </c>
      <c r="D64" s="39">
        <f t="shared" si="23"/>
        <v>0</v>
      </c>
      <c r="E64" s="39">
        <f t="shared" si="23"/>
        <v>0.44505504045599326</v>
      </c>
      <c r="F64" s="39" t="e">
        <f t="shared" si="23"/>
        <v>#N/A</v>
      </c>
      <c r="G64" s="39">
        <f t="shared" si="23"/>
        <v>1.3981824923357233</v>
      </c>
      <c r="H64" s="39">
        <f t="shared" si="23"/>
        <v>0</v>
      </c>
      <c r="I64" s="39">
        <f t="shared" si="23"/>
        <v>0</v>
      </c>
      <c r="J64" s="39">
        <f t="shared" si="23"/>
        <v>3.6905907791299222</v>
      </c>
      <c r="K64" s="39">
        <f t="shared" si="23"/>
        <v>2.1542071494656367</v>
      </c>
      <c r="L64" s="48" t="e">
        <f t="shared" si="20"/>
        <v>#N/A</v>
      </c>
      <c r="M64" s="7" t="e">
        <f t="shared" si="18"/>
        <v>#N/A</v>
      </c>
      <c r="N64" s="2"/>
      <c r="O64">
        <f t="shared" si="22"/>
        <v>7</v>
      </c>
      <c r="Z64" t="s">
        <v>282</v>
      </c>
      <c r="AA64" s="2"/>
      <c r="AB64" s="154"/>
      <c r="AC64" s="154"/>
      <c r="AD64" s="154"/>
      <c r="AE64" s="154"/>
      <c r="AF64" s="154"/>
      <c r="AG64" s="154"/>
      <c r="AK64" s="161"/>
      <c r="AL64" s="162"/>
      <c r="AM64" s="162"/>
      <c r="AN64" s="162"/>
      <c r="AO64" s="162"/>
      <c r="AP64" s="162"/>
      <c r="AQ64" s="162"/>
      <c r="AR64" s="162"/>
      <c r="AS64" s="162"/>
      <c r="AT64" s="162"/>
      <c r="AU64" s="163"/>
    </row>
    <row r="65" spans="1:50" ht="15">
      <c r="A65" s="65" t="str">
        <f>$A$35</f>
        <v>HVAC</v>
      </c>
      <c r="B65" s="46" t="str">
        <f t="shared" si="16"/>
        <v>H</v>
      </c>
      <c r="C65" s="39">
        <f t="shared" ref="C65:K65" si="24">C50*INDEX($F$10:$F$19,MATCH(C$60,$B$10:$B$19,0))</f>
        <v>8.5935230066298693</v>
      </c>
      <c r="D65" s="39">
        <f t="shared" si="24"/>
        <v>0</v>
      </c>
      <c r="E65" s="39">
        <f t="shared" si="24"/>
        <v>0.89011008091198651</v>
      </c>
      <c r="F65" s="39" t="e">
        <f t="shared" si="24"/>
        <v>#N/A</v>
      </c>
      <c r="G65" s="39">
        <f t="shared" si="24"/>
        <v>0.55927299693428933</v>
      </c>
      <c r="H65" s="39">
        <f t="shared" si="24"/>
        <v>0.67125214281758516</v>
      </c>
      <c r="I65" s="39">
        <f t="shared" si="24"/>
        <v>6.8387681990642143E-2</v>
      </c>
      <c r="J65" s="39">
        <f t="shared" si="24"/>
        <v>0.96276281194693614</v>
      </c>
      <c r="K65" s="39">
        <f t="shared" si="24"/>
        <v>3.5582137546621113</v>
      </c>
      <c r="L65" s="48" t="e">
        <f t="shared" si="20"/>
        <v>#N/A</v>
      </c>
      <c r="M65" s="7" t="e">
        <f t="shared" si="18"/>
        <v>#N/A</v>
      </c>
      <c r="N65" s="2"/>
      <c r="O65">
        <f t="shared" si="22"/>
        <v>8</v>
      </c>
      <c r="Z65" t="s">
        <v>283</v>
      </c>
      <c r="AA65" s="2"/>
      <c r="AB65" s="154"/>
      <c r="AC65" s="154"/>
      <c r="AD65" s="154"/>
      <c r="AE65" s="154"/>
      <c r="AF65" s="154"/>
      <c r="AG65" s="154"/>
    </row>
    <row r="66" spans="1:50" ht="15">
      <c r="A66" s="65" t="str">
        <f>$A$36</f>
        <v>Pumping</v>
      </c>
      <c r="B66" s="46" t="str">
        <f t="shared" si="16"/>
        <v>P</v>
      </c>
      <c r="C66" s="39">
        <f t="shared" ref="C66:K66" si="25">C51*INDEX($F$10:$F$19,MATCH(C$60,$B$10:$B$19,0))</f>
        <v>19.214217678704092</v>
      </c>
      <c r="D66" s="39">
        <f t="shared" si="25"/>
        <v>0</v>
      </c>
      <c r="E66" s="39">
        <f t="shared" si="25"/>
        <v>1.1126376011399832</v>
      </c>
      <c r="F66" s="39" t="e">
        <f t="shared" si="25"/>
        <v>#N/A</v>
      </c>
      <c r="G66" s="39">
        <f t="shared" si="25"/>
        <v>9.7872774463500622</v>
      </c>
      <c r="H66" s="39">
        <f t="shared" si="25"/>
        <v>0</v>
      </c>
      <c r="I66" s="39">
        <f t="shared" si="25"/>
        <v>0.29064764846022911</v>
      </c>
      <c r="J66" s="39">
        <f t="shared" si="25"/>
        <v>4.4928931224190363</v>
      </c>
      <c r="K66" s="39">
        <f t="shared" si="25"/>
        <v>5.4483838410609478</v>
      </c>
      <c r="L66" s="48" t="e">
        <f t="shared" si="20"/>
        <v>#N/A</v>
      </c>
      <c r="M66" s="7" t="e">
        <f t="shared" si="18"/>
        <v>#N/A</v>
      </c>
      <c r="N66" s="2"/>
      <c r="O66">
        <f t="shared" si="22"/>
        <v>9</v>
      </c>
      <c r="Z66" t="s">
        <v>284</v>
      </c>
      <c r="AA66" s="2"/>
      <c r="AB66" s="154"/>
      <c r="AC66" s="154"/>
      <c r="AD66" s="154"/>
      <c r="AE66" s="154"/>
      <c r="AF66" s="154"/>
      <c r="AG66" s="154"/>
    </row>
    <row r="67" spans="1:50" ht="15">
      <c r="A67" s="65" t="str">
        <f>$A$37</f>
        <v>Fans</v>
      </c>
      <c r="B67" s="46" t="str">
        <f t="shared" si="16"/>
        <v>F</v>
      </c>
      <c r="C67" s="39">
        <f t="shared" ref="C67:K67" si="26">C52*INDEX($F$10:$F$19,MATCH(C$60,$B$10:$B$19,0))</f>
        <v>7.3981235445880253</v>
      </c>
      <c r="D67" s="39">
        <f t="shared" si="26"/>
        <v>0</v>
      </c>
      <c r="E67" s="39">
        <f t="shared" si="26"/>
        <v>2.0027476820519694</v>
      </c>
      <c r="F67" s="39" t="e">
        <f t="shared" si="26"/>
        <v>#N/A</v>
      </c>
      <c r="G67" s="39">
        <f t="shared" si="26"/>
        <v>2.2370919877371573</v>
      </c>
      <c r="H67" s="39">
        <f t="shared" si="26"/>
        <v>0</v>
      </c>
      <c r="I67" s="39">
        <f t="shared" si="26"/>
        <v>0.3077445689578896</v>
      </c>
      <c r="J67" s="39">
        <f t="shared" si="26"/>
        <v>0.64184187463129083</v>
      </c>
      <c r="K67" s="39">
        <f t="shared" si="26"/>
        <v>2.319754196944027</v>
      </c>
      <c r="L67" s="48" t="e">
        <f t="shared" si="20"/>
        <v>#N/A</v>
      </c>
      <c r="M67" s="7" t="e">
        <f t="shared" si="18"/>
        <v>#N/A</v>
      </c>
      <c r="N67" s="2"/>
      <c r="O67">
        <f t="shared" si="22"/>
        <v>10</v>
      </c>
      <c r="Z67" t="s">
        <v>285</v>
      </c>
      <c r="AA67" s="2"/>
      <c r="AB67" s="154"/>
      <c r="AC67" s="154"/>
      <c r="AD67" s="154"/>
      <c r="AE67" s="154"/>
      <c r="AF67" s="154"/>
      <c r="AG67" s="154"/>
    </row>
    <row r="68" spans="1:50" ht="15">
      <c r="A68" s="65" t="str">
        <f>$A$38</f>
        <v>Other motive</v>
      </c>
      <c r="B68" s="46" t="str">
        <f t="shared" si="16"/>
        <v>O</v>
      </c>
      <c r="C68" s="39">
        <f t="shared" ref="C68:K68" si="27">C53*INDEX($F$10:$F$19,MATCH(C$60,$B$10:$B$19,0))</f>
        <v>36.30022212041245</v>
      </c>
      <c r="D68" s="39">
        <f t="shared" si="27"/>
        <v>0</v>
      </c>
      <c r="E68" s="39">
        <f t="shared" si="27"/>
        <v>18.469784178923717</v>
      </c>
      <c r="F68" s="39" t="e">
        <f t="shared" si="27"/>
        <v>#N/A</v>
      </c>
      <c r="G68" s="39">
        <f t="shared" si="27"/>
        <v>5.5927299693428933</v>
      </c>
      <c r="H68" s="39">
        <f t="shared" si="27"/>
        <v>4.6987649997230969</v>
      </c>
      <c r="I68" s="39">
        <f t="shared" si="27"/>
        <v>1.3506567193151824</v>
      </c>
      <c r="J68" s="39">
        <f t="shared" si="27"/>
        <v>3.3696698418142765</v>
      </c>
      <c r="K68" s="39">
        <f t="shared" si="27"/>
        <v>15.457903169988535</v>
      </c>
      <c r="L68" s="48" t="e">
        <f t="shared" si="20"/>
        <v>#N/A</v>
      </c>
      <c r="M68" s="7" t="e">
        <f t="shared" si="18"/>
        <v>#N/A</v>
      </c>
      <c r="N68" s="2"/>
      <c r="O68">
        <f t="shared" si="22"/>
        <v>11</v>
      </c>
      <c r="Z68" t="s">
        <v>118</v>
      </c>
      <c r="AA68" s="2"/>
      <c r="AB68" s="154"/>
      <c r="AC68" s="154"/>
      <c r="AD68" s="154"/>
      <c r="AE68" s="154"/>
      <c r="AF68" s="154"/>
      <c r="AG68" s="154"/>
    </row>
    <row r="69" spans="1:50" ht="15">
      <c r="A69" s="65" t="str">
        <f>$A$39</f>
        <v>Electrochemical</v>
      </c>
      <c r="B69" s="46" t="str">
        <f t="shared" si="16"/>
        <v>E</v>
      </c>
      <c r="C69" s="39">
        <f t="shared" ref="C69:K69" si="28">C54*INDEX($F$10:$F$19,MATCH(C$60,$B$10:$B$19,0))</f>
        <v>0.24706378644060872</v>
      </c>
      <c r="D69" s="39">
        <f t="shared" si="28"/>
        <v>0</v>
      </c>
      <c r="E69" s="39">
        <f t="shared" si="28"/>
        <v>0</v>
      </c>
      <c r="F69" s="39" t="e">
        <f t="shared" si="28"/>
        <v>#N/A</v>
      </c>
      <c r="G69" s="39">
        <f t="shared" si="28"/>
        <v>2.2370919877371573</v>
      </c>
      <c r="H69" s="39">
        <f t="shared" si="28"/>
        <v>60.412692853582669</v>
      </c>
      <c r="I69" s="39">
        <f t="shared" si="28"/>
        <v>0</v>
      </c>
      <c r="J69" s="39">
        <f t="shared" si="28"/>
        <v>0</v>
      </c>
      <c r="K69" s="39">
        <f t="shared" si="28"/>
        <v>0.5456765970047196</v>
      </c>
      <c r="L69" s="48" t="e">
        <f t="shared" si="20"/>
        <v>#N/A</v>
      </c>
      <c r="M69" s="7" t="e">
        <f t="shared" si="18"/>
        <v>#N/A</v>
      </c>
      <c r="N69" s="2"/>
      <c r="O69">
        <f t="shared" si="22"/>
        <v>12</v>
      </c>
      <c r="Z69" t="s">
        <v>287</v>
      </c>
      <c r="AA69" s="2"/>
      <c r="AB69" s="154"/>
      <c r="AC69" s="154"/>
      <c r="AD69" s="154"/>
      <c r="AE69" s="154"/>
      <c r="AF69" s="154"/>
      <c r="AG69" s="154"/>
    </row>
    <row r="70" spans="1:50" ht="15">
      <c r="A70" s="143" t="str">
        <f>$A$40</f>
        <v>boiler/process heating</v>
      </c>
      <c r="B70" s="44" t="str">
        <f t="shared" si="16"/>
        <v>S</v>
      </c>
      <c r="C70" s="145">
        <f t="shared" ref="C70:K70" si="29">C55*INDEX($F$10:$F$19,MATCH(C$60,$B$10:$B$19,0))</f>
        <v>0</v>
      </c>
      <c r="D70" s="145">
        <f t="shared" si="29"/>
        <v>0</v>
      </c>
      <c r="E70" s="145">
        <f t="shared" si="29"/>
        <v>0</v>
      </c>
      <c r="F70" s="145" t="e">
        <f t="shared" si="29"/>
        <v>#N/A</v>
      </c>
      <c r="G70" s="145">
        <f t="shared" si="29"/>
        <v>0.27963649846714467</v>
      </c>
      <c r="H70" s="145">
        <f t="shared" si="29"/>
        <v>0</v>
      </c>
      <c r="I70" s="145">
        <f t="shared" si="29"/>
        <v>0</v>
      </c>
      <c r="J70" s="145">
        <f t="shared" si="29"/>
        <v>0.32092093731564542</v>
      </c>
      <c r="K70" s="145">
        <f t="shared" si="29"/>
        <v>0.41910644931238061</v>
      </c>
      <c r="L70" s="48" t="e">
        <f t="shared" si="20"/>
        <v>#N/A</v>
      </c>
      <c r="M70" s="146" t="e">
        <f t="shared" si="18"/>
        <v>#N/A</v>
      </c>
      <c r="N70" s="2"/>
      <c r="O70">
        <v>3</v>
      </c>
      <c r="Z70" t="s">
        <v>425</v>
      </c>
      <c r="AA70" s="2"/>
      <c r="AB70" s="154"/>
      <c r="AC70" s="154"/>
      <c r="AD70" s="154"/>
      <c r="AE70" s="154"/>
      <c r="AF70" s="154"/>
      <c r="AG70" s="154"/>
    </row>
    <row r="71" spans="1:50" ht="15">
      <c r="A71" s="65" t="str">
        <f>A41</f>
        <v>Ancillary</v>
      </c>
      <c r="B71" s="46" t="s">
        <v>272</v>
      </c>
      <c r="C71" s="39"/>
      <c r="D71" s="39"/>
      <c r="E71" s="39"/>
      <c r="F71" s="39"/>
      <c r="G71" s="39"/>
      <c r="H71" s="39"/>
      <c r="I71" s="39"/>
      <c r="J71" s="39"/>
      <c r="K71" s="48"/>
      <c r="L71" s="7"/>
      <c r="M71" s="2"/>
      <c r="AA71" s="2"/>
      <c r="AB71" s="75"/>
      <c r="AC71" s="75"/>
      <c r="AD71" s="75"/>
      <c r="AE71" s="75"/>
      <c r="AF71" s="75"/>
      <c r="AG71" s="75"/>
    </row>
    <row r="72" spans="1:50" ht="15">
      <c r="A72" s="65" t="str">
        <f>A42</f>
        <v>Transport</v>
      </c>
      <c r="B72" s="46" t="s">
        <v>274</v>
      </c>
      <c r="C72" s="39"/>
      <c r="D72" s="39"/>
      <c r="E72" s="39"/>
      <c r="F72" s="39"/>
      <c r="G72" s="39"/>
      <c r="H72" s="39"/>
      <c r="I72" s="39"/>
      <c r="J72" s="39"/>
      <c r="K72" s="48"/>
      <c r="L72" s="7"/>
      <c r="M72" s="2"/>
      <c r="AA72" s="2"/>
      <c r="AB72" s="75"/>
      <c r="AC72" s="75"/>
      <c r="AD72" s="75"/>
      <c r="AE72" s="75"/>
      <c r="AF72" s="75"/>
      <c r="AG72" s="75"/>
    </row>
    <row r="73" spans="1:50">
      <c r="A73" s="49" t="str">
        <f>A58</f>
        <v>Total</v>
      </c>
      <c r="B73" s="45"/>
      <c r="C73" s="48">
        <f t="shared" ref="C73:J73" si="30">SUM(C61:C70)</f>
        <v>107.41903758287336</v>
      </c>
      <c r="D73" s="48">
        <f t="shared" si="30"/>
        <v>55.10318766954002</v>
      </c>
      <c r="E73" s="48">
        <f t="shared" si="30"/>
        <v>44.505504045599324</v>
      </c>
      <c r="F73" s="48" t="e">
        <f t="shared" si="30"/>
        <v>#N/A</v>
      </c>
      <c r="G73" s="48">
        <f t="shared" si="30"/>
        <v>27.963649846714464</v>
      </c>
      <c r="H73" s="48">
        <f t="shared" si="30"/>
        <v>67.125214281758517</v>
      </c>
      <c r="I73" s="48">
        <f t="shared" si="30"/>
        <v>3.419384099532107</v>
      </c>
      <c r="J73" s="48">
        <f t="shared" si="30"/>
        <v>16.046046865782269</v>
      </c>
      <c r="K73" s="48" t="e">
        <f>SUM(L61:L70)</f>
        <v>#N/A</v>
      </c>
      <c r="L73" s="7" t="e">
        <f>K73/$K$73</f>
        <v>#N/A</v>
      </c>
      <c r="M73" s="2"/>
      <c r="P73" s="2"/>
      <c r="Q73" s="201" t="s">
        <v>426</v>
      </c>
      <c r="R73" s="2"/>
      <c r="S73" s="2"/>
      <c r="T73" s="2"/>
      <c r="U73" s="2"/>
      <c r="V73" s="2"/>
    </row>
    <row r="74" spans="1:50">
      <c r="A74" s="50"/>
      <c r="B74" s="51"/>
      <c r="C74" s="52"/>
      <c r="D74" s="52"/>
      <c r="E74" s="52"/>
      <c r="F74" s="52"/>
      <c r="G74" s="52"/>
      <c r="H74" s="52"/>
      <c r="I74" s="52"/>
      <c r="J74" s="52"/>
      <c r="K74" s="52"/>
      <c r="L74" s="2"/>
      <c r="M74" s="2"/>
      <c r="N74" s="2"/>
      <c r="O74" s="74"/>
      <c r="P74" s="74"/>
      <c r="Q74" s="74">
        <v>2017</v>
      </c>
      <c r="R74" s="74">
        <v>2030</v>
      </c>
      <c r="S74" s="74">
        <v>2040</v>
      </c>
      <c r="T74" s="74">
        <v>2050</v>
      </c>
      <c r="U74" s="74"/>
      <c r="V74" s="74"/>
      <c r="W74" s="74"/>
      <c r="X74" s="74"/>
      <c r="Y74" s="74"/>
      <c r="Z74" s="74"/>
    </row>
    <row r="75" spans="1:50" ht="15">
      <c r="A75" s="62"/>
      <c r="B75" s="63"/>
      <c r="C75" s="43"/>
      <c r="D75" s="43"/>
      <c r="E75" s="43"/>
      <c r="F75" s="43"/>
      <c r="G75" s="43"/>
      <c r="H75" s="43"/>
      <c r="I75" s="43"/>
      <c r="J75" s="43"/>
      <c r="K75" s="43"/>
      <c r="L75" s="2"/>
      <c r="M75" s="2"/>
      <c r="N75" s="2"/>
      <c r="O75" s="27" t="s">
        <v>427</v>
      </c>
      <c r="P75" s="27"/>
      <c r="Q75" s="75">
        <v>0.06</v>
      </c>
      <c r="R75" s="75">
        <v>0.5</v>
      </c>
      <c r="S75" s="75">
        <v>1</v>
      </c>
      <c r="T75" s="75">
        <v>1</v>
      </c>
      <c r="U75" s="27" t="s">
        <v>428</v>
      </c>
      <c r="V75" s="27"/>
      <c r="W75" s="75">
        <v>0.99</v>
      </c>
      <c r="X75" s="75">
        <v>0</v>
      </c>
      <c r="Y75" s="75">
        <v>0</v>
      </c>
      <c r="Z75" s="74"/>
      <c r="AN75" s="26" t="s">
        <v>413</v>
      </c>
      <c r="AV75" s="13"/>
      <c r="AW75">
        <v>2017</v>
      </c>
      <c r="AX75" s="26" t="s">
        <v>429</v>
      </c>
    </row>
    <row r="76" spans="1:50">
      <c r="A76" s="2"/>
      <c r="B76" s="2"/>
      <c r="C76" s="36"/>
      <c r="D76" s="2"/>
      <c r="E76" s="2"/>
      <c r="F76" s="2"/>
      <c r="G76" s="2"/>
      <c r="H76" s="2"/>
      <c r="I76" s="2"/>
      <c r="J76" s="36"/>
      <c r="K76" s="2"/>
      <c r="L76" s="2"/>
      <c r="M76" s="2"/>
      <c r="N76" s="2"/>
      <c r="O76" s="74"/>
      <c r="P76" s="74"/>
      <c r="Q76" s="74"/>
      <c r="R76" s="74"/>
      <c r="S76" s="74"/>
      <c r="T76" s="74"/>
      <c r="U76" s="74"/>
      <c r="V76" s="74"/>
      <c r="W76" s="74"/>
      <c r="X76" s="74"/>
      <c r="Y76" s="74"/>
      <c r="Z76" s="74"/>
      <c r="AV76" s="13"/>
    </row>
    <row r="77" spans="1:50">
      <c r="A77" s="53" t="s">
        <v>430</v>
      </c>
      <c r="B77" s="53" t="s">
        <v>431</v>
      </c>
      <c r="C77" s="53" t="s">
        <v>432</v>
      </c>
      <c r="D77" s="53" t="s">
        <v>433</v>
      </c>
      <c r="E77" s="53" t="s">
        <v>434</v>
      </c>
      <c r="F77" s="53" t="s">
        <v>435</v>
      </c>
      <c r="G77" s="53" t="s">
        <v>436</v>
      </c>
      <c r="H77" s="53" t="s">
        <v>437</v>
      </c>
      <c r="I77" s="2"/>
      <c r="J77" s="2"/>
      <c r="K77" s="2"/>
      <c r="L77" s="115">
        <v>5.0000000000000001E-3</v>
      </c>
      <c r="M77" s="2"/>
      <c r="N77" s="2"/>
      <c r="O77" s="74"/>
      <c r="P77" s="194">
        <v>0</v>
      </c>
      <c r="Q77" s="74"/>
      <c r="R77" s="74"/>
      <c r="S77" s="74"/>
      <c r="T77" s="74"/>
      <c r="U77" s="74"/>
      <c r="V77" s="74"/>
      <c r="W77" s="74"/>
      <c r="X77" s="74"/>
      <c r="Y77" s="74"/>
      <c r="Z77" s="74"/>
      <c r="AV77" s="13"/>
    </row>
    <row r="78" spans="1:50" ht="51.95" customHeight="1" thickBot="1">
      <c r="A78" s="244" t="s">
        <v>438</v>
      </c>
      <c r="B78" s="252" t="s">
        <v>439</v>
      </c>
      <c r="C78" s="252" t="s">
        <v>440</v>
      </c>
      <c r="D78" s="252" t="s">
        <v>441</v>
      </c>
      <c r="E78" s="252" t="s">
        <v>442</v>
      </c>
      <c r="F78" s="252" t="s">
        <v>443</v>
      </c>
      <c r="G78" s="252" t="s">
        <v>444</v>
      </c>
      <c r="H78" s="252" t="s">
        <v>445</v>
      </c>
      <c r="J78" s="252" t="s">
        <v>446</v>
      </c>
      <c r="K78" s="252" t="s">
        <v>447</v>
      </c>
      <c r="L78" s="252" t="s">
        <v>448</v>
      </c>
      <c r="M78" s="252" t="s">
        <v>449</v>
      </c>
      <c r="N78" s="252" t="s">
        <v>450</v>
      </c>
      <c r="O78" s="252" t="s">
        <v>451</v>
      </c>
      <c r="P78" s="252" t="s">
        <v>452</v>
      </c>
      <c r="Q78" s="252" t="s">
        <v>453</v>
      </c>
      <c r="R78" s="252" t="s">
        <v>453</v>
      </c>
      <c r="S78" s="252" t="s">
        <v>453</v>
      </c>
      <c r="T78" s="252" t="s">
        <v>453</v>
      </c>
      <c r="V78" s="252" t="s">
        <v>452</v>
      </c>
      <c r="W78" s="252" t="s">
        <v>454</v>
      </c>
      <c r="X78" s="252" t="s">
        <v>454</v>
      </c>
      <c r="Y78" s="252" t="s">
        <v>454</v>
      </c>
      <c r="Z78" s="74"/>
      <c r="AA78" s="252" t="s">
        <v>455</v>
      </c>
      <c r="AB78" s="252"/>
      <c r="AC78" s="252"/>
      <c r="AD78" s="252"/>
      <c r="AE78" s="252"/>
      <c r="AF78" s="252"/>
      <c r="AG78" s="252"/>
      <c r="AI78" s="80" t="s">
        <v>450</v>
      </c>
      <c r="AK78" s="26" t="s">
        <v>456</v>
      </c>
      <c r="AV78" s="13"/>
    </row>
    <row r="79" spans="1:50">
      <c r="A79" s="12" t="s">
        <v>457</v>
      </c>
      <c r="B79" s="68" t="str">
        <f>+B10</f>
        <v>MI</v>
      </c>
      <c r="C79" s="54"/>
      <c r="D79" s="54"/>
      <c r="E79" s="55" t="s">
        <v>458</v>
      </c>
      <c r="F79" s="55" t="s">
        <v>459</v>
      </c>
      <c r="G79" s="30" t="s">
        <v>460</v>
      </c>
      <c r="H79" s="31" t="s">
        <v>461</v>
      </c>
      <c r="J79" s="30" t="s">
        <v>462</v>
      </c>
      <c r="K79" s="30" t="s">
        <v>463</v>
      </c>
      <c r="L79" s="30" t="s">
        <v>463</v>
      </c>
      <c r="M79" s="2"/>
      <c r="N79" s="2"/>
      <c r="O79" s="74"/>
      <c r="P79" s="74" t="str">
        <f>"U"&amp;E1</f>
        <v>U2012</v>
      </c>
      <c r="Q79" s="74" t="str">
        <f>"U"&amp;Q$74</f>
        <v>U2017</v>
      </c>
      <c r="R79" s="74" t="str">
        <f>"U"&amp;R$74</f>
        <v>U2030</v>
      </c>
      <c r="S79" s="74" t="str">
        <f>"U"&amp;S$74</f>
        <v>U2040</v>
      </c>
      <c r="T79" s="74" t="str">
        <f>"U"&amp;T$74</f>
        <v>U2050</v>
      </c>
      <c r="V79" s="74" t="str">
        <f>"L"&amp;RIGHT(P79,4)</f>
        <v>L2012</v>
      </c>
      <c r="W79" s="74" t="str">
        <f>"L"&amp;RIGHT(Q79,4)</f>
        <v>L2017</v>
      </c>
      <c r="X79" s="74" t="str">
        <f>"L"&amp;RIGHT(R79,4)</f>
        <v>L2030</v>
      </c>
      <c r="Y79" s="74" t="str">
        <f>"L"&amp;RIGHT(S79,4)</f>
        <v>L2040</v>
      </c>
      <c r="Z79" s="74"/>
      <c r="AA79" s="74" t="s">
        <v>464</v>
      </c>
      <c r="AB79" s="74" t="str">
        <f t="shared" ref="AB79:AG79" si="31">"E"&amp;AB58</f>
        <v>E2020</v>
      </c>
      <c r="AC79" s="74" t="str">
        <f t="shared" si="31"/>
        <v>E2025</v>
      </c>
      <c r="AD79" s="74" t="str">
        <f t="shared" si="31"/>
        <v>E2030</v>
      </c>
      <c r="AE79" s="74" t="str">
        <f t="shared" si="31"/>
        <v>E2035</v>
      </c>
      <c r="AF79" s="74" t="str">
        <f t="shared" si="31"/>
        <v>E2040</v>
      </c>
      <c r="AG79" s="74" t="str">
        <f t="shared" si="31"/>
        <v>E2050</v>
      </c>
      <c r="AI79" s="74"/>
      <c r="AV79" s="13"/>
    </row>
    <row r="80" spans="1:50">
      <c r="A80" s="12" t="s">
        <v>465</v>
      </c>
      <c r="B80" s="45"/>
      <c r="C80" s="56">
        <v>1</v>
      </c>
      <c r="D80" s="56">
        <f>C80+1</f>
        <v>2</v>
      </c>
      <c r="E80" s="56">
        <f>D80+1</f>
        <v>3</v>
      </c>
      <c r="F80" s="56">
        <f>E80+1</f>
        <v>4</v>
      </c>
      <c r="G80" s="56">
        <f>F80+1</f>
        <v>5</v>
      </c>
      <c r="H80" s="56">
        <f>G80+1</f>
        <v>6</v>
      </c>
      <c r="J80" s="57"/>
      <c r="K80" s="43"/>
      <c r="L80" s="43"/>
      <c r="M80" s="2"/>
      <c r="N80" s="2"/>
      <c r="O80" s="74"/>
      <c r="P80" s="74"/>
      <c r="Q80" s="74"/>
      <c r="R80" s="74"/>
      <c r="S80" s="74"/>
      <c r="T80" s="74"/>
      <c r="V80" s="74"/>
      <c r="W80" s="74"/>
      <c r="X80" s="74"/>
      <c r="Y80" s="74"/>
      <c r="Z80" s="74"/>
      <c r="AI80" s="74"/>
      <c r="AV80" s="13"/>
    </row>
    <row r="81" spans="1:48">
      <c r="A81" s="45" t="str">
        <f>IF(VLOOKUP(MID(D81,2,2),$B$10:$M$19,12,FALSE),"","\I:")&amp;A$5&amp;"-"&amp;A$10&amp;"-"&amp;A61&amp;" - Electricity"</f>
        <v>Industry-Mining-Elec Heating - Electricity</v>
      </c>
      <c r="B81" s="45" t="str">
        <f>D81&amp;RIGHT(C81,3)&amp;"-E"</f>
        <v>IMIKELC-E</v>
      </c>
      <c r="C81" s="46" t="str">
        <f t="shared" ref="C81:C89" si="32">$P$10</f>
        <v>IMIELC</v>
      </c>
      <c r="D81" s="46" t="str">
        <f>$B$5&amp;RIGHT($B79,2)&amp;$B$61</f>
        <v>IMIK</v>
      </c>
      <c r="E81" s="58">
        <v>1</v>
      </c>
      <c r="F81" s="60">
        <f>SUMIF(AFA!$C$3:$L$3,RIGHT(D81,1),AFA!$C$4:$L$4)</f>
        <v>0.11433</v>
      </c>
      <c r="G81" s="59">
        <v>100</v>
      </c>
      <c r="H81" s="60">
        <f>L81/F81</f>
        <v>18.697094794884809</v>
      </c>
      <c r="J81" s="61">
        <v>1</v>
      </c>
      <c r="K81" s="60">
        <f>J81*SUMIF($C$60:$K$60,$B$79,$C61:$K61)</f>
        <v>2.1483807516574673</v>
      </c>
      <c r="L81" s="60">
        <f>K81*E81*(1-$L$77)</f>
        <v>2.1376388478991801</v>
      </c>
      <c r="M81" s="2"/>
      <c r="N81" s="2"/>
      <c r="O81" s="74"/>
      <c r="P81" s="74" t="str">
        <f>""</f>
        <v/>
      </c>
      <c r="Q81" s="74"/>
      <c r="R81" s="74"/>
      <c r="S81" s="74"/>
      <c r="T81" s="74"/>
      <c r="V81" s="74" t="str">
        <f>""</f>
        <v/>
      </c>
      <c r="W81" s="74"/>
      <c r="X81" s="74"/>
      <c r="Y81" s="74"/>
      <c r="Z81" s="74"/>
      <c r="AA81" s="76">
        <f t="shared" ref="AA81:AA89" si="33">E81</f>
        <v>1</v>
      </c>
      <c r="AB81" s="77">
        <f>$AA81/(1-(SUMIF($B$61:$B$70,RIGHT($D81,1),'IND2017'!Z$82:Z$91)*$AK81))</f>
        <v>1</v>
      </c>
      <c r="AC81" s="77">
        <f>$AA81/(1-(SUMIF($B$61:$B$70,RIGHT($D81,1),'IND2017'!AA$82:AA$91)*$AK81))</f>
        <v>1</v>
      </c>
      <c r="AD81" s="77">
        <f>$AA81/(1-(SUMIF($B$61:$B$70,RIGHT($D81,1),'IND2017'!AB$82:AB$91)*$AK81))</f>
        <v>1</v>
      </c>
      <c r="AE81" s="77">
        <f>$AA81/(1-(SUMIF($B$61:$B$70,RIGHT($D81,1),'IND2017'!AC$82:AC$91)*$AK81))</f>
        <v>1</v>
      </c>
      <c r="AF81" s="77">
        <f>$AA81/(1-(SUMIF($B$61:$B$70,RIGHT($D81,1),'IND2017'!AD$82:AD$91)*$AK81))</f>
        <v>1</v>
      </c>
      <c r="AG81" s="77">
        <f>$AA81/(1-(SUMIF($B$61:$B$70,RIGHT($D81,1),'IND2017'!AE$82:AE$91)*$AK81))</f>
        <v>1</v>
      </c>
      <c r="AI81" s="74">
        <v>1</v>
      </c>
      <c r="AK81">
        <f>SUMIFS('PAMS central control panel'!$D$14:$D$22,'PAMS central control panel'!$C$14:$C$22,RIGHT(LEFT($D81,3),2))</f>
        <v>0</v>
      </c>
      <c r="AV81" s="13"/>
    </row>
    <row r="82" spans="1:48">
      <c r="A82" s="45" t="str">
        <f t="shared" ref="A82:A89" si="34">A$5&amp;"-"&amp;A$10&amp;"-"&amp;A62&amp;" - Electricity"</f>
        <v>Industry-Mining-Compressed air - Electricity</v>
      </c>
      <c r="B82" s="45" t="str">
        <f>D82&amp;RIGHT(C82,3)&amp;"-E"</f>
        <v>IMIAELC-E</v>
      </c>
      <c r="C82" s="46" t="str">
        <f t="shared" si="32"/>
        <v>IMIELC</v>
      </c>
      <c r="D82" s="46" t="str">
        <f>$B$5&amp;RIGHT($B79,2)&amp;$B$62</f>
        <v>IMIA</v>
      </c>
      <c r="E82" s="87">
        <v>0.05</v>
      </c>
      <c r="F82" s="60">
        <f>SUMIF(AFA!$C$3:$L$3,RIGHT(D82,1),AFA!$C$4:$L$4)</f>
        <v>0.11584999999999999</v>
      </c>
      <c r="G82" s="59">
        <v>100</v>
      </c>
      <c r="H82" s="60">
        <f t="shared" ref="H82:H89" si="35">L82/F82</f>
        <v>8.5729873213871155</v>
      </c>
      <c r="J82" s="61">
        <v>1</v>
      </c>
      <c r="K82" s="60">
        <f t="shared" ref="K82:K89" si="36">J82*SUMIF($C$60:$K$60,$B$79,$C62:$K62)</f>
        <v>19.963428767491401</v>
      </c>
      <c r="L82" s="60">
        <f>K82*E82*(1-$L$77)</f>
        <v>0.99318058118269725</v>
      </c>
      <c r="N82" s="2"/>
      <c r="O82" s="74"/>
      <c r="P82" s="74" t="str">
        <f>""</f>
        <v/>
      </c>
      <c r="V82" s="74" t="str">
        <f>""</f>
        <v/>
      </c>
      <c r="Z82" s="74"/>
      <c r="AA82" s="76">
        <f t="shared" si="33"/>
        <v>0.05</v>
      </c>
      <c r="AB82" s="77">
        <f>$AA82/(1-(SUMIF($B$61:$B$70,RIGHT($D82,1),'IND2017'!Z$82:Z$91)*$AK82))</f>
        <v>0.05</v>
      </c>
      <c r="AC82" s="77">
        <f>$AA82/(1-(SUMIF($B$61:$B$70,RIGHT($D82,1),'IND2017'!AA$82:AA$91)*$AK82))</f>
        <v>0.05</v>
      </c>
      <c r="AD82" s="77">
        <f>$AA82/(1-(SUMIF($B$61:$B$70,RIGHT($D82,1),'IND2017'!AB$82:AB$91)*$AK82))</f>
        <v>0.05</v>
      </c>
      <c r="AE82" s="77">
        <f>$AA82/(1-(SUMIF($B$61:$B$70,RIGHT($D82,1),'IND2017'!AC$82:AC$91)*$AK82))</f>
        <v>0.05</v>
      </c>
      <c r="AF82" s="77">
        <f>$AA82/(1-(SUMIF($B$61:$B$70,RIGHT($D82,1),'IND2017'!AD$82:AD$91)*$AK82))</f>
        <v>0.05</v>
      </c>
      <c r="AG82" s="77">
        <f>$AA82/(1-(SUMIF($B$61:$B$70,RIGHT($D82,1),'IND2017'!AE$82:AE$91)*$AK82))</f>
        <v>0.05</v>
      </c>
      <c r="AI82">
        <f>AI81+1</f>
        <v>2</v>
      </c>
      <c r="AK82">
        <f>SUMIFS('PAMS central control panel'!$D$14:$D$22,'PAMS central control panel'!$C$14:$C$22,RIGHT(LEFT($D82,3),2))</f>
        <v>0</v>
      </c>
      <c r="AV82" s="13"/>
    </row>
    <row r="83" spans="1:48">
      <c r="A83" s="45" t="str">
        <f t="shared" si="34"/>
        <v>Industry-Mining-Lighting - Electricity</v>
      </c>
      <c r="B83" s="45" t="str">
        <f t="shared" ref="B83:B89" si="37">D83&amp;RIGHT(C83,3)&amp;"-E"</f>
        <v>IMILELC-E</v>
      </c>
      <c r="C83" s="46" t="str">
        <f t="shared" si="32"/>
        <v>IMIELC</v>
      </c>
      <c r="D83" s="46" t="str">
        <f>$B$5&amp;RIGHT($B79,2)&amp;$B$63</f>
        <v>IMIL</v>
      </c>
      <c r="E83" s="58">
        <v>0.3</v>
      </c>
      <c r="F83" s="60">
        <f>SUMIF(AFA!$C$3:$L$3,RIGHT(D83,1),AFA!$C$4:$L$4)</f>
        <v>0.12454999999999999</v>
      </c>
      <c r="G83" s="59">
        <v>100</v>
      </c>
      <c r="H83" s="60">
        <f t="shared" si="35"/>
        <v>11.584955618883553</v>
      </c>
      <c r="J83" s="61">
        <v>1</v>
      </c>
      <c r="K83" s="60">
        <f t="shared" si="36"/>
        <v>4.8338566912293013</v>
      </c>
      <c r="L83" s="60">
        <f t="shared" ref="L83:L100" si="38">K83*E83*(1-$L$77)</f>
        <v>1.4429062223319464</v>
      </c>
      <c r="N83" s="2"/>
      <c r="P83" s="74" t="str">
        <f>""</f>
        <v/>
      </c>
      <c r="V83" s="74" t="str">
        <f>""</f>
        <v/>
      </c>
      <c r="Z83" s="74"/>
      <c r="AA83" s="76">
        <f t="shared" si="33"/>
        <v>0.3</v>
      </c>
      <c r="AB83" s="77">
        <f>$AA83/(1-(SUMIF($B$61:$B$70,RIGHT($D83,1),'IND2017'!Z$82:Z$91)*$AK83))</f>
        <v>0.3</v>
      </c>
      <c r="AC83" s="77">
        <f>$AA83/(1-(SUMIF($B$61:$B$70,RIGHT($D83,1),'IND2017'!AA$82:AA$91)*$AK83))</f>
        <v>0.3</v>
      </c>
      <c r="AD83" s="77">
        <f>$AA83/(1-(SUMIF($B$61:$B$70,RIGHT($D83,1),'IND2017'!AB$82:AB$91)*$AK83))</f>
        <v>0.3</v>
      </c>
      <c r="AE83" s="77">
        <f>$AA83/(1-(SUMIF($B$61:$B$70,RIGHT($D83,1),'IND2017'!AC$82:AC$91)*$AK83))</f>
        <v>0.3</v>
      </c>
      <c r="AF83" s="77">
        <f>$AA83/(1-(SUMIF($B$61:$B$70,RIGHT($D83,1),'IND2017'!AD$82:AD$91)*$AK83))</f>
        <v>0.3</v>
      </c>
      <c r="AG83" s="77">
        <f>$AA83/(1-(SUMIF($B$61:$B$70,RIGHT($D83,1),'IND2017'!AE$82:AE$91)*$AK83))</f>
        <v>0.3</v>
      </c>
      <c r="AI83">
        <f t="shared" ref="AI83:AI162" si="39">AI82+1</f>
        <v>3</v>
      </c>
      <c r="AK83">
        <f>SUMIFS('PAMS central control panel'!$D$14:$D$22,'PAMS central control panel'!$C$14:$C$22,RIGHT(LEFT($D83,3),2))</f>
        <v>0</v>
      </c>
      <c r="AV83" s="13"/>
    </row>
    <row r="84" spans="1:48">
      <c r="A84" s="45" t="str">
        <f t="shared" si="34"/>
        <v>Industry-Mining-Cooling - Electricity</v>
      </c>
      <c r="B84" s="45" t="str">
        <f t="shared" si="37"/>
        <v>IMICELC-E</v>
      </c>
      <c r="C84" s="46" t="str">
        <f t="shared" si="32"/>
        <v>IMIELC</v>
      </c>
      <c r="D84" s="46" t="str">
        <f>$B$5&amp;RIGHT($B79,2)&amp;$B$64</f>
        <v>IMIC</v>
      </c>
      <c r="E84" s="58">
        <v>2</v>
      </c>
      <c r="F84" s="60">
        <f>SUMIF(AFA!$C$3:$L$3,RIGHT(D84,1),AFA!$C$4:$L$4)</f>
        <v>0.12956000000000001</v>
      </c>
      <c r="G84" s="59">
        <v>100</v>
      </c>
      <c r="H84" s="60">
        <f>L84/F84</f>
        <v>133.9397982331204</v>
      </c>
      <c r="J84" s="61">
        <v>1</v>
      </c>
      <c r="K84" s="60">
        <f>J84*SUMIF($C$60:$K$60,$B$79,$C64:$K64)</f>
        <v>8.7202212357201407</v>
      </c>
      <c r="L84" s="60">
        <f t="shared" si="38"/>
        <v>17.35324025908308</v>
      </c>
      <c r="N84" s="2"/>
      <c r="P84" s="74" t="str">
        <f>""</f>
        <v/>
      </c>
      <c r="V84" s="74" t="str">
        <f>""</f>
        <v/>
      </c>
      <c r="Z84" s="74"/>
      <c r="AA84" s="76">
        <f t="shared" si="33"/>
        <v>2</v>
      </c>
      <c r="AB84" s="77">
        <f>$AA84/(1-(SUMIF($B$61:$B$70,RIGHT($D84,1),'IND2017'!Z$82:Z$91)*$AK84))</f>
        <v>2</v>
      </c>
      <c r="AC84" s="77">
        <f>$AA84/(1-(SUMIF($B$61:$B$70,RIGHT($D84,1),'IND2017'!AA$82:AA$91)*$AK84))</f>
        <v>2</v>
      </c>
      <c r="AD84" s="77">
        <f>$AA84/(1-(SUMIF($B$61:$B$70,RIGHT($D84,1),'IND2017'!AB$82:AB$91)*$AK84))</f>
        <v>2</v>
      </c>
      <c r="AE84" s="77">
        <f>$AA84/(1-(SUMIF($B$61:$B$70,RIGHT($D84,1),'IND2017'!AC$82:AC$91)*$AK84))</f>
        <v>2</v>
      </c>
      <c r="AF84" s="77">
        <f>$AA84/(1-(SUMIF($B$61:$B$70,RIGHT($D84,1),'IND2017'!AD$82:AD$91)*$AK84))</f>
        <v>2</v>
      </c>
      <c r="AG84" s="77">
        <f>$AA84/(1-(SUMIF($B$61:$B$70,RIGHT($D84,1),'IND2017'!AE$82:AE$91)*$AK84))</f>
        <v>2</v>
      </c>
      <c r="AI84">
        <f t="shared" si="39"/>
        <v>4</v>
      </c>
      <c r="AK84">
        <f>SUMIFS('PAMS central control panel'!$D$14:$D$22,'PAMS central control panel'!$C$14:$C$22,RIGHT(LEFT($D84,3),2))</f>
        <v>0</v>
      </c>
      <c r="AV84" s="13"/>
    </row>
    <row r="85" spans="1:48">
      <c r="A85" s="45" t="str">
        <f t="shared" si="34"/>
        <v>Industry-Mining-HVAC - Electricity</v>
      </c>
      <c r="B85" s="45" t="str">
        <f t="shared" si="37"/>
        <v>IMIHELC-E</v>
      </c>
      <c r="C85" s="46" t="str">
        <f t="shared" si="32"/>
        <v>IMIELC</v>
      </c>
      <c r="D85" s="46" t="str">
        <f>$B$5&amp;RIGHT($B79,2)&amp;$B$65</f>
        <v>IMIH</v>
      </c>
      <c r="E85" s="58">
        <v>0.9</v>
      </c>
      <c r="F85" s="60">
        <f>SUMIF(AFA!$C$3:$L$3,RIGHT(D85,1),AFA!$C$4:$L$4)</f>
        <v>0.13161</v>
      </c>
      <c r="G85" s="59">
        <v>100</v>
      </c>
      <c r="H85" s="60">
        <f t="shared" si="35"/>
        <v>58.471999486642723</v>
      </c>
      <c r="J85" s="61">
        <v>1</v>
      </c>
      <c r="K85" s="60">
        <f t="shared" si="36"/>
        <v>8.5935230066298693</v>
      </c>
      <c r="L85" s="60">
        <f t="shared" si="38"/>
        <v>7.6954998524370488</v>
      </c>
      <c r="N85" s="2"/>
      <c r="P85" s="74" t="str">
        <f>""</f>
        <v/>
      </c>
      <c r="V85" s="74" t="str">
        <f>""</f>
        <v/>
      </c>
      <c r="Z85" s="74"/>
      <c r="AA85" s="76">
        <f t="shared" si="33"/>
        <v>0.9</v>
      </c>
      <c r="AB85" s="77">
        <f>$AA85/(1-(SUMIF($B$61:$B$70,RIGHT($D85,1),'IND2017'!Z$82:Z$91)*$AK85))</f>
        <v>0.9</v>
      </c>
      <c r="AC85" s="77">
        <f>$AA85/(1-(SUMIF($B$61:$B$70,RIGHT($D85,1),'IND2017'!AA$82:AA$91)*$AK85))</f>
        <v>0.9</v>
      </c>
      <c r="AD85" s="77">
        <f>$AA85/(1-(SUMIF($B$61:$B$70,RIGHT($D85,1),'IND2017'!AB$82:AB$91)*$AK85))</f>
        <v>0.9</v>
      </c>
      <c r="AE85" s="77">
        <f>$AA85/(1-(SUMIF($B$61:$B$70,RIGHT($D85,1),'IND2017'!AC$82:AC$91)*$AK85))</f>
        <v>0.9</v>
      </c>
      <c r="AF85" s="77">
        <f>$AA85/(1-(SUMIF($B$61:$B$70,RIGHT($D85,1),'IND2017'!AD$82:AD$91)*$AK85))</f>
        <v>0.9</v>
      </c>
      <c r="AG85" s="77">
        <f>$AA85/(1-(SUMIF($B$61:$B$70,RIGHT($D85,1),'IND2017'!AE$82:AE$91)*$AK85))</f>
        <v>0.9</v>
      </c>
      <c r="AI85">
        <f t="shared" si="39"/>
        <v>5</v>
      </c>
      <c r="AK85">
        <f>SUMIFS('PAMS central control panel'!$D$14:$D$22,'PAMS central control panel'!$C$14:$C$22,RIGHT(LEFT($D85,3),2))</f>
        <v>0</v>
      </c>
      <c r="AV85" s="13"/>
    </row>
    <row r="86" spans="1:48">
      <c r="A86" s="45" t="str">
        <f t="shared" si="34"/>
        <v>Industry-Mining-Pumping - Electricity</v>
      </c>
      <c r="B86" s="45" t="str">
        <f t="shared" si="37"/>
        <v>IMIPELC-E</v>
      </c>
      <c r="C86" s="46" t="str">
        <f t="shared" si="32"/>
        <v>IMIELC</v>
      </c>
      <c r="D86" s="46" t="str">
        <f>$B$5&amp;RIGHT($B79,2)&amp;$B$66</f>
        <v>IMIP</v>
      </c>
      <c r="E86" s="58">
        <v>0.8</v>
      </c>
      <c r="F86" s="60">
        <f>SUMIF(AFA!$C$3:$L$3,RIGHT(D86,1),AFA!$C$4:$L$4)</f>
        <v>0.12116</v>
      </c>
      <c r="G86" s="59">
        <v>100</v>
      </c>
      <c r="H86" s="60">
        <f t="shared" si="35"/>
        <v>126.23404813674857</v>
      </c>
      <c r="J86" s="61">
        <v>1</v>
      </c>
      <c r="K86" s="60">
        <f t="shared" si="36"/>
        <v>19.214217678704092</v>
      </c>
      <c r="L86" s="60">
        <f t="shared" si="38"/>
        <v>15.294517272248457</v>
      </c>
      <c r="N86" s="2"/>
      <c r="P86" s="74" t="str">
        <f>""</f>
        <v/>
      </c>
      <c r="V86" s="74" t="str">
        <f>""</f>
        <v/>
      </c>
      <c r="Z86" s="74"/>
      <c r="AA86" s="76">
        <f t="shared" si="33"/>
        <v>0.8</v>
      </c>
      <c r="AB86" s="77">
        <f>$AA86/(1-(SUMIF($B$61:$B$70,RIGHT($D86,1),'IND2017'!Z$82:Z$91)*$AK86))</f>
        <v>0.8</v>
      </c>
      <c r="AC86" s="77">
        <f>$AA86/(1-(SUMIF($B$61:$B$70,RIGHT($D86,1),'IND2017'!AA$82:AA$91)*$AK86))</f>
        <v>0.8</v>
      </c>
      <c r="AD86" s="77">
        <f>$AA86/(1-(SUMIF($B$61:$B$70,RIGHT($D86,1),'IND2017'!AB$82:AB$91)*$AK86))</f>
        <v>0.8</v>
      </c>
      <c r="AE86" s="77">
        <f>$AA86/(1-(SUMIF($B$61:$B$70,RIGHT($D86,1),'IND2017'!AC$82:AC$91)*$AK86))</f>
        <v>0.8</v>
      </c>
      <c r="AF86" s="77">
        <f>$AA86/(1-(SUMIF($B$61:$B$70,RIGHT($D86,1),'IND2017'!AD$82:AD$91)*$AK86))</f>
        <v>0.8</v>
      </c>
      <c r="AG86" s="77">
        <f>$AA86/(1-(SUMIF($B$61:$B$70,RIGHT($D86,1),'IND2017'!AE$82:AE$91)*$AK86))</f>
        <v>0.8</v>
      </c>
      <c r="AI86">
        <f t="shared" si="39"/>
        <v>6</v>
      </c>
      <c r="AK86">
        <f>SUMIFS('PAMS central control panel'!$D$14:$D$22,'PAMS central control panel'!$C$14:$C$22,RIGHT(LEFT($D86,3),2))</f>
        <v>0</v>
      </c>
      <c r="AV86" s="13"/>
    </row>
    <row r="87" spans="1:48">
      <c r="A87" s="45" t="str">
        <f t="shared" si="34"/>
        <v>Industry-Mining-Fans - Electricity</v>
      </c>
      <c r="B87" s="45" t="str">
        <f t="shared" si="37"/>
        <v>IMIFELC-E</v>
      </c>
      <c r="C87" s="46" t="str">
        <f t="shared" si="32"/>
        <v>IMIELC</v>
      </c>
      <c r="D87" s="46" t="str">
        <f>$B$5&amp;RIGHT($B79,2)&amp;$B$67</f>
        <v>IMIF</v>
      </c>
      <c r="E87" s="58">
        <v>0.8</v>
      </c>
      <c r="F87" s="60">
        <f>SUMIF(AFA!$C$3:$L$3,RIGHT(D87,1),AFA!$C$4:$L$4)</f>
        <v>0.10936999999999999</v>
      </c>
      <c r="G87" s="59">
        <v>100</v>
      </c>
      <c r="H87" s="60">
        <f t="shared" si="35"/>
        <v>53.843890842937441</v>
      </c>
      <c r="J87" s="61">
        <v>1</v>
      </c>
      <c r="K87" s="60">
        <f t="shared" si="36"/>
        <v>7.3981235445880253</v>
      </c>
      <c r="L87" s="60">
        <f t="shared" si="38"/>
        <v>5.8889063414920679</v>
      </c>
      <c r="N87" s="2"/>
      <c r="P87" s="74" t="str">
        <f>""</f>
        <v/>
      </c>
      <c r="V87" s="74" t="str">
        <f>""</f>
        <v/>
      </c>
      <c r="Z87" s="74"/>
      <c r="AA87" s="76">
        <f t="shared" si="33"/>
        <v>0.8</v>
      </c>
      <c r="AB87" s="77">
        <f>$AA87/(1-(SUMIF($B$61:$B$70,RIGHT($D87,1),'IND2017'!Z$82:Z$91)*$AK87))</f>
        <v>0.8</v>
      </c>
      <c r="AC87" s="77">
        <f>$AA87/(1-(SUMIF($B$61:$B$70,RIGHT($D87,1),'IND2017'!AA$82:AA$91)*$AK87))</f>
        <v>0.8</v>
      </c>
      <c r="AD87" s="77">
        <f>$AA87/(1-(SUMIF($B$61:$B$70,RIGHT($D87,1),'IND2017'!AB$82:AB$91)*$AK87))</f>
        <v>0.8</v>
      </c>
      <c r="AE87" s="77">
        <f>$AA87/(1-(SUMIF($B$61:$B$70,RIGHT($D87,1),'IND2017'!AC$82:AC$91)*$AK87))</f>
        <v>0.8</v>
      </c>
      <c r="AF87" s="77">
        <f>$AA87/(1-(SUMIF($B$61:$B$70,RIGHT($D87,1),'IND2017'!AD$82:AD$91)*$AK87))</f>
        <v>0.8</v>
      </c>
      <c r="AG87" s="77">
        <f>$AA87/(1-(SUMIF($B$61:$B$70,RIGHT($D87,1),'IND2017'!AE$82:AE$91)*$AK87))</f>
        <v>0.8</v>
      </c>
      <c r="AI87">
        <f t="shared" si="39"/>
        <v>7</v>
      </c>
      <c r="AK87">
        <f>SUMIFS('PAMS central control panel'!$D$14:$D$22,'PAMS central control panel'!$C$14:$C$22,RIGHT(LEFT($D87,3),2))</f>
        <v>0</v>
      </c>
      <c r="AV87" s="13"/>
    </row>
    <row r="88" spans="1:48">
      <c r="A88" s="45" t="str">
        <f t="shared" si="34"/>
        <v>Industry-Mining-Other motive - Electricity</v>
      </c>
      <c r="B88" s="45" t="str">
        <f t="shared" si="37"/>
        <v>IMIOELC-E</v>
      </c>
      <c r="C88" s="46" t="str">
        <f t="shared" si="32"/>
        <v>IMIELC</v>
      </c>
      <c r="D88" s="46" t="str">
        <f>$B$5&amp;RIGHT($B79,2)&amp;$B$68</f>
        <v>IMIO</v>
      </c>
      <c r="E88" s="58">
        <v>0.8</v>
      </c>
      <c r="F88" s="60">
        <f>SUMIF(AFA!$C$3:$L$3,RIGHT(D88,1),AFA!$C$4:$L$4)</f>
        <v>0.13081999999999999</v>
      </c>
      <c r="G88" s="59">
        <v>100</v>
      </c>
      <c r="H88" s="60">
        <f t="shared" si="35"/>
        <v>220.87583555915239</v>
      </c>
      <c r="J88" s="61">
        <v>1</v>
      </c>
      <c r="K88" s="60">
        <f t="shared" si="36"/>
        <v>36.30022212041245</v>
      </c>
      <c r="L88" s="60">
        <f t="shared" si="38"/>
        <v>28.894976807848312</v>
      </c>
      <c r="N88" s="2"/>
      <c r="P88" s="74" t="str">
        <f>""</f>
        <v/>
      </c>
      <c r="V88" s="74" t="str">
        <f>""</f>
        <v/>
      </c>
      <c r="Z88" s="74"/>
      <c r="AA88" s="76">
        <f t="shared" si="33"/>
        <v>0.8</v>
      </c>
      <c r="AB88" s="77">
        <f>$AA88/(1-(SUMIF($B$61:$B$70,RIGHT($D88,1),'IND2017'!Z$82:Z$91)*$AK88))</f>
        <v>0.8</v>
      </c>
      <c r="AC88" s="77">
        <f>$AA88/(1-(SUMIF($B$61:$B$70,RIGHT($D88,1),'IND2017'!AA$82:AA$91)*$AK88))</f>
        <v>0.8</v>
      </c>
      <c r="AD88" s="77">
        <f>$AA88/(1-(SUMIF($B$61:$B$70,RIGHT($D88,1),'IND2017'!AB$82:AB$91)*$AK88))</f>
        <v>0.8</v>
      </c>
      <c r="AE88" s="77">
        <f>$AA88/(1-(SUMIF($B$61:$B$70,RIGHT($D88,1),'IND2017'!AC$82:AC$91)*$AK88))</f>
        <v>0.8</v>
      </c>
      <c r="AF88" s="77">
        <f>$AA88/(1-(SUMIF($B$61:$B$70,RIGHT($D88,1),'IND2017'!AD$82:AD$91)*$AK88))</f>
        <v>0.8</v>
      </c>
      <c r="AG88" s="77">
        <f>$AA88/(1-(SUMIF($B$61:$B$70,RIGHT($D88,1),'IND2017'!AE$82:AE$91)*$AK88))</f>
        <v>0.8</v>
      </c>
      <c r="AI88">
        <f t="shared" si="39"/>
        <v>8</v>
      </c>
      <c r="AK88">
        <f>SUMIFS('PAMS central control panel'!$D$14:$D$22,'PAMS central control panel'!$C$14:$C$22,RIGHT(LEFT($D88,3),2))</f>
        <v>0</v>
      </c>
      <c r="AV88" s="13"/>
    </row>
    <row r="89" spans="1:48">
      <c r="A89" s="45" t="str">
        <f t="shared" si="34"/>
        <v>Industry-Mining-Electrochemical - Electricity</v>
      </c>
      <c r="B89" s="45" t="str">
        <f t="shared" si="37"/>
        <v>IMIEELC-E</v>
      </c>
      <c r="C89" s="46" t="str">
        <f t="shared" si="32"/>
        <v>IMIELC</v>
      </c>
      <c r="D89" s="46" t="str">
        <f>$B$5&amp;RIGHT($B79,2)&amp;$B$69</f>
        <v>IMIE</v>
      </c>
      <c r="E89" s="58">
        <v>0.76</v>
      </c>
      <c r="F89" s="60">
        <f>SUMIF(AFA!$C$3:$L$3,RIGHT(D89,1),AFA!$C$4:$L$4)</f>
        <v>0.13233</v>
      </c>
      <c r="G89" s="59">
        <v>100</v>
      </c>
      <c r="H89" s="60">
        <f t="shared" si="35"/>
        <v>1.4118464090258318</v>
      </c>
      <c r="J89" s="61">
        <v>1</v>
      </c>
      <c r="K89" s="60">
        <f t="shared" si="36"/>
        <v>0.24706378644060872</v>
      </c>
      <c r="L89" s="60">
        <f t="shared" si="38"/>
        <v>0.18682963530638833</v>
      </c>
      <c r="N89" s="2"/>
      <c r="P89" s="74" t="str">
        <f>""</f>
        <v/>
      </c>
      <c r="V89" s="74" t="str">
        <f>""</f>
        <v/>
      </c>
      <c r="Z89" s="74"/>
      <c r="AA89" s="76">
        <f t="shared" si="33"/>
        <v>0.76</v>
      </c>
      <c r="AB89" s="77">
        <f>$AA89/(1-(SUMIF($B$61:$B$70,RIGHT($D89,1),'IND2017'!Z$82:Z$91)*$AK89))</f>
        <v>0.76</v>
      </c>
      <c r="AC89" s="77">
        <f>$AA89/(1-(SUMIF($B$61:$B$70,RIGHT($D89,1),'IND2017'!AA$82:AA$91)*$AK89))</f>
        <v>0.76</v>
      </c>
      <c r="AD89" s="77">
        <f>$AA89/(1-(SUMIF($B$61:$B$70,RIGHT($D89,1),'IND2017'!AB$82:AB$91)*$AK89))</f>
        <v>0.76</v>
      </c>
      <c r="AE89" s="77">
        <f>$AA89/(1-(SUMIF($B$61:$B$70,RIGHT($D89,1),'IND2017'!AC$82:AC$91)*$AK89))</f>
        <v>0.76</v>
      </c>
      <c r="AF89" s="77">
        <f>$AA89/(1-(SUMIF($B$61:$B$70,RIGHT($D89,1),'IND2017'!AD$82:AD$91)*$AK89))</f>
        <v>0.76</v>
      </c>
      <c r="AG89" s="77">
        <f>$AA89/(1-(SUMIF($B$61:$B$70,RIGHT($D89,1),'IND2017'!AE$82:AE$91)*$AK89))</f>
        <v>0.76</v>
      </c>
      <c r="AI89">
        <f t="shared" si="39"/>
        <v>9</v>
      </c>
      <c r="AK89">
        <f>SUMIFS('PAMS central control panel'!$D$14:$D$22,'PAMS central control panel'!$C$14:$C$22,RIGHT(LEFT($D89,3),2))</f>
        <v>0</v>
      </c>
      <c r="AV89" s="13"/>
    </row>
    <row r="90" spans="1:48">
      <c r="A90" s="45" t="str">
        <f>"\I:"&amp;A70</f>
        <v>\I:boiler/process heating</v>
      </c>
      <c r="B90" s="45"/>
      <c r="C90" s="45"/>
      <c r="D90" s="45"/>
      <c r="E90" s="45"/>
      <c r="F90" s="45"/>
      <c r="G90" s="45"/>
      <c r="H90" s="45"/>
      <c r="I90" s="45"/>
      <c r="J90" s="45"/>
      <c r="K90" s="60"/>
      <c r="L90" s="45"/>
      <c r="N90" s="2"/>
      <c r="P90" s="74" t="str">
        <f>""</f>
        <v/>
      </c>
      <c r="V90" s="74" t="str">
        <f>""</f>
        <v/>
      </c>
      <c r="Z90" s="74"/>
      <c r="AA90" s="74" t="str">
        <f>""</f>
        <v/>
      </c>
      <c r="AB90" s="77"/>
      <c r="AC90" s="77"/>
      <c r="AD90" s="77"/>
      <c r="AE90" s="77"/>
      <c r="AF90" s="77"/>
      <c r="AG90" s="77"/>
      <c r="AI90">
        <f t="shared" si="39"/>
        <v>10</v>
      </c>
      <c r="AK90">
        <f>SUMIFS('PAMS central control panel'!$D$14:$D$22,'PAMS central control panel'!$C$14:$C$22,RIGHT(LEFT($D90,3),2))</f>
        <v>0</v>
      </c>
      <c r="AV90" s="13"/>
    </row>
    <row r="91" spans="1:48">
      <c r="A91" s="45" t="str">
        <f>A$5&amp;"-"&amp;A$10&amp;"-"&amp;A$70&amp;" - "&amp;VLOOKUP(RIGHT(C91,3),NameConv!$E$4:$G$20,2,FALSE)&amp;" - Existing"</f>
        <v>Industry-Mining-boiler/process heating -  - Existing</v>
      </c>
      <c r="B91" s="45" t="str">
        <f t="shared" ref="B91:B98" si="40">D91&amp;RIGHT(C91,3)&amp;"-E"</f>
        <v>IMISCOA-E</v>
      </c>
      <c r="C91" s="46" t="str">
        <f>+$C$6</f>
        <v>INDCOA</v>
      </c>
      <c r="D91" s="46" t="str">
        <f t="shared" ref="D91:D97" si="41">$B$5&amp;RIGHT($B$79,2)&amp;$B$70</f>
        <v>IMIS</v>
      </c>
      <c r="E91" s="58">
        <v>0.64</v>
      </c>
      <c r="F91" s="60">
        <f>SUMIF(AFA!$C$3:$L$3,RIGHT(D91,1),AFA!$C$4:$L$4)</f>
        <v>0.15426999999999999</v>
      </c>
      <c r="G91" s="59">
        <v>100</v>
      </c>
      <c r="H91" s="60">
        <f t="shared" ref="H91:H98" si="42">L91/F91</f>
        <v>130.27919984442863</v>
      </c>
      <c r="J91" s="61">
        <v>1</v>
      </c>
      <c r="K91" s="60">
        <f>J91*INDEX($C$10:$L$19,MATCH(B79,$B$10:$B$19,0),MATCH($B$6&amp;RIGHT(C91,3),$C$6:$L$6,0))</f>
        <v>31.561200000000003</v>
      </c>
      <c r="L91" s="60">
        <f t="shared" si="38"/>
        <v>20.098172160000004</v>
      </c>
      <c r="N91" s="2"/>
      <c r="P91" s="78">
        <f t="shared" ref="P91:P98" si="43">L91/(SUMIF($D$81:$D$268,$D91,$L$81:$L$268)+$P$77)</f>
        <v>0.99127251655395143</v>
      </c>
      <c r="Q91" s="168">
        <f>'IND2017'!N91</f>
        <v>0.96758960692888052</v>
      </c>
      <c r="R91" s="77">
        <f>MIN(1,$P91+R$75)</f>
        <v>1</v>
      </c>
      <c r="S91" s="77">
        <f t="shared" ref="S91:T97" si="44">MIN(1,$P91+S$75)</f>
        <v>1</v>
      </c>
      <c r="T91" s="77">
        <f>MIN(1,$P91+T$75)</f>
        <v>1</v>
      </c>
      <c r="V91" s="76">
        <f t="shared" ref="V91:V98" si="45">P91</f>
        <v>0.99127251655395143</v>
      </c>
      <c r="W91" s="77">
        <f>$Q91*W$75</f>
        <v>0.95791371085959176</v>
      </c>
      <c r="X91" s="77">
        <f>$Q91*X$75</f>
        <v>0</v>
      </c>
      <c r="Y91" s="77">
        <f t="shared" ref="X91:Y101" si="46">$Q91*Y$75</f>
        <v>0</v>
      </c>
      <c r="Z91" s="74"/>
      <c r="AA91" s="76">
        <f t="shared" ref="AA91:AA98" si="47">E91</f>
        <v>0.64</v>
      </c>
      <c r="AB91" s="77">
        <f>$AA91/(1-(SUMIF($B$61:$B$70,RIGHT($D91,1),'IND2017'!Z$82:Z$91)*$AK91))</f>
        <v>0.64</v>
      </c>
      <c r="AC91" s="77">
        <f>$AA91/(1-(SUMIF($B$61:$B$70,RIGHT($D91,1),'IND2017'!AA$82:AA$91)*$AK91))</f>
        <v>0.64</v>
      </c>
      <c r="AD91" s="77">
        <f>$AA91/(1-(SUMIF($B$61:$B$70,RIGHT($D91,1),'IND2017'!AB$82:AB$91)*$AK91))</f>
        <v>0.64</v>
      </c>
      <c r="AE91" s="77">
        <f>$AA91/(1-(SUMIF($B$61:$B$70,RIGHT($D91,1),'IND2017'!AC$82:AC$91)*$AK91))</f>
        <v>0.64</v>
      </c>
      <c r="AF91" s="77">
        <f>$AA91/(1-(SUMIF($B$61:$B$70,RIGHT($D91,1),'IND2017'!AD$82:AD$91)*$AK91))</f>
        <v>0.64</v>
      </c>
      <c r="AG91" s="77">
        <f>$AA91/(1-(SUMIF($B$61:$B$70,RIGHT($D91,1),'IND2017'!AE$82:AE$91)*$AK91))</f>
        <v>0.64</v>
      </c>
      <c r="AI91">
        <f t="shared" si="39"/>
        <v>11</v>
      </c>
      <c r="AK91">
        <f>SUMIFS('PAMS central control panel'!$D$14:$D$22,'PAMS central control panel'!$C$14:$C$22,RIGHT(LEFT($D91,3),2))</f>
        <v>0</v>
      </c>
      <c r="AV91" s="13"/>
    </row>
    <row r="92" spans="1:48">
      <c r="A92" s="45" t="str">
        <f>A$5&amp;"-"&amp;A$10&amp;"-"&amp;A$70&amp;" - "&amp;VLOOKUP(RIGHT(C92,3),NameConv!$E$4:$G$20,2,FALSE)&amp;" - Existing"</f>
        <v>Industry-Mining-boiler/process heating -  - Existing</v>
      </c>
      <c r="B92" s="45" t="str">
        <f t="shared" si="40"/>
        <v>IMISGAS-E</v>
      </c>
      <c r="C92" s="46" t="str">
        <f>"I"&amp;B79&amp;"GAS"</f>
        <v>IMIGAS</v>
      </c>
      <c r="D92" s="46" t="str">
        <f t="shared" si="41"/>
        <v>IMIS</v>
      </c>
      <c r="E92" s="58">
        <v>0.72</v>
      </c>
      <c r="F92" s="60">
        <f>SUMIF(AFA!$C$3:$L$3,RIGHT(D92,1),AFA!$C$4:$L$4)</f>
        <v>0.15426999999999999</v>
      </c>
      <c r="G92" s="59">
        <v>100</v>
      </c>
      <c r="H92" s="60">
        <f t="shared" si="42"/>
        <v>1.1470201594606859</v>
      </c>
      <c r="J92" s="61">
        <v>1</v>
      </c>
      <c r="K92" s="60">
        <f>J92*INDEX($C$10:$L$19,MATCH(B79,$B$10:$B$19,0),MATCH($B$6&amp;RIGHT(C92,3),$C$6:$L$6,0))</f>
        <v>0.247</v>
      </c>
      <c r="L92" s="60">
        <f t="shared" si="38"/>
        <v>0.17695079999999999</v>
      </c>
      <c r="N92" s="2"/>
      <c r="P92" s="78">
        <f t="shared" si="43"/>
        <v>8.7274834460486037E-3</v>
      </c>
      <c r="Q92" s="77">
        <f>'IND2017'!N92</f>
        <v>2.8533862166635837E-2</v>
      </c>
      <c r="R92" s="77">
        <f>MIN(1,$P92+R$75)</f>
        <v>0.50872748344604857</v>
      </c>
      <c r="S92" s="77">
        <f t="shared" si="44"/>
        <v>1</v>
      </c>
      <c r="T92" s="77">
        <f t="shared" si="44"/>
        <v>1</v>
      </c>
      <c r="V92" s="76">
        <f t="shared" si="45"/>
        <v>8.7274834460486037E-3</v>
      </c>
      <c r="W92" s="77">
        <f t="shared" ref="W92:W98" si="48">$Q92*W$75</f>
        <v>2.8248523544969477E-2</v>
      </c>
      <c r="X92" s="77">
        <f t="shared" si="46"/>
        <v>0</v>
      </c>
      <c r="Y92" s="77">
        <f t="shared" si="46"/>
        <v>0</v>
      </c>
      <c r="Z92" s="74"/>
      <c r="AA92" s="76">
        <f t="shared" si="47"/>
        <v>0.72</v>
      </c>
      <c r="AB92" s="77">
        <f>$AA92/(1-(SUMIF($B$61:$B$70,RIGHT($D92,1),'IND2017'!Z$82:Z$91)*$AK92))</f>
        <v>0.72</v>
      </c>
      <c r="AC92" s="77">
        <f>$AA92/(1-(SUMIF($B$61:$B$70,RIGHT($D92,1),'IND2017'!AA$82:AA$91)*$AK92))</f>
        <v>0.72</v>
      </c>
      <c r="AD92" s="77">
        <f>$AA92/(1-(SUMIF($B$61:$B$70,RIGHT($D92,1),'IND2017'!AB$82:AB$91)*$AK92))</f>
        <v>0.72</v>
      </c>
      <c r="AE92" s="77">
        <f>$AA92/(1-(SUMIF($B$61:$B$70,RIGHT($D92,1),'IND2017'!AC$82:AC$91)*$AK92))</f>
        <v>0.72</v>
      </c>
      <c r="AF92" s="77">
        <f>$AA92/(1-(SUMIF($B$61:$B$70,RIGHT($D92,1),'IND2017'!AD$82:AD$91)*$AK92))</f>
        <v>0.72</v>
      </c>
      <c r="AG92" s="77">
        <f>$AA92/(1-(SUMIF($B$61:$B$70,RIGHT($D92,1),'IND2017'!AE$82:AE$91)*$AK92))</f>
        <v>0.72</v>
      </c>
      <c r="AI92">
        <f>AI91+1</f>
        <v>12</v>
      </c>
      <c r="AK92">
        <f>SUMIFS('PAMS central control panel'!$D$14:$D$22,'PAMS central control panel'!$C$14:$C$22,RIGHT(LEFT($D92,3),2))</f>
        <v>0</v>
      </c>
      <c r="AV92" s="13"/>
    </row>
    <row r="93" spans="1:48">
      <c r="A93" s="45" t="str">
        <f>A$5&amp;"-"&amp;A$10&amp;"-"&amp;A$70&amp;" - "&amp;VLOOKUP(RIGHT(C93,3),NameConv!$E$4:$G$20,2,FALSE)&amp;" - Existing"</f>
        <v>Industry-Mining-boiler/process heating -  - Existing</v>
      </c>
      <c r="B93" s="45" t="str">
        <f t="shared" si="40"/>
        <v>IMISOHF-E</v>
      </c>
      <c r="C93" s="46" t="str">
        <f>+$H$6</f>
        <v>INDOHF</v>
      </c>
      <c r="D93" s="46" t="str">
        <f t="shared" si="41"/>
        <v>IMIS</v>
      </c>
      <c r="E93" s="58">
        <v>0.68</v>
      </c>
      <c r="F93" s="60">
        <f>SUMIF(AFA!$C$3:$L$3,RIGHT(D93,1),AFA!$C$4:$L$4)</f>
        <v>0.15426999999999999</v>
      </c>
      <c r="G93" s="59">
        <v>100</v>
      </c>
      <c r="H93" s="60">
        <f t="shared" si="42"/>
        <v>0</v>
      </c>
      <c r="J93" s="61">
        <v>1</v>
      </c>
      <c r="K93" s="60">
        <f>J93*INDEX($C$10:$L$19,MATCH(B79,$B$10:$B$19,0),MATCH($B$6&amp;RIGHT(C93,3),$C$6:$L$6,0))</f>
        <v>0</v>
      </c>
      <c r="L93" s="60">
        <f t="shared" si="38"/>
        <v>0</v>
      </c>
      <c r="N93" s="2"/>
      <c r="P93" s="78">
        <f t="shared" si="43"/>
        <v>0</v>
      </c>
      <c r="Q93" s="77">
        <f>'IND2017'!N93</f>
        <v>0</v>
      </c>
      <c r="R93" s="77">
        <f>MIN(1,$P93+R$75)</f>
        <v>0.5</v>
      </c>
      <c r="S93" s="77">
        <f t="shared" si="44"/>
        <v>1</v>
      </c>
      <c r="T93" s="77">
        <f t="shared" si="44"/>
        <v>1</v>
      </c>
      <c r="V93" s="76">
        <f t="shared" si="45"/>
        <v>0</v>
      </c>
      <c r="W93" s="77">
        <f t="shared" si="48"/>
        <v>0</v>
      </c>
      <c r="X93" s="77">
        <f t="shared" si="46"/>
        <v>0</v>
      </c>
      <c r="Y93" s="77">
        <f t="shared" si="46"/>
        <v>0</v>
      </c>
      <c r="AA93" s="76">
        <f t="shared" si="47"/>
        <v>0.68</v>
      </c>
      <c r="AB93" s="77">
        <f>$AA93/(1-(SUMIF($B$61:$B$70,RIGHT($D93,1),'IND2017'!Z$82:Z$91)*$AK93))</f>
        <v>0.68</v>
      </c>
      <c r="AC93" s="77">
        <f>$AA93/(1-(SUMIF($B$61:$B$70,RIGHT($D93,1),'IND2017'!AA$82:AA$91)*$AK93))</f>
        <v>0.68</v>
      </c>
      <c r="AD93" s="77">
        <f>$AA93/(1-(SUMIF($B$61:$B$70,RIGHT($D93,1),'IND2017'!AB$82:AB$91)*$AK93))</f>
        <v>0.68</v>
      </c>
      <c r="AE93" s="77">
        <f>$AA93/(1-(SUMIF($B$61:$B$70,RIGHT($D93,1),'IND2017'!AC$82:AC$91)*$AK93))</f>
        <v>0.68</v>
      </c>
      <c r="AF93" s="77">
        <f>$AA93/(1-(SUMIF($B$61:$B$70,RIGHT($D93,1),'IND2017'!AD$82:AD$91)*$AK93))</f>
        <v>0.68</v>
      </c>
      <c r="AG93" s="77">
        <f>$AA93/(1-(SUMIF($B$61:$B$70,RIGHT($D93,1),'IND2017'!AE$82:AE$91)*$AK93))</f>
        <v>0.68</v>
      </c>
      <c r="AI93">
        <f t="shared" si="39"/>
        <v>13</v>
      </c>
      <c r="AK93">
        <f>SUMIFS('PAMS central control panel'!$D$14:$D$22,'PAMS central control panel'!$C$14:$C$22,RIGHT(LEFT($D93,3),2))</f>
        <v>0</v>
      </c>
      <c r="AV93" s="13"/>
    </row>
    <row r="94" spans="1:48">
      <c r="A94" s="45" t="str">
        <f>A$5&amp;"-"&amp;A$10&amp;"-"&amp;A$70&amp;" - "&amp;VLOOKUP(RIGHT(C94,3),NameConv!$E$4:$G$20,2,FALSE)&amp;" - Existing"</f>
        <v>Industry-Mining-boiler/process heating -  - Existing</v>
      </c>
      <c r="B94" s="45" t="str">
        <f t="shared" si="40"/>
        <v>IMISOLP-E</v>
      </c>
      <c r="C94" s="46" t="str">
        <f>+$I$6</f>
        <v>INDOLP</v>
      </c>
      <c r="D94" s="46" t="str">
        <f t="shared" si="41"/>
        <v>IMIS</v>
      </c>
      <c r="E94" s="58">
        <v>0.72</v>
      </c>
      <c r="F94" s="60">
        <f>SUMIF(AFA!$C$3:$L$3,RIGHT(D94,1),AFA!$C$4:$L$4)</f>
        <v>0.15426999999999999</v>
      </c>
      <c r="G94" s="59">
        <v>100</v>
      </c>
      <c r="H94" s="60">
        <f t="shared" si="42"/>
        <v>0</v>
      </c>
      <c r="J94" s="61">
        <v>1</v>
      </c>
      <c r="K94" s="60">
        <f>J94*INDEX($C$10:$L$19,MATCH(B79,$B$10:$B$19,0),MATCH($B$6&amp;RIGHT(C94,3),$C$6:$L$6,0))</f>
        <v>0</v>
      </c>
      <c r="L94" s="60">
        <f t="shared" si="38"/>
        <v>0</v>
      </c>
      <c r="N94" s="2"/>
      <c r="P94" s="78">
        <f t="shared" si="43"/>
        <v>0</v>
      </c>
      <c r="Q94" s="77">
        <f>'IND2017'!N94</f>
        <v>3.8765309044836997E-3</v>
      </c>
      <c r="R94" s="77">
        <f>MIN(1,$P94+R$75)</f>
        <v>0.5</v>
      </c>
      <c r="S94" s="77">
        <f t="shared" si="44"/>
        <v>1</v>
      </c>
      <c r="T94" s="77">
        <f t="shared" si="44"/>
        <v>1</v>
      </c>
      <c r="V94" s="76">
        <f t="shared" si="45"/>
        <v>0</v>
      </c>
      <c r="W94" s="77">
        <f t="shared" si="48"/>
        <v>3.8377655954388626E-3</v>
      </c>
      <c r="X94" s="77">
        <f t="shared" si="46"/>
        <v>0</v>
      </c>
      <c r="Y94" s="77">
        <f t="shared" si="46"/>
        <v>0</v>
      </c>
      <c r="AA94" s="76">
        <f t="shared" si="47"/>
        <v>0.72</v>
      </c>
      <c r="AB94" s="77">
        <f>$AA94/(1-(SUMIF($B$61:$B$70,RIGHT($D94,1),'IND2017'!Z$82:Z$91)*$AK94))</f>
        <v>0.72</v>
      </c>
      <c r="AC94" s="77">
        <f>$AA94/(1-(SUMIF($B$61:$B$70,RIGHT($D94,1),'IND2017'!AA$82:AA$91)*$AK94))</f>
        <v>0.72</v>
      </c>
      <c r="AD94" s="77">
        <f>$AA94/(1-(SUMIF($B$61:$B$70,RIGHT($D94,1),'IND2017'!AB$82:AB$91)*$AK94))</f>
        <v>0.72</v>
      </c>
      <c r="AE94" s="77">
        <f>$AA94/(1-(SUMIF($B$61:$B$70,RIGHT($D94,1),'IND2017'!AC$82:AC$91)*$AK94))</f>
        <v>0.72</v>
      </c>
      <c r="AF94" s="77">
        <f>$AA94/(1-(SUMIF($B$61:$B$70,RIGHT($D94,1),'IND2017'!AD$82:AD$91)*$AK94))</f>
        <v>0.72</v>
      </c>
      <c r="AG94" s="77">
        <f>$AA94/(1-(SUMIF($B$61:$B$70,RIGHT($D94,1),'IND2017'!AE$82:AE$91)*$AK94))</f>
        <v>0.72</v>
      </c>
      <c r="AI94">
        <f t="shared" si="39"/>
        <v>14</v>
      </c>
      <c r="AK94">
        <f>SUMIFS('PAMS central control panel'!$D$14:$D$22,'PAMS central control panel'!$C$14:$C$22,RIGHT(LEFT($D94,3),2))</f>
        <v>0</v>
      </c>
      <c r="AV94" s="13"/>
    </row>
    <row r="95" spans="1:48" ht="15">
      <c r="A95" s="45" t="str">
        <f>A$5&amp;"-"&amp;A$10&amp;"-"&amp;A$70&amp;" - "&amp;VLOOKUP(RIGHT(C95,3),NameConv!$E$4:$G$20,2,FALSE)&amp;" - Existing"</f>
        <v>Industry-Mining-boiler/process heating -  - Existing</v>
      </c>
      <c r="B95" s="45" t="str">
        <f t="shared" si="40"/>
        <v>IMISELC-E</v>
      </c>
      <c r="C95" s="46" t="str">
        <f>$P$10</f>
        <v>IMIELC</v>
      </c>
      <c r="D95" s="46" t="str">
        <f t="shared" si="41"/>
        <v>IMIS</v>
      </c>
      <c r="E95" s="58">
        <v>0.76</v>
      </c>
      <c r="F95" s="60">
        <f>SUMIF(AFA!$C$3:$L$3,RIGHT(D95,1),AFA!$C$4:$L$4)</f>
        <v>0.15426999999999999</v>
      </c>
      <c r="G95" s="59">
        <v>100</v>
      </c>
      <c r="H95" s="60">
        <f t="shared" si="42"/>
        <v>0</v>
      </c>
      <c r="J95" s="61">
        <v>1</v>
      </c>
      <c r="K95" s="60">
        <f>J95*INDEX($C$70:$J$70,MATCH($B79,$C$60:$J$60,0))</f>
        <v>0</v>
      </c>
      <c r="L95" s="60">
        <f t="shared" si="38"/>
        <v>0</v>
      </c>
      <c r="N95" s="2"/>
      <c r="P95" s="78">
        <f t="shared" si="43"/>
        <v>0</v>
      </c>
      <c r="Q95" s="77">
        <f>'IND2017'!N95</f>
        <v>0</v>
      </c>
      <c r="R95" s="216">
        <v>0.25</v>
      </c>
      <c r="S95" s="216">
        <f>90%-S96</f>
        <v>0.84000000000000008</v>
      </c>
      <c r="T95" s="216">
        <f>90%-T96</f>
        <v>0.84000000000000008</v>
      </c>
      <c r="V95" s="76">
        <f t="shared" si="45"/>
        <v>0</v>
      </c>
      <c r="W95" s="77">
        <f t="shared" si="48"/>
        <v>0</v>
      </c>
      <c r="X95" s="77">
        <f t="shared" si="46"/>
        <v>0</v>
      </c>
      <c r="Y95" s="77">
        <f t="shared" si="46"/>
        <v>0</v>
      </c>
      <c r="AA95" s="76">
        <f t="shared" si="47"/>
        <v>0.76</v>
      </c>
      <c r="AB95" s="77">
        <f>$AA95/(1-(SUMIF($B$61:$B$70,RIGHT($D95,1),'IND2017'!Z$82:Z$91)*$AK95))</f>
        <v>0.76</v>
      </c>
      <c r="AC95" s="77">
        <f>$AA95/(1-(SUMIF($B$61:$B$70,RIGHT($D95,1),'IND2017'!AA$82:AA$91)*$AK95))</f>
        <v>0.76</v>
      </c>
      <c r="AD95" s="77">
        <f>$AA95/(1-(SUMIF($B$61:$B$70,RIGHT($D95,1),'IND2017'!AB$82:AB$91)*$AK95))</f>
        <v>0.76</v>
      </c>
      <c r="AE95" s="77">
        <f>$AA95/(1-(SUMIF($B$61:$B$70,RIGHT($D95,1),'IND2017'!AC$82:AC$91)*$AK95))</f>
        <v>0.76</v>
      </c>
      <c r="AF95" s="77">
        <f>$AA95/(1-(SUMIF($B$61:$B$70,RIGHT($D95,1),'IND2017'!AD$82:AD$91)*$AK95))</f>
        <v>0.76</v>
      </c>
      <c r="AG95" s="77">
        <f>$AA95/(1-(SUMIF($B$61:$B$70,RIGHT($D95,1),'IND2017'!AE$82:AE$91)*$AK95))</f>
        <v>0.76</v>
      </c>
      <c r="AI95">
        <f t="shared" si="39"/>
        <v>15</v>
      </c>
      <c r="AK95">
        <f>SUMIFS('PAMS central control panel'!$D$14:$D$22,'PAMS central control panel'!$C$14:$C$22,RIGHT(LEFT($D95,3),2))</f>
        <v>0</v>
      </c>
      <c r="AV95" s="13"/>
    </row>
    <row r="96" spans="1:48" ht="15">
      <c r="A96" s="45" t="str">
        <f>A$5&amp;"-"&amp;A$10&amp;"-"&amp;A$70&amp;" - "&amp;VLOOKUP(RIGHT(C96,3),NameConv!$E$4:$G$20,2,FALSE)&amp;" - Heat Pump New"</f>
        <v>Industry-Mining-boiler/process heating -  - Heat Pump New</v>
      </c>
      <c r="B96" s="45" t="str">
        <f>D96&amp;RIGHT(C96,3)&amp;"-N"</f>
        <v>IMISELC-N</v>
      </c>
      <c r="C96" s="46" t="str">
        <f>$P$10</f>
        <v>IMIELC</v>
      </c>
      <c r="D96" s="46" t="str">
        <f t="shared" si="41"/>
        <v>IMIS</v>
      </c>
      <c r="E96" s="58">
        <v>3.34</v>
      </c>
      <c r="F96" s="60">
        <f>SUMIF(AFA!$C$3:$L$3,RIGHT(D96,1),AFA!$C$4:$L$4)</f>
        <v>0.15426999999999999</v>
      </c>
      <c r="G96" s="59">
        <v>100</v>
      </c>
      <c r="H96" s="60">
        <v>0</v>
      </c>
      <c r="J96" s="61">
        <v>1</v>
      </c>
      <c r="K96" s="60">
        <v>0</v>
      </c>
      <c r="L96" s="60">
        <f>K96*E96*(1-$L$77)</f>
        <v>0</v>
      </c>
      <c r="N96" s="2"/>
      <c r="P96" s="78">
        <f t="shared" si="43"/>
        <v>0</v>
      </c>
      <c r="Q96" s="77">
        <f>'IND2017'!N96</f>
        <v>0</v>
      </c>
      <c r="R96" s="216">
        <v>0</v>
      </c>
      <c r="S96" s="216">
        <v>0.06</v>
      </c>
      <c r="T96" s="216">
        <v>0.06</v>
      </c>
      <c r="V96" s="76">
        <f>P96</f>
        <v>0</v>
      </c>
      <c r="W96" s="77">
        <f t="shared" si="48"/>
        <v>0</v>
      </c>
      <c r="X96" s="77">
        <f t="shared" si="46"/>
        <v>0</v>
      </c>
      <c r="Y96" s="77">
        <f t="shared" si="46"/>
        <v>0</v>
      </c>
      <c r="AA96" s="76">
        <f>E96</f>
        <v>3.34</v>
      </c>
      <c r="AB96" s="77">
        <f>$AA96/(1-(SUMIF($B$61:$B$70,RIGHT($D96,1),'IND2017'!Z$82:Z$91)*$AK96))</f>
        <v>3.34</v>
      </c>
      <c r="AC96" s="77">
        <f>$AA96/(1-(SUMIF($B$61:$B$70,RIGHT($D96,1),'IND2017'!AA$82:AA$91)*$AK96))</f>
        <v>3.34</v>
      </c>
      <c r="AD96" s="77">
        <f>$AA96/(1-(SUMIF($B$61:$B$70,RIGHT($D96,1),'IND2017'!AB$82:AB$91)*$AK96))</f>
        <v>3.34</v>
      </c>
      <c r="AE96" s="77">
        <f>$AA96/(1-(SUMIF($B$61:$B$70,RIGHT($D96,1),'IND2017'!AC$82:AC$91)*$AK96))</f>
        <v>3.34</v>
      </c>
      <c r="AF96" s="77">
        <f>$AA96/(1-(SUMIF($B$61:$B$70,RIGHT($D96,1),'IND2017'!AD$82:AD$91)*$AK96))</f>
        <v>3.34</v>
      </c>
      <c r="AG96" s="77">
        <f>$AA96/(1-(SUMIF($B$61:$B$70,RIGHT($D96,1),'IND2017'!AE$82:AE$91)*$AK96))</f>
        <v>3.34</v>
      </c>
      <c r="AI96">
        <f t="shared" si="39"/>
        <v>16</v>
      </c>
      <c r="AK96">
        <f>SUMIFS('PAMS central control panel'!$D$14:$D$22,'PAMS central control panel'!$C$14:$C$22,RIGHT(LEFT($D96,3),2))</f>
        <v>0</v>
      </c>
      <c r="AV96" s="13"/>
    </row>
    <row r="97" spans="1:48">
      <c r="A97" s="45" t="s">
        <v>466</v>
      </c>
      <c r="B97" s="45" t="str">
        <f>D97&amp;RIGHT(C97,3)&amp;"-N"</f>
        <v>IMISHGN-N</v>
      </c>
      <c r="C97" s="46" t="s">
        <v>467</v>
      </c>
      <c r="D97" s="46" t="str">
        <f t="shared" si="41"/>
        <v>IMIS</v>
      </c>
      <c r="E97" s="58">
        <v>0.76</v>
      </c>
      <c r="F97" s="60">
        <f>SUMIF(AFA!$C$3:$L$3,RIGHT(D97,1),AFA!$C$4:$L$4)</f>
        <v>0.15426999999999999</v>
      </c>
      <c r="G97" s="59">
        <v>100</v>
      </c>
      <c r="H97" s="60">
        <v>0</v>
      </c>
      <c r="J97" s="61">
        <v>1</v>
      </c>
      <c r="K97" s="60">
        <v>0</v>
      </c>
      <c r="L97" s="60">
        <f>K97*E97*(1-$L$77)</f>
        <v>0</v>
      </c>
      <c r="N97" s="2"/>
      <c r="P97" s="78">
        <f t="shared" si="43"/>
        <v>0</v>
      </c>
      <c r="Q97" s="77">
        <f>'IND2017'!N97</f>
        <v>0</v>
      </c>
      <c r="R97" s="77">
        <v>0.25</v>
      </c>
      <c r="S97" s="77">
        <f t="shared" si="44"/>
        <v>1</v>
      </c>
      <c r="T97" s="77">
        <f t="shared" si="44"/>
        <v>1</v>
      </c>
      <c r="V97" s="76">
        <f>P97</f>
        <v>0</v>
      </c>
      <c r="W97" s="77">
        <f t="shared" si="48"/>
        <v>0</v>
      </c>
      <c r="X97" s="77">
        <f t="shared" si="46"/>
        <v>0</v>
      </c>
      <c r="Y97" s="77">
        <f t="shared" si="46"/>
        <v>0</v>
      </c>
      <c r="AA97" s="76">
        <f>E97</f>
        <v>0.76</v>
      </c>
      <c r="AB97" s="77">
        <f>$AA97/(1-(SUMIF($B$61:$B$70,RIGHT($D97,1),'IND2017'!Z$82:Z$91)*$AK97))</f>
        <v>0.76</v>
      </c>
      <c r="AC97" s="77">
        <f>$AA97/(1-(SUMIF($B$61:$B$70,RIGHT($D97,1),'IND2017'!AA$82:AA$91)*$AK97))</f>
        <v>0.76</v>
      </c>
      <c r="AD97" s="77">
        <f>$AA97/(1-(SUMIF($B$61:$B$70,RIGHT($D97,1),'IND2017'!AB$82:AB$91)*$AK97))</f>
        <v>0.76</v>
      </c>
      <c r="AE97" s="77">
        <f>$AA97/(1-(SUMIF($B$61:$B$70,RIGHT($D97,1),'IND2017'!AC$82:AC$91)*$AK97))</f>
        <v>0.76</v>
      </c>
      <c r="AF97" s="77">
        <f>$AA97/(1-(SUMIF($B$61:$B$70,RIGHT($D97,1),'IND2017'!AD$82:AD$91)*$AK97))</f>
        <v>0.76</v>
      </c>
      <c r="AG97" s="77">
        <f>$AA97/(1-(SUMIF($B$61:$B$70,RIGHT($D97,1),'IND2017'!AE$82:AE$91)*$AK97))</f>
        <v>0.76</v>
      </c>
      <c r="AI97">
        <f t="shared" si="39"/>
        <v>17</v>
      </c>
      <c r="AK97">
        <f>SUMIFS('PAMS central control panel'!$D$14:$D$22,'PAMS central control panel'!$C$14:$C$22,RIGHT(LEFT($D97,3),2))</f>
        <v>0</v>
      </c>
      <c r="AV97" s="13"/>
    </row>
    <row r="98" spans="1:48">
      <c r="A98" s="45" t="str">
        <f>A$5&amp;"-"&amp;A$10&amp;"-"&amp;A$70&amp;" - "&amp;VLOOKUP(RIGHT(C98,3),NameConv!$E$4:$G$20,2,FALSE)&amp;" - Existing"</f>
        <v>Industry-Mining-boiler/process heating -  - Existing</v>
      </c>
      <c r="B98" s="45" t="str">
        <f t="shared" si="40"/>
        <v>IMISWAS-E</v>
      </c>
      <c r="C98" s="46" t="str">
        <f>$L$6</f>
        <v>INDWAS</v>
      </c>
      <c r="D98" s="46" t="str">
        <f>$B$5&amp;RIGHT($B79,2)&amp;$B$70</f>
        <v>IMIS</v>
      </c>
      <c r="E98" s="58">
        <v>0.6</v>
      </c>
      <c r="F98" s="60">
        <f>SUMIF(AFA!$C$3:$L$3,RIGHT(D98,1),AFA!$C$4:$L$4)</f>
        <v>0.15426999999999999</v>
      </c>
      <c r="G98" s="59">
        <v>100</v>
      </c>
      <c r="H98" s="60">
        <f t="shared" si="42"/>
        <v>0</v>
      </c>
      <c r="J98" s="61">
        <v>1</v>
      </c>
      <c r="K98" s="60">
        <f>J98*INDEX($C$10:$L$19,MATCH(B79,$B$10:$B$19,0),MATCH($B$6&amp;RIGHT(C98,3),$C$6:$L$6,0))</f>
        <v>0</v>
      </c>
      <c r="L98" s="60">
        <f t="shared" si="38"/>
        <v>0</v>
      </c>
      <c r="N98" s="2"/>
      <c r="P98" s="78">
        <f t="shared" si="43"/>
        <v>0</v>
      </c>
      <c r="Q98" s="77">
        <f>'IND2017'!N98</f>
        <v>0</v>
      </c>
      <c r="R98" s="77">
        <f>'IND2017'!O98</f>
        <v>0.5</v>
      </c>
      <c r="S98" s="77">
        <f>'IND2017'!P98</f>
        <v>1</v>
      </c>
      <c r="T98" s="77">
        <f>'IND2017'!Q98</f>
        <v>1</v>
      </c>
      <c r="V98" s="76">
        <f t="shared" si="45"/>
        <v>0</v>
      </c>
      <c r="W98" s="77">
        <f t="shared" si="48"/>
        <v>0</v>
      </c>
      <c r="X98" s="77">
        <f t="shared" si="46"/>
        <v>0</v>
      </c>
      <c r="Y98" s="77">
        <f t="shared" si="46"/>
        <v>0</v>
      </c>
      <c r="AA98" s="76">
        <f t="shared" si="47"/>
        <v>0.6</v>
      </c>
      <c r="AB98" s="77">
        <f>$AA98/(1-(SUMIF($B$61:$B$70,RIGHT($D98,1),'IND2017'!Z$82:Z$91)*$AK98))</f>
        <v>0.6</v>
      </c>
      <c r="AC98" s="77">
        <f>$AA98/(1-(SUMIF($B$61:$B$70,RIGHT($D98,1),'IND2017'!AA$82:AA$91)*$AK98))</f>
        <v>0.6</v>
      </c>
      <c r="AD98" s="77">
        <f>$AA98/(1-(SUMIF($B$61:$B$70,RIGHT($D98,1),'IND2017'!AB$82:AB$91)*$AK98))</f>
        <v>0.6</v>
      </c>
      <c r="AE98" s="77">
        <f>$AA98/(1-(SUMIF($B$61:$B$70,RIGHT($D98,1),'IND2017'!AC$82:AC$91)*$AK98))</f>
        <v>0.6</v>
      </c>
      <c r="AF98" s="77">
        <f>$AA98/(1-(SUMIF($B$61:$B$70,RIGHT($D98,1),'IND2017'!AD$82:AD$91)*$AK98))</f>
        <v>0.6</v>
      </c>
      <c r="AG98" s="77">
        <f>$AA98/(1-(SUMIF($B$61:$B$70,RIGHT($D98,1),'IND2017'!AE$82:AE$91)*$AK98))</f>
        <v>0.6</v>
      </c>
      <c r="AI98">
        <f t="shared" si="39"/>
        <v>18</v>
      </c>
      <c r="AK98">
        <f>SUMIFS('PAMS central control panel'!$D$14:$D$22,'PAMS central control panel'!$C$14:$C$22,RIGHT(LEFT($D98,3),2))</f>
        <v>0</v>
      </c>
      <c r="AV98" s="13"/>
    </row>
    <row r="99" spans="1:48">
      <c r="A99" s="45" t="str">
        <f>"\I:"&amp;A42</f>
        <v>\I:Transport</v>
      </c>
      <c r="B99" s="45"/>
      <c r="C99" s="46"/>
      <c r="D99" s="46"/>
      <c r="E99" s="58"/>
      <c r="F99" s="60">
        <f>SUMIF(AFA!$C$3:$L$3,RIGHT(D99,1),AFA!$C$4:$L$4)</f>
        <v>0</v>
      </c>
      <c r="G99" s="59"/>
      <c r="H99" s="60"/>
      <c r="J99" s="61"/>
      <c r="K99" s="60"/>
      <c r="L99" s="60"/>
      <c r="N99" s="2"/>
      <c r="P99" s="78"/>
      <c r="Q99" s="77"/>
      <c r="R99" s="77"/>
      <c r="S99" s="77"/>
      <c r="T99" s="77"/>
      <c r="V99" s="74" t="str">
        <f>""</f>
        <v/>
      </c>
      <c r="W99" s="77"/>
      <c r="AA99" s="74" t="str">
        <f>""</f>
        <v/>
      </c>
      <c r="AB99" s="77"/>
      <c r="AC99" s="77"/>
      <c r="AD99" s="77"/>
      <c r="AE99" s="77"/>
      <c r="AF99" s="77"/>
      <c r="AG99" s="77"/>
      <c r="AI99">
        <f t="shared" si="39"/>
        <v>19</v>
      </c>
      <c r="AK99">
        <f>SUMIFS('PAMS central control panel'!$D$14:$D$22,'PAMS central control panel'!$C$14:$C$22,RIGHT(LEFT($D99,3),2))</f>
        <v>0</v>
      </c>
      <c r="AV99" s="13"/>
    </row>
    <row r="100" spans="1:48">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51.488523217763458</v>
      </c>
      <c r="J100" s="61">
        <v>1</v>
      </c>
      <c r="K100" s="60">
        <f>J100*SUMIF($C$6:$K$6,C100,$C$10:$K$10)</f>
        <v>51.747259515340161</v>
      </c>
      <c r="L100" s="60">
        <f t="shared" si="38"/>
        <v>51.488523217763458</v>
      </c>
      <c r="P100" s="78">
        <f>L100/(SUMIF($D$81:$D$268,$D100,$L$81:$L$268)+$P$77)</f>
        <v>1</v>
      </c>
      <c r="Q100" s="77">
        <f>'IND2017'!N100</f>
        <v>1</v>
      </c>
      <c r="R100" s="77">
        <f t="shared" ref="R100:T101" si="49">MIN(1,$P100+R$75)</f>
        <v>1</v>
      </c>
      <c r="S100" s="77">
        <f t="shared" si="49"/>
        <v>1</v>
      </c>
      <c r="T100" s="77">
        <f t="shared" si="49"/>
        <v>1</v>
      </c>
      <c r="V100" s="76">
        <f>P100</f>
        <v>1</v>
      </c>
      <c r="W100" s="77">
        <f>$Q100*W$75</f>
        <v>0.99</v>
      </c>
      <c r="X100" s="77">
        <f t="shared" si="46"/>
        <v>0</v>
      </c>
      <c r="Y100" s="77">
        <f t="shared" si="46"/>
        <v>0</v>
      </c>
      <c r="AA100" s="76">
        <f>E100</f>
        <v>1</v>
      </c>
      <c r="AB100" s="77">
        <f t="shared" ref="AB100:AG101" si="50">$AA100/(1-(SUMIF($B$61:$B$70,RIGHT($D100,1),AB$61:AB$70)*$AK100))</f>
        <v>1</v>
      </c>
      <c r="AC100" s="77">
        <f t="shared" si="50"/>
        <v>1</v>
      </c>
      <c r="AD100" s="77">
        <f t="shared" si="50"/>
        <v>1</v>
      </c>
      <c r="AE100" s="77">
        <f t="shared" si="50"/>
        <v>1</v>
      </c>
      <c r="AF100" s="77">
        <f t="shared" si="50"/>
        <v>1</v>
      </c>
      <c r="AG100" s="77">
        <f t="shared" si="50"/>
        <v>1</v>
      </c>
      <c r="AI100">
        <f t="shared" si="39"/>
        <v>20</v>
      </c>
      <c r="AK100">
        <f>SUMIFS('PAMS central control panel'!$D$14:$D$22,'PAMS central control panel'!$C$14:$C$22,RIGHT(LEFT($D100,3),2))</f>
        <v>0</v>
      </c>
      <c r="AV100" s="13"/>
    </row>
    <row r="101" spans="1:48">
      <c r="A101" s="45" t="str">
        <f>A$5&amp;"-"&amp;A$10&amp;"-"&amp;A$42&amp;" - "&amp;VLOOKUP(RIGHT(C101,3),NameConv!$E$4:$G$20,2,FALSE)&amp;" - New"</f>
        <v>Industry-Mining-Transport -  - New</v>
      </c>
      <c r="B101" s="45" t="str">
        <f>D101&amp;RIGHT(C101,3)&amp;"-E"</f>
        <v>IMIRELC-E</v>
      </c>
      <c r="C101" s="46" t="str">
        <f>C89</f>
        <v>IMIELC</v>
      </c>
      <c r="D101" s="46" t="str">
        <f>$B$5&amp;RIGHT($B$79,2)&amp;$B$42</f>
        <v>IMIR</v>
      </c>
      <c r="E101" s="58">
        <v>1</v>
      </c>
      <c r="F101" s="60">
        <v>1</v>
      </c>
      <c r="G101" s="59">
        <v>100</v>
      </c>
      <c r="H101" s="60">
        <f>L101/F101</f>
        <v>0</v>
      </c>
      <c r="J101" s="61">
        <v>1</v>
      </c>
      <c r="K101" s="60">
        <f>J101*SUMIF($C$6:$K$6,C101,$C$10:$K$10)</f>
        <v>0</v>
      </c>
      <c r="L101" s="60">
        <f>K101*E101*(1-$L$77)</f>
        <v>0</v>
      </c>
      <c r="P101" s="78">
        <f>L101/(SUMIF($D$81:$D$268,$D101,$L$81:$L$268)+$P$77)</f>
        <v>0</v>
      </c>
      <c r="Q101" s="77">
        <f>'IND2017'!N101</f>
        <v>0</v>
      </c>
      <c r="R101" s="77">
        <v>0</v>
      </c>
      <c r="S101" s="77">
        <f t="shared" si="49"/>
        <v>1</v>
      </c>
      <c r="T101" s="77">
        <f t="shared" si="49"/>
        <v>1</v>
      </c>
      <c r="V101" s="76">
        <f>P101</f>
        <v>0</v>
      </c>
      <c r="W101" s="77">
        <f>$Q101*W$75</f>
        <v>0</v>
      </c>
      <c r="X101" s="77">
        <f t="shared" si="46"/>
        <v>0</v>
      </c>
      <c r="Y101" s="77">
        <f t="shared" si="46"/>
        <v>0</v>
      </c>
      <c r="AA101" s="76">
        <f>E101</f>
        <v>1</v>
      </c>
      <c r="AB101" s="77">
        <f t="shared" si="50"/>
        <v>1</v>
      </c>
      <c r="AC101" s="77">
        <f t="shared" si="50"/>
        <v>1</v>
      </c>
      <c r="AD101" s="77">
        <f t="shared" si="50"/>
        <v>1</v>
      </c>
      <c r="AE101" s="77">
        <f t="shared" si="50"/>
        <v>1</v>
      </c>
      <c r="AF101" s="77">
        <f t="shared" si="50"/>
        <v>1</v>
      </c>
      <c r="AG101" s="77">
        <f t="shared" si="50"/>
        <v>1</v>
      </c>
      <c r="AI101">
        <f t="shared" si="39"/>
        <v>21</v>
      </c>
      <c r="AK101">
        <f>SUMIFS('PAMS central control panel'!$D$14:$D$22,'PAMS central control panel'!$C$14:$C$22,RIGHT(LEFT($D101,3),2))</f>
        <v>0</v>
      </c>
      <c r="AV101" s="13"/>
    </row>
    <row r="102" spans="1:48" ht="39.75" thickBot="1">
      <c r="A102" s="244" t="s">
        <v>438</v>
      </c>
      <c r="B102" s="252" t="s">
        <v>439</v>
      </c>
      <c r="C102" s="252" t="s">
        <v>440</v>
      </c>
      <c r="D102" s="252" t="s">
        <v>441</v>
      </c>
      <c r="E102" s="252" t="s">
        <v>442</v>
      </c>
      <c r="F102" s="252" t="s">
        <v>443</v>
      </c>
      <c r="G102" s="252" t="s">
        <v>444</v>
      </c>
      <c r="H102" s="252" t="s">
        <v>445</v>
      </c>
      <c r="J102" s="252" t="s">
        <v>446</v>
      </c>
      <c r="K102" s="252" t="s">
        <v>447</v>
      </c>
      <c r="L102" s="252" t="s">
        <v>448</v>
      </c>
      <c r="M102" s="252" t="s">
        <v>449</v>
      </c>
      <c r="N102" s="252" t="s">
        <v>450</v>
      </c>
      <c r="P102" s="78"/>
      <c r="Q102" s="77"/>
      <c r="R102" s="77"/>
      <c r="S102" s="77"/>
      <c r="T102" s="77"/>
      <c r="V102" s="76"/>
      <c r="W102" s="77"/>
      <c r="X102" s="77"/>
      <c r="Y102" s="77"/>
      <c r="AA102" s="76"/>
      <c r="AB102" s="77"/>
      <c r="AC102" s="77"/>
      <c r="AD102" s="77"/>
      <c r="AE102" s="77"/>
      <c r="AF102" s="77"/>
      <c r="AG102" s="77"/>
      <c r="AI102">
        <f>AI100+1</f>
        <v>21</v>
      </c>
      <c r="AK102">
        <f>SUMIFS('PAMS central control panel'!$D$14:$D$22,'PAMS central control panel'!$C$14:$C$22,RIGHT(LEFT($D102,3),2))</f>
        <v>0</v>
      </c>
      <c r="AV102" s="13"/>
    </row>
    <row r="103" spans="1:48">
      <c r="A103" s="12" t="s">
        <v>457</v>
      </c>
      <c r="B103" s="68" t="str">
        <f>D45</f>
        <v>FA</v>
      </c>
      <c r="C103" s="46"/>
      <c r="D103" s="46"/>
      <c r="E103" s="58"/>
      <c r="F103" s="60"/>
      <c r="G103" s="59"/>
      <c r="H103" s="60"/>
      <c r="J103" s="61"/>
      <c r="K103" s="60"/>
      <c r="L103" s="60"/>
      <c r="P103" s="78"/>
      <c r="Q103" s="77"/>
      <c r="R103" s="77"/>
      <c r="S103" s="77"/>
      <c r="T103" s="77"/>
      <c r="V103" s="76"/>
      <c r="W103" s="77"/>
      <c r="X103" s="77"/>
      <c r="Y103" s="77"/>
      <c r="AA103" s="76"/>
      <c r="AB103" s="77"/>
      <c r="AC103" s="77"/>
      <c r="AD103" s="77"/>
      <c r="AE103" s="77"/>
      <c r="AF103" s="77"/>
      <c r="AG103" s="77"/>
      <c r="AI103">
        <f t="shared" si="39"/>
        <v>22</v>
      </c>
      <c r="AK103">
        <f>SUMIFS('PAMS central control panel'!$D$14:$D$22,'PAMS central control panel'!$C$14:$C$22,RIGHT(LEFT($D103,3),2))</f>
        <v>0</v>
      </c>
      <c r="AV103" s="13"/>
    </row>
    <row r="104" spans="1:48">
      <c r="A104" s="12" t="s">
        <v>465</v>
      </c>
      <c r="B104" s="45"/>
      <c r="C104" s="56">
        <v>1</v>
      </c>
      <c r="D104" s="56">
        <f>C104+1</f>
        <v>2</v>
      </c>
      <c r="E104" s="56">
        <f>D104+1</f>
        <v>3</v>
      </c>
      <c r="F104" s="56">
        <f>E104+1</f>
        <v>4</v>
      </c>
      <c r="G104" s="56">
        <f>F104+1</f>
        <v>5</v>
      </c>
      <c r="H104" s="56">
        <f>G104+1</f>
        <v>6</v>
      </c>
      <c r="J104" s="61"/>
      <c r="K104" s="60"/>
      <c r="L104" s="60"/>
      <c r="P104" s="74"/>
      <c r="Q104" s="74"/>
      <c r="R104" s="74"/>
      <c r="S104" s="74"/>
      <c r="T104" s="74"/>
      <c r="V104" s="74"/>
      <c r="W104" s="74"/>
      <c r="X104" s="74"/>
      <c r="Y104" s="74"/>
      <c r="Z104" s="74"/>
      <c r="AI104">
        <f t="shared" si="39"/>
        <v>23</v>
      </c>
      <c r="AK104">
        <f>SUMIFS('PAMS central control panel'!$D$14:$D$22,'PAMS central control panel'!$C$14:$C$22,RIGHT(LEFT($D104,3),2))</f>
        <v>0</v>
      </c>
      <c r="AV104" s="13"/>
    </row>
    <row r="105" spans="1:48">
      <c r="A105" s="45" t="str">
        <f t="shared" ref="A105:A113" si="51">IF(VLOOKUP(MID(D105,2,2),$B$10:$M$19,12,FALSE),"","\I:")&amp;A$5&amp;"-"&amp;A$11&amp;"-"&amp;A61&amp;" - Electricity"</f>
        <v>\I:Industry-Ferro Alloys-Elec Heating - Electricity</v>
      </c>
      <c r="B105" s="45" t="str">
        <f>D105&amp;RIGHT(C105,3)&amp;"-E"</f>
        <v>IFAKELC-E</v>
      </c>
      <c r="C105" s="46" t="str">
        <f t="shared" ref="C105:C113" si="52">$P$10</f>
        <v>IMIELC</v>
      </c>
      <c r="D105" s="46" t="str">
        <f>$B$5&amp;RIGHT($B103,2)&amp;$B$61</f>
        <v>IFAK</v>
      </c>
      <c r="E105" s="58">
        <v>1</v>
      </c>
      <c r="F105" s="60">
        <f>SUMIF(AFA!$C$3:$L$3,RIGHT(D105,1),AFA!$C$4:$L$4)</f>
        <v>0.11433</v>
      </c>
      <c r="G105" s="59">
        <v>100</v>
      </c>
      <c r="H105" s="60">
        <f>L105/F105</f>
        <v>479.55629958184483</v>
      </c>
      <c r="J105" s="61">
        <v>1</v>
      </c>
      <c r="K105" s="60">
        <f t="shared" ref="K105:K113" si="53">J105*SUMIF($C$60:$K$60,$B$103,$C61:$K61)</f>
        <v>55.10318766954002</v>
      </c>
      <c r="L105" s="60">
        <f t="shared" ref="L105:L113" si="54">K105*E105*(1-$L$77)</f>
        <v>54.827671731192318</v>
      </c>
      <c r="P105" s="74" t="str">
        <f>""</f>
        <v/>
      </c>
      <c r="Q105" s="74"/>
      <c r="R105" s="74"/>
      <c r="S105" s="74"/>
      <c r="T105" s="74"/>
      <c r="V105" s="74" t="str">
        <f>""</f>
        <v/>
      </c>
      <c r="W105" s="74"/>
      <c r="X105" s="74"/>
      <c r="Y105" s="74"/>
      <c r="Z105" s="74"/>
      <c r="AA105" s="76">
        <f t="shared" ref="AA105:AA113" si="55">E105</f>
        <v>1</v>
      </c>
      <c r="AB105" s="77">
        <f t="shared" ref="AB105:AG113" si="56">$AA105/(1-(SUMIF($B$61:$B$70,RIGHT($D105,1),AB$61:AB$70)*$AK105))</f>
        <v>1</v>
      </c>
      <c r="AC105" s="77">
        <f t="shared" si="56"/>
        <v>1</v>
      </c>
      <c r="AD105" s="77">
        <f t="shared" si="56"/>
        <v>1</v>
      </c>
      <c r="AE105" s="77">
        <f t="shared" si="56"/>
        <v>1</v>
      </c>
      <c r="AF105" s="77">
        <f t="shared" si="56"/>
        <v>1</v>
      </c>
      <c r="AG105" s="77">
        <f t="shared" si="56"/>
        <v>1</v>
      </c>
      <c r="AI105">
        <f t="shared" si="39"/>
        <v>24</v>
      </c>
      <c r="AK105">
        <f>SUMIFS('PAMS central control panel'!$D$14:$D$22,'PAMS central control panel'!$C$14:$C$22,RIGHT(LEFT($D105,3),2))</f>
        <v>0</v>
      </c>
      <c r="AV105" s="13"/>
    </row>
    <row r="106" spans="1:48">
      <c r="A106" s="45" t="str">
        <f t="shared" si="51"/>
        <v>\I:Industry-Ferro Alloys-Compressed air - Electricity</v>
      </c>
      <c r="B106" s="45" t="str">
        <f>D106&amp;RIGHT(C106,3)&amp;"-E"</f>
        <v>IFAAELC-E</v>
      </c>
      <c r="C106" s="46" t="str">
        <f t="shared" si="52"/>
        <v>IMIELC</v>
      </c>
      <c r="D106" s="46" t="str">
        <f>$B$5&amp;RIGHT($B103,2)&amp;$B$62</f>
        <v>IFAA</v>
      </c>
      <c r="E106" s="58">
        <v>1</v>
      </c>
      <c r="F106" s="60">
        <f>SUMIF(AFA!$C$3:$L$3,RIGHT(D106,1),AFA!$C$4:$L$4)</f>
        <v>0.11584999999999999</v>
      </c>
      <c r="G106" s="59">
        <v>100</v>
      </c>
      <c r="H106" s="60">
        <f t="shared" ref="H106:H113" si="57">L106/F106</f>
        <v>0</v>
      </c>
      <c r="J106" s="61">
        <v>1</v>
      </c>
      <c r="K106" s="60">
        <f t="shared" si="53"/>
        <v>0</v>
      </c>
      <c r="L106" s="60">
        <f t="shared" si="54"/>
        <v>0</v>
      </c>
      <c r="P106" s="74" t="str">
        <f>""</f>
        <v/>
      </c>
      <c r="V106" s="74" t="str">
        <f>""</f>
        <v/>
      </c>
      <c r="Z106" s="74"/>
      <c r="AA106" s="76">
        <f t="shared" si="55"/>
        <v>1</v>
      </c>
      <c r="AB106" s="77">
        <f t="shared" si="56"/>
        <v>1</v>
      </c>
      <c r="AC106" s="77">
        <f t="shared" si="56"/>
        <v>1</v>
      </c>
      <c r="AD106" s="77">
        <f t="shared" si="56"/>
        <v>1</v>
      </c>
      <c r="AE106" s="77">
        <f t="shared" si="56"/>
        <v>1</v>
      </c>
      <c r="AF106" s="77">
        <f t="shared" si="56"/>
        <v>1</v>
      </c>
      <c r="AG106" s="77">
        <f t="shared" si="56"/>
        <v>1</v>
      </c>
      <c r="AI106">
        <f t="shared" si="39"/>
        <v>25</v>
      </c>
      <c r="AK106">
        <f>SUMIFS('PAMS central control panel'!$D$14:$D$22,'PAMS central control panel'!$C$14:$C$22,RIGHT(LEFT($D106,3),2))</f>
        <v>0</v>
      </c>
      <c r="AV106" s="13"/>
    </row>
    <row r="107" spans="1:48">
      <c r="A107" s="45" t="str">
        <f t="shared" si="51"/>
        <v>\I:Industry-Ferro Alloys-Lighting - Electricity</v>
      </c>
      <c r="B107" s="45" t="str">
        <f t="shared" ref="B107:B113" si="58">D107&amp;RIGHT(C107,3)&amp;"-E"</f>
        <v>IFALELC-E</v>
      </c>
      <c r="C107" s="46" t="str">
        <f t="shared" si="52"/>
        <v>IMIELC</v>
      </c>
      <c r="D107" s="46" t="str">
        <f>$B$5&amp;RIGHT($B103,2)&amp;$B$63</f>
        <v>IFAL</v>
      </c>
      <c r="E107" s="58">
        <v>1</v>
      </c>
      <c r="F107" s="60">
        <f>SUMIF(AFA!$C$3:$L$3,RIGHT(D107,1),AFA!$C$4:$L$4)</f>
        <v>0.12454999999999999</v>
      </c>
      <c r="G107" s="59">
        <v>100</v>
      </c>
      <c r="H107" s="60">
        <f t="shared" si="57"/>
        <v>0</v>
      </c>
      <c r="J107" s="61">
        <v>1</v>
      </c>
      <c r="K107" s="60">
        <f t="shared" si="53"/>
        <v>0</v>
      </c>
      <c r="L107" s="60">
        <f t="shared" si="54"/>
        <v>0</v>
      </c>
      <c r="P107" s="74" t="str">
        <f>""</f>
        <v/>
      </c>
      <c r="V107" s="74" t="str">
        <f>""</f>
        <v/>
      </c>
      <c r="Z107" s="74"/>
      <c r="AA107" s="76">
        <f t="shared" si="55"/>
        <v>1</v>
      </c>
      <c r="AB107" s="77">
        <f t="shared" si="56"/>
        <v>1</v>
      </c>
      <c r="AC107" s="77">
        <f t="shared" si="56"/>
        <v>1</v>
      </c>
      <c r="AD107" s="77">
        <f t="shared" si="56"/>
        <v>1</v>
      </c>
      <c r="AE107" s="77">
        <f t="shared" si="56"/>
        <v>1</v>
      </c>
      <c r="AF107" s="77">
        <f t="shared" si="56"/>
        <v>1</v>
      </c>
      <c r="AG107" s="77">
        <f t="shared" si="56"/>
        <v>1</v>
      </c>
      <c r="AI107">
        <f t="shared" si="39"/>
        <v>26</v>
      </c>
      <c r="AK107">
        <f>SUMIFS('PAMS central control panel'!$D$14:$D$22,'PAMS central control panel'!$C$14:$C$22,RIGHT(LEFT($D107,3),2))</f>
        <v>0</v>
      </c>
      <c r="AV107" s="13"/>
    </row>
    <row r="108" spans="1:48">
      <c r="A108" s="45" t="str">
        <f t="shared" si="51"/>
        <v>\I:Industry-Ferro Alloys-Cooling - Electricity</v>
      </c>
      <c r="B108" s="45" t="str">
        <f t="shared" si="58"/>
        <v>IFACELC-E</v>
      </c>
      <c r="C108" s="46" t="str">
        <f t="shared" si="52"/>
        <v>IMIELC</v>
      </c>
      <c r="D108" s="46" t="str">
        <f>$B$5&amp;RIGHT($B103,2)&amp;$B$64</f>
        <v>IFAC</v>
      </c>
      <c r="E108" s="58">
        <v>1</v>
      </c>
      <c r="F108" s="60">
        <f>SUMIF(AFA!$C$3:$L$3,RIGHT(D108,1),AFA!$C$4:$L$4)</f>
        <v>0.12956000000000001</v>
      </c>
      <c r="G108" s="59">
        <v>100</v>
      </c>
      <c r="H108" s="60">
        <f t="shared" si="57"/>
        <v>0</v>
      </c>
      <c r="J108" s="61">
        <v>1</v>
      </c>
      <c r="K108" s="60">
        <f t="shared" si="53"/>
        <v>0</v>
      </c>
      <c r="L108" s="60">
        <f t="shared" si="54"/>
        <v>0</v>
      </c>
      <c r="P108" s="74" t="str">
        <f>""</f>
        <v/>
      </c>
      <c r="V108" s="74" t="str">
        <f>""</f>
        <v/>
      </c>
      <c r="Z108" s="74"/>
      <c r="AA108" s="76">
        <f t="shared" si="55"/>
        <v>1</v>
      </c>
      <c r="AB108" s="77">
        <f t="shared" si="56"/>
        <v>1</v>
      </c>
      <c r="AC108" s="77">
        <f t="shared" si="56"/>
        <v>1</v>
      </c>
      <c r="AD108" s="77">
        <f t="shared" si="56"/>
        <v>1</v>
      </c>
      <c r="AE108" s="77">
        <f t="shared" si="56"/>
        <v>1</v>
      </c>
      <c r="AF108" s="77">
        <f t="shared" si="56"/>
        <v>1</v>
      </c>
      <c r="AG108" s="77">
        <f t="shared" si="56"/>
        <v>1</v>
      </c>
      <c r="AI108">
        <f t="shared" si="39"/>
        <v>27</v>
      </c>
      <c r="AK108">
        <f>SUMIFS('PAMS central control panel'!$D$14:$D$22,'PAMS central control panel'!$C$14:$C$22,RIGHT(LEFT($D108,3),2))</f>
        <v>0</v>
      </c>
      <c r="AV108" s="13"/>
    </row>
    <row r="109" spans="1:48">
      <c r="A109" s="45" t="str">
        <f t="shared" si="51"/>
        <v>\I:Industry-Ferro Alloys-HVAC - Electricity</v>
      </c>
      <c r="B109" s="45" t="str">
        <f t="shared" si="58"/>
        <v>IFAHELC-E</v>
      </c>
      <c r="C109" s="46" t="str">
        <f t="shared" si="52"/>
        <v>IMIELC</v>
      </c>
      <c r="D109" s="46" t="str">
        <f>$B$5&amp;RIGHT($B103,2)&amp;$B$65</f>
        <v>IFAH</v>
      </c>
      <c r="E109" s="58">
        <v>1</v>
      </c>
      <c r="F109" s="60">
        <f>SUMIF(AFA!$C$3:$L$3,RIGHT(D109,1),AFA!$C$4:$L$4)</f>
        <v>0.13161</v>
      </c>
      <c r="G109" s="59">
        <v>100</v>
      </c>
      <c r="H109" s="60">
        <f t="shared" si="57"/>
        <v>0</v>
      </c>
      <c r="J109" s="61">
        <v>1</v>
      </c>
      <c r="K109" s="60">
        <f t="shared" si="53"/>
        <v>0</v>
      </c>
      <c r="L109" s="60">
        <f t="shared" si="54"/>
        <v>0</v>
      </c>
      <c r="P109" s="74" t="str">
        <f>""</f>
        <v/>
      </c>
      <c r="V109" s="74" t="str">
        <f>""</f>
        <v/>
      </c>
      <c r="Z109" s="74"/>
      <c r="AA109" s="76">
        <f t="shared" si="55"/>
        <v>1</v>
      </c>
      <c r="AB109" s="77">
        <f t="shared" si="56"/>
        <v>1</v>
      </c>
      <c r="AC109" s="77">
        <f t="shared" si="56"/>
        <v>1</v>
      </c>
      <c r="AD109" s="77">
        <f t="shared" si="56"/>
        <v>1</v>
      </c>
      <c r="AE109" s="77">
        <f t="shared" si="56"/>
        <v>1</v>
      </c>
      <c r="AF109" s="77">
        <f t="shared" si="56"/>
        <v>1</v>
      </c>
      <c r="AG109" s="77">
        <f t="shared" si="56"/>
        <v>1</v>
      </c>
      <c r="AI109">
        <f t="shared" si="39"/>
        <v>28</v>
      </c>
      <c r="AK109">
        <f>SUMIFS('PAMS central control panel'!$D$14:$D$22,'PAMS central control panel'!$C$14:$C$22,RIGHT(LEFT($D109,3),2))</f>
        <v>0</v>
      </c>
      <c r="AV109" s="13"/>
    </row>
    <row r="110" spans="1:48">
      <c r="A110" s="45" t="str">
        <f t="shared" si="51"/>
        <v>\I:Industry-Ferro Alloys-Pumping - Electricity</v>
      </c>
      <c r="B110" s="45" t="str">
        <f t="shared" si="58"/>
        <v>IFAPELC-E</v>
      </c>
      <c r="C110" s="46" t="str">
        <f t="shared" si="52"/>
        <v>IMIELC</v>
      </c>
      <c r="D110" s="46" t="str">
        <f>$B$5&amp;RIGHT($B103,2)&amp;$B$66</f>
        <v>IFAP</v>
      </c>
      <c r="E110" s="58">
        <v>1</v>
      </c>
      <c r="F110" s="60">
        <f>SUMIF(AFA!$C$3:$L$3,RIGHT(D110,1),AFA!$C$4:$L$4)</f>
        <v>0.12116</v>
      </c>
      <c r="G110" s="59">
        <v>100</v>
      </c>
      <c r="H110" s="60">
        <f t="shared" si="57"/>
        <v>0</v>
      </c>
      <c r="J110" s="61">
        <v>1</v>
      </c>
      <c r="K110" s="60">
        <f t="shared" si="53"/>
        <v>0</v>
      </c>
      <c r="L110" s="60">
        <f t="shared" si="54"/>
        <v>0</v>
      </c>
      <c r="P110" s="74" t="str">
        <f>""</f>
        <v/>
      </c>
      <c r="V110" s="74" t="str">
        <f>""</f>
        <v/>
      </c>
      <c r="Z110" s="74"/>
      <c r="AA110" s="76">
        <f t="shared" si="55"/>
        <v>1</v>
      </c>
      <c r="AB110" s="77">
        <f t="shared" si="56"/>
        <v>1</v>
      </c>
      <c r="AC110" s="77">
        <f t="shared" si="56"/>
        <v>1</v>
      </c>
      <c r="AD110" s="77">
        <f t="shared" si="56"/>
        <v>1</v>
      </c>
      <c r="AE110" s="77">
        <f t="shared" si="56"/>
        <v>1</v>
      </c>
      <c r="AF110" s="77">
        <f t="shared" si="56"/>
        <v>1</v>
      </c>
      <c r="AG110" s="77">
        <f t="shared" si="56"/>
        <v>1</v>
      </c>
      <c r="AI110">
        <f t="shared" si="39"/>
        <v>29</v>
      </c>
      <c r="AK110">
        <f>SUMIFS('PAMS central control panel'!$D$14:$D$22,'PAMS central control panel'!$C$14:$C$22,RIGHT(LEFT($D110,3),2))</f>
        <v>0</v>
      </c>
      <c r="AV110" s="13"/>
    </row>
    <row r="111" spans="1:48">
      <c r="A111" s="45" t="str">
        <f t="shared" si="51"/>
        <v>\I:Industry-Ferro Alloys-Fans - Electricity</v>
      </c>
      <c r="B111" s="45" t="str">
        <f t="shared" si="58"/>
        <v>IFAFELC-E</v>
      </c>
      <c r="C111" s="46" t="str">
        <f t="shared" si="52"/>
        <v>IMIELC</v>
      </c>
      <c r="D111" s="46" t="str">
        <f>$B$5&amp;RIGHT($B103,2)&amp;$B$67</f>
        <v>IFAF</v>
      </c>
      <c r="E111" s="58">
        <v>1</v>
      </c>
      <c r="F111" s="60">
        <f>SUMIF(AFA!$C$3:$L$3,RIGHT(D111,1),AFA!$C$4:$L$4)</f>
        <v>0.10936999999999999</v>
      </c>
      <c r="G111" s="59">
        <v>100</v>
      </c>
      <c r="H111" s="60">
        <f t="shared" si="57"/>
        <v>0</v>
      </c>
      <c r="J111" s="61">
        <v>1</v>
      </c>
      <c r="K111" s="60">
        <f t="shared" si="53"/>
        <v>0</v>
      </c>
      <c r="L111" s="60">
        <f t="shared" si="54"/>
        <v>0</v>
      </c>
      <c r="P111" s="74" t="str">
        <f>""</f>
        <v/>
      </c>
      <c r="V111" s="74" t="str">
        <f>""</f>
        <v/>
      </c>
      <c r="Z111" s="74"/>
      <c r="AA111" s="76">
        <f t="shared" si="55"/>
        <v>1</v>
      </c>
      <c r="AB111" s="77">
        <f t="shared" si="56"/>
        <v>1</v>
      </c>
      <c r="AC111" s="77">
        <f t="shared" si="56"/>
        <v>1</v>
      </c>
      <c r="AD111" s="77">
        <f t="shared" si="56"/>
        <v>1</v>
      </c>
      <c r="AE111" s="77">
        <f t="shared" si="56"/>
        <v>1</v>
      </c>
      <c r="AF111" s="77">
        <f t="shared" si="56"/>
        <v>1</v>
      </c>
      <c r="AG111" s="77">
        <f t="shared" si="56"/>
        <v>1</v>
      </c>
      <c r="AI111">
        <f t="shared" si="39"/>
        <v>30</v>
      </c>
      <c r="AK111">
        <f>SUMIFS('PAMS central control panel'!$D$14:$D$22,'PAMS central control panel'!$C$14:$C$22,RIGHT(LEFT($D111,3),2))</f>
        <v>0</v>
      </c>
      <c r="AV111" s="13"/>
    </row>
    <row r="112" spans="1:48">
      <c r="A112" s="45" t="str">
        <f t="shared" si="51"/>
        <v>\I:Industry-Ferro Alloys-Other motive - Electricity</v>
      </c>
      <c r="B112" s="45" t="str">
        <f t="shared" si="58"/>
        <v>IFAOELC-E</v>
      </c>
      <c r="C112" s="46" t="str">
        <f t="shared" si="52"/>
        <v>IMIELC</v>
      </c>
      <c r="D112" s="46" t="str">
        <f>$B$5&amp;RIGHT($B103,2)&amp;$B$68</f>
        <v>IFAO</v>
      </c>
      <c r="E112" s="58">
        <v>1</v>
      </c>
      <c r="F112" s="60">
        <f>SUMIF(AFA!$C$3:$L$3,RIGHT(D112,1),AFA!$C$4:$L$4)</f>
        <v>0.13081999999999999</v>
      </c>
      <c r="G112" s="59">
        <v>100</v>
      </c>
      <c r="H112" s="60">
        <f t="shared" si="57"/>
        <v>0</v>
      </c>
      <c r="J112" s="61">
        <v>1</v>
      </c>
      <c r="K112" s="60">
        <f t="shared" si="53"/>
        <v>0</v>
      </c>
      <c r="L112" s="60">
        <f t="shared" si="54"/>
        <v>0</v>
      </c>
      <c r="P112" s="74" t="str">
        <f>""</f>
        <v/>
      </c>
      <c r="V112" s="74" t="str">
        <f>""</f>
        <v/>
      </c>
      <c r="Z112" s="74"/>
      <c r="AA112" s="76">
        <f t="shared" si="55"/>
        <v>1</v>
      </c>
      <c r="AB112" s="77">
        <f t="shared" si="56"/>
        <v>1</v>
      </c>
      <c r="AC112" s="77">
        <f t="shared" si="56"/>
        <v>1</v>
      </c>
      <c r="AD112" s="77">
        <f t="shared" si="56"/>
        <v>1</v>
      </c>
      <c r="AE112" s="77">
        <f t="shared" si="56"/>
        <v>1</v>
      </c>
      <c r="AF112" s="77">
        <f t="shared" si="56"/>
        <v>1</v>
      </c>
      <c r="AG112" s="77">
        <f t="shared" si="56"/>
        <v>1</v>
      </c>
      <c r="AI112">
        <f t="shared" si="39"/>
        <v>31</v>
      </c>
      <c r="AK112">
        <f>SUMIFS('PAMS central control panel'!$D$14:$D$22,'PAMS central control panel'!$C$14:$C$22,RIGHT(LEFT($D112,3),2))</f>
        <v>0</v>
      </c>
      <c r="AV112" s="13"/>
    </row>
    <row r="113" spans="1:48">
      <c r="A113" s="45" t="str">
        <f t="shared" si="51"/>
        <v>\I:Industry-Ferro Alloys-Electrochemical - Electricity</v>
      </c>
      <c r="B113" s="45" t="str">
        <f t="shared" si="58"/>
        <v>IFAEELC-E</v>
      </c>
      <c r="C113" s="46" t="str">
        <f t="shared" si="52"/>
        <v>IMIELC</v>
      </c>
      <c r="D113" s="46" t="str">
        <f>$B$5&amp;RIGHT($B103,2)&amp;$B$69</f>
        <v>IFAE</v>
      </c>
      <c r="E113" s="58">
        <v>1</v>
      </c>
      <c r="F113" s="60">
        <f>SUMIF(AFA!$C$3:$L$3,RIGHT(D113,1),AFA!$C$4:$L$4)</f>
        <v>0.13233</v>
      </c>
      <c r="G113" s="59">
        <v>100</v>
      </c>
      <c r="H113" s="60">
        <f t="shared" si="57"/>
        <v>0</v>
      </c>
      <c r="J113" s="61">
        <v>1</v>
      </c>
      <c r="K113" s="60">
        <f t="shared" si="53"/>
        <v>0</v>
      </c>
      <c r="L113" s="60">
        <f t="shared" si="54"/>
        <v>0</v>
      </c>
      <c r="P113" s="74" t="str">
        <f>""</f>
        <v/>
      </c>
      <c r="V113" s="74" t="str">
        <f>""</f>
        <v/>
      </c>
      <c r="Z113" s="74"/>
      <c r="AA113" s="76">
        <f t="shared" si="55"/>
        <v>1</v>
      </c>
      <c r="AB113" s="77">
        <f t="shared" si="56"/>
        <v>1</v>
      </c>
      <c r="AC113" s="77">
        <f t="shared" si="56"/>
        <v>1</v>
      </c>
      <c r="AD113" s="77">
        <f t="shared" si="56"/>
        <v>1</v>
      </c>
      <c r="AE113" s="77">
        <f t="shared" si="56"/>
        <v>1</v>
      </c>
      <c r="AF113" s="77">
        <f t="shared" si="56"/>
        <v>1</v>
      </c>
      <c r="AG113" s="77">
        <f t="shared" si="56"/>
        <v>1</v>
      </c>
      <c r="AI113">
        <f t="shared" si="39"/>
        <v>32</v>
      </c>
      <c r="AK113">
        <f>SUMIFS('PAMS central control panel'!$D$14:$D$22,'PAMS central control panel'!$C$14:$C$22,RIGHT(LEFT($D113,3),2))</f>
        <v>0</v>
      </c>
      <c r="AV113" s="13"/>
    </row>
    <row r="114" spans="1:48">
      <c r="A114" s="45" t="str">
        <f>"\I:"&amp;A70</f>
        <v>\I:boiler/process heating</v>
      </c>
      <c r="B114" s="45"/>
      <c r="C114" s="45"/>
      <c r="D114" s="45"/>
      <c r="E114" s="45"/>
      <c r="F114" s="45"/>
      <c r="G114" s="45"/>
      <c r="H114" s="45"/>
      <c r="J114" s="45"/>
      <c r="K114" s="60"/>
      <c r="L114" s="45"/>
      <c r="P114" s="74" t="str">
        <f>""</f>
        <v/>
      </c>
      <c r="V114" s="74" t="str">
        <f>""</f>
        <v/>
      </c>
      <c r="Z114" s="74"/>
      <c r="AA114" s="74" t="str">
        <f>""</f>
        <v/>
      </c>
      <c r="AB114" s="77"/>
      <c r="AC114" s="77"/>
      <c r="AD114" s="77"/>
      <c r="AE114" s="77"/>
      <c r="AF114" s="77"/>
      <c r="AG114" s="77"/>
      <c r="AI114">
        <f t="shared" si="39"/>
        <v>33</v>
      </c>
      <c r="AK114">
        <f>SUMIFS('PAMS central control panel'!$D$14:$D$22,'PAMS central control panel'!$C$14:$C$22,RIGHT(LEFT($D114,3),2))</f>
        <v>0</v>
      </c>
      <c r="AV114" s="13"/>
    </row>
    <row r="115" spans="1:48">
      <c r="A115" s="45" t="str">
        <f>A$5&amp;"-"&amp;A$11&amp;"-"&amp;"Process Heating"&amp;" - "&amp;VLOOKUP(RIGHT(C115,3),NameConv!$E$4:$G$20,2,FALSE)&amp;" - Existing"</f>
        <v>Industry-Ferro Alloys-Process Heating -  - Existing</v>
      </c>
      <c r="B115" s="45" t="str">
        <f t="shared" ref="B115:B120" si="59">D115&amp;RIGHT(C115,3)&amp;"-E"</f>
        <v>IFASCOA-E</v>
      </c>
      <c r="C115" s="46" t="str">
        <f>+$C$6</f>
        <v>INDCOA</v>
      </c>
      <c r="D115" s="46" t="str">
        <f t="shared" ref="D115:D120" si="60">$B$5&amp;RIGHT($B$103,2)&amp;$B$70</f>
        <v>IFAS</v>
      </c>
      <c r="E115" s="58">
        <v>1</v>
      </c>
      <c r="F115" s="60">
        <f>SUMIF(AFA!$C$3:$L$3,RIGHT(D115,1),AFA!$C$4:$L$4)</f>
        <v>0.15426999999999999</v>
      </c>
      <c r="G115" s="59">
        <v>100</v>
      </c>
      <c r="H115" s="60">
        <f t="shared" ref="H115:H120" si="61">L115/F115</f>
        <v>324.61496078304276</v>
      </c>
      <c r="J115" s="61">
        <v>1</v>
      </c>
      <c r="K115" s="60">
        <f>J115*INDEX($C$10:$L$19,MATCH($B$103,$B$10:$B$19,0),MATCH($B$6&amp;RIGHT(C115,3),$C$6:$L$6,0))</f>
        <v>50.33</v>
      </c>
      <c r="L115" s="60">
        <f t="shared" ref="L115:L122" si="62">K115*E115*(1-$L$77)</f>
        <v>50.07835</v>
      </c>
      <c r="P115" s="78">
        <f t="shared" ref="P115:P120" si="63">L115/(SUMIF($D$81:$D$268,$D115,$L$81:$L$268)+$P$77)</f>
        <v>0.56171875000000004</v>
      </c>
      <c r="Q115" s="77" t="e">
        <f>'IND2017'!#REF!</f>
        <v>#REF!</v>
      </c>
      <c r="R115" s="77">
        <f t="shared" ref="R115:R120" si="64">MIN(1,$P115+R$75)</f>
        <v>1</v>
      </c>
      <c r="S115" s="77">
        <f t="shared" ref="S115:T120" si="65">MIN(1,$P115+S$75)</f>
        <v>1</v>
      </c>
      <c r="T115" s="77">
        <f t="shared" si="65"/>
        <v>1</v>
      </c>
      <c r="V115" s="76">
        <f t="shared" ref="V115:V120" si="66">P115</f>
        <v>0.56171875000000004</v>
      </c>
      <c r="W115" s="77" t="e">
        <f t="shared" ref="W115:Y120" si="67">$Q115*W$75</f>
        <v>#REF!</v>
      </c>
      <c r="X115" s="77" t="e">
        <f t="shared" si="67"/>
        <v>#REF!</v>
      </c>
      <c r="Y115" s="77" t="e">
        <f t="shared" si="67"/>
        <v>#REF!</v>
      </c>
      <c r="Z115" s="74"/>
      <c r="AA115" s="76">
        <f t="shared" ref="AA115:AA120" si="68">E115</f>
        <v>1</v>
      </c>
      <c r="AB115" s="77">
        <f t="shared" ref="AB115:AG120" si="69">$AA115/(1-(SUMIF($B$61:$B$70,RIGHT($D115,1),AB$61:AB$70)*$AK115))</f>
        <v>1</v>
      </c>
      <c r="AC115" s="77">
        <f t="shared" si="69"/>
        <v>1</v>
      </c>
      <c r="AD115" s="77">
        <f t="shared" si="69"/>
        <v>1</v>
      </c>
      <c r="AE115" s="77">
        <f t="shared" si="69"/>
        <v>1</v>
      </c>
      <c r="AF115" s="77">
        <f t="shared" si="69"/>
        <v>1</v>
      </c>
      <c r="AG115" s="77">
        <f t="shared" si="69"/>
        <v>1</v>
      </c>
      <c r="AI115">
        <f t="shared" si="39"/>
        <v>34</v>
      </c>
      <c r="AK115">
        <f>SUMIFS('PAMS central control panel'!$D$14:$D$22,'PAMS central control panel'!$C$14:$C$22,RIGHT(LEFT($D115,3),2))</f>
        <v>0</v>
      </c>
      <c r="AV115" s="13"/>
    </row>
    <row r="116" spans="1:48">
      <c r="A116" s="45" t="str">
        <f>A$5&amp;"-"&amp;A$11&amp;"-"&amp;"Process Heating"&amp;" - "&amp;VLOOKUP(RIGHT(C116,3),NameConv!$E$4:$G$20,2,FALSE)&amp;" - Existing"</f>
        <v>Industry-Ferro Alloys-Process Heating -  - Existing</v>
      </c>
      <c r="B116" s="45" t="str">
        <f t="shared" si="59"/>
        <v>IFASGAS-E</v>
      </c>
      <c r="C116" s="46" t="str">
        <f>"I"&amp;B103&amp;"GAS"</f>
        <v>IFAGAS</v>
      </c>
      <c r="D116" s="46" t="str">
        <f t="shared" si="60"/>
        <v>IFAS</v>
      </c>
      <c r="E116" s="58">
        <v>1</v>
      </c>
      <c r="F116" s="60">
        <f>SUMIF(AFA!$C$3:$L$3,RIGHT(D116,1),AFA!$C$4:$L$4)</f>
        <v>0.15426999999999999</v>
      </c>
      <c r="G116" s="59">
        <v>100</v>
      </c>
      <c r="H116" s="60">
        <f t="shared" si="61"/>
        <v>0</v>
      </c>
      <c r="J116" s="61">
        <v>1</v>
      </c>
      <c r="K116" s="60">
        <f>J116*INDEX($C$10:$L$19,MATCH($B$103,$B$10:$B$19,0),MATCH($B$6&amp;RIGHT(C116,3),$C$6:$L$6,0))</f>
        <v>0</v>
      </c>
      <c r="L116" s="60">
        <f t="shared" si="62"/>
        <v>0</v>
      </c>
      <c r="P116" s="78">
        <f t="shared" si="63"/>
        <v>0</v>
      </c>
      <c r="Q116" s="77" t="e">
        <f>'IND2017'!#REF!</f>
        <v>#REF!</v>
      </c>
      <c r="R116" s="77">
        <f t="shared" si="64"/>
        <v>0.5</v>
      </c>
      <c r="S116" s="77">
        <f t="shared" si="65"/>
        <v>1</v>
      </c>
      <c r="T116" s="77">
        <f t="shared" si="65"/>
        <v>1</v>
      </c>
      <c r="V116" s="76">
        <f t="shared" si="66"/>
        <v>0</v>
      </c>
      <c r="W116" s="77" t="e">
        <f t="shared" si="67"/>
        <v>#REF!</v>
      </c>
      <c r="X116" s="77" t="e">
        <f t="shared" si="67"/>
        <v>#REF!</v>
      </c>
      <c r="Y116" s="77" t="e">
        <f t="shared" si="67"/>
        <v>#REF!</v>
      </c>
      <c r="Z116" s="74"/>
      <c r="AA116" s="76">
        <f t="shared" si="68"/>
        <v>1</v>
      </c>
      <c r="AB116" s="77">
        <f t="shared" si="69"/>
        <v>1</v>
      </c>
      <c r="AC116" s="77">
        <f t="shared" si="69"/>
        <v>1</v>
      </c>
      <c r="AD116" s="77">
        <f t="shared" si="69"/>
        <v>1</v>
      </c>
      <c r="AE116" s="77">
        <f t="shared" si="69"/>
        <v>1</v>
      </c>
      <c r="AF116" s="77">
        <f t="shared" si="69"/>
        <v>1</v>
      </c>
      <c r="AG116" s="77">
        <f t="shared" si="69"/>
        <v>1</v>
      </c>
      <c r="AI116">
        <f t="shared" si="39"/>
        <v>35</v>
      </c>
      <c r="AK116">
        <f>SUMIFS('PAMS central control panel'!$D$14:$D$22,'PAMS central control panel'!$C$14:$C$22,RIGHT(LEFT($D116,3),2))</f>
        <v>0</v>
      </c>
      <c r="AV116" s="13"/>
    </row>
    <row r="117" spans="1:48">
      <c r="A117" s="45" t="str">
        <f>A$5&amp;"-"&amp;A$11&amp;"-"&amp;"Process Heating"&amp;" - "&amp;VLOOKUP(RIGHT(C117,3),NameConv!$E$4:$G$20,2,FALSE)&amp;" - Existing"</f>
        <v>Industry-Ferro Alloys-Process Heating -  - Existing</v>
      </c>
      <c r="B117" s="45" t="str">
        <f t="shared" si="59"/>
        <v>IFASCOK-E</v>
      </c>
      <c r="C117" s="46" t="str">
        <f>+$D$6</f>
        <v>INDCOK</v>
      </c>
      <c r="D117" s="46" t="str">
        <f t="shared" si="60"/>
        <v>IFAS</v>
      </c>
      <c r="E117" s="58">
        <v>1</v>
      </c>
      <c r="F117" s="60">
        <f>SUMIF(AFA!$C$3:$L$3,RIGHT(D117,1),AFA!$C$4:$L$4)</f>
        <v>0.15426999999999999</v>
      </c>
      <c r="G117" s="59">
        <v>100</v>
      </c>
      <c r="H117" s="60">
        <f t="shared" si="61"/>
        <v>253.28093602126145</v>
      </c>
      <c r="J117" s="61">
        <v>1</v>
      </c>
      <c r="K117" s="60">
        <f>J117*INDEX($C$10:$L$19,MATCH($B$103,$B$10:$B$19,0),MATCH($B$6&amp;RIGHT(C117,3),$C$6:$L$6,0))</f>
        <v>39.270000000000003</v>
      </c>
      <c r="L117" s="60">
        <f t="shared" si="62"/>
        <v>39.073650000000001</v>
      </c>
      <c r="P117" s="78">
        <f t="shared" si="63"/>
        <v>0.43828125000000001</v>
      </c>
      <c r="Q117" s="77" t="e">
        <f>'IND2017'!#REF!</f>
        <v>#REF!</v>
      </c>
      <c r="R117" s="77">
        <f t="shared" si="64"/>
        <v>0.93828124999999996</v>
      </c>
      <c r="S117" s="77">
        <f t="shared" si="65"/>
        <v>1</v>
      </c>
      <c r="T117" s="77">
        <f t="shared" si="65"/>
        <v>1</v>
      </c>
      <c r="V117" s="76">
        <f t="shared" si="66"/>
        <v>0.43828125000000001</v>
      </c>
      <c r="W117" s="77" t="e">
        <f t="shared" si="67"/>
        <v>#REF!</v>
      </c>
      <c r="X117" s="77" t="e">
        <f t="shared" si="67"/>
        <v>#REF!</v>
      </c>
      <c r="Y117" s="77" t="e">
        <f t="shared" si="67"/>
        <v>#REF!</v>
      </c>
      <c r="AA117" s="76">
        <f t="shared" si="68"/>
        <v>1</v>
      </c>
      <c r="AB117" s="77">
        <f t="shared" si="69"/>
        <v>1</v>
      </c>
      <c r="AC117" s="77">
        <f t="shared" si="69"/>
        <v>1</v>
      </c>
      <c r="AD117" s="77">
        <f t="shared" si="69"/>
        <v>1</v>
      </c>
      <c r="AE117" s="77">
        <f t="shared" si="69"/>
        <v>1</v>
      </c>
      <c r="AF117" s="77">
        <f t="shared" si="69"/>
        <v>1</v>
      </c>
      <c r="AG117" s="77">
        <f t="shared" si="69"/>
        <v>1</v>
      </c>
      <c r="AI117">
        <f t="shared" si="39"/>
        <v>36</v>
      </c>
      <c r="AK117">
        <f>SUMIFS('PAMS central control panel'!$D$14:$D$22,'PAMS central control panel'!$C$14:$C$22,RIGHT(LEFT($D117,3),2))</f>
        <v>0</v>
      </c>
      <c r="AV117" s="13"/>
    </row>
    <row r="118" spans="1:48">
      <c r="A118" s="45" t="str">
        <f>A$5&amp;"-"&amp;A$11&amp;"-"&amp;"Process Heating"&amp;" - "&amp;VLOOKUP(RIGHT(C118,3),NameConv!$E$4:$G$20,2,FALSE)&amp;" - Existing"</f>
        <v>Industry-Ferro Alloys-Process Heating -  - Existing</v>
      </c>
      <c r="B118" s="45" t="str">
        <f t="shared" si="59"/>
        <v>IFASOLP-E</v>
      </c>
      <c r="C118" s="46" t="str">
        <f>+$I$6</f>
        <v>INDOLP</v>
      </c>
      <c r="D118" s="46" t="str">
        <f t="shared" si="60"/>
        <v>IFAS</v>
      </c>
      <c r="E118" s="58">
        <v>1</v>
      </c>
      <c r="F118" s="60">
        <f>SUMIF(AFA!$C$3:$L$3,RIGHT(D118,1),AFA!$C$4:$L$4)</f>
        <v>0.15426999999999999</v>
      </c>
      <c r="G118" s="59">
        <v>100</v>
      </c>
      <c r="H118" s="60">
        <f t="shared" si="61"/>
        <v>0</v>
      </c>
      <c r="J118" s="61">
        <v>1</v>
      </c>
      <c r="K118" s="60">
        <f>J118*INDEX($C$10:$L$19,MATCH($B$103,$B$10:$B$19,0),MATCH($B$6&amp;RIGHT(C118,3),$C$6:$L$6,0))</f>
        <v>0</v>
      </c>
      <c r="L118" s="60">
        <f t="shared" si="62"/>
        <v>0</v>
      </c>
      <c r="P118" s="78">
        <f t="shared" si="63"/>
        <v>0</v>
      </c>
      <c r="Q118" s="77" t="e">
        <f>'IND2017'!#REF!</f>
        <v>#REF!</v>
      </c>
      <c r="R118" s="77">
        <f t="shared" si="64"/>
        <v>0.5</v>
      </c>
      <c r="S118" s="77">
        <f t="shared" si="65"/>
        <v>1</v>
      </c>
      <c r="T118" s="77">
        <f t="shared" si="65"/>
        <v>1</v>
      </c>
      <c r="V118" s="76">
        <f t="shared" si="66"/>
        <v>0</v>
      </c>
      <c r="W118" s="77" t="e">
        <f t="shared" si="67"/>
        <v>#REF!</v>
      </c>
      <c r="X118" s="77" t="e">
        <f t="shared" si="67"/>
        <v>#REF!</v>
      </c>
      <c r="Y118" s="77" t="e">
        <f t="shared" si="67"/>
        <v>#REF!</v>
      </c>
      <c r="AA118" s="76">
        <f t="shared" si="68"/>
        <v>1</v>
      </c>
      <c r="AB118" s="77">
        <f t="shared" si="69"/>
        <v>1</v>
      </c>
      <c r="AC118" s="77">
        <f t="shared" si="69"/>
        <v>1</v>
      </c>
      <c r="AD118" s="77">
        <f t="shared" si="69"/>
        <v>1</v>
      </c>
      <c r="AE118" s="77">
        <f t="shared" si="69"/>
        <v>1</v>
      </c>
      <c r="AF118" s="77">
        <f t="shared" si="69"/>
        <v>1</v>
      </c>
      <c r="AG118" s="77">
        <f t="shared" si="69"/>
        <v>1</v>
      </c>
      <c r="AI118">
        <f t="shared" si="39"/>
        <v>37</v>
      </c>
      <c r="AK118">
        <f>SUMIFS('PAMS central control panel'!$D$14:$D$22,'PAMS central control panel'!$C$14:$C$22,RIGHT(LEFT($D118,3),2))</f>
        <v>0</v>
      </c>
      <c r="AV118" s="13"/>
    </row>
    <row r="119" spans="1:48">
      <c r="A119" s="45" t="str">
        <f>A$5&amp;"-"&amp;A$11&amp;"-"&amp;"Process Heating"&amp;" - "&amp;VLOOKUP(RIGHT(C119,3),NameConv!$E$4:$G$20,2,FALSE)&amp;" - Existing"</f>
        <v>Industry-Ferro Alloys-Process Heating -  - Existing</v>
      </c>
      <c r="B119" s="45" t="str">
        <f t="shared" si="59"/>
        <v>IFASELC-E</v>
      </c>
      <c r="C119" s="46" t="str">
        <f>$P$10</f>
        <v>IMIELC</v>
      </c>
      <c r="D119" s="46" t="str">
        <f t="shared" si="60"/>
        <v>IFAS</v>
      </c>
      <c r="E119" s="58">
        <v>1</v>
      </c>
      <c r="F119" s="60">
        <f>SUMIF(AFA!$C$3:$L$3,RIGHT(D119,1),AFA!$C$4:$L$4)</f>
        <v>0.15426999999999999</v>
      </c>
      <c r="G119" s="59">
        <v>100</v>
      </c>
      <c r="H119" s="60">
        <f t="shared" si="61"/>
        <v>0</v>
      </c>
      <c r="J119" s="61">
        <v>1</v>
      </c>
      <c r="K119" s="60">
        <f>J119*INDEX($C$70:$J$70,MATCH($B103,$C$60:$J$60,0))</f>
        <v>0</v>
      </c>
      <c r="L119" s="60">
        <f t="shared" si="62"/>
        <v>0</v>
      </c>
      <c r="P119" s="78">
        <f t="shared" si="63"/>
        <v>0</v>
      </c>
      <c r="Q119" s="77" t="e">
        <f>'IND2017'!#REF!</f>
        <v>#REF!</v>
      </c>
      <c r="R119" s="77">
        <f t="shared" si="64"/>
        <v>0.5</v>
      </c>
      <c r="S119" s="77">
        <f t="shared" si="65"/>
        <v>1</v>
      </c>
      <c r="T119" s="77">
        <f t="shared" si="65"/>
        <v>1</v>
      </c>
      <c r="V119" s="76">
        <f t="shared" si="66"/>
        <v>0</v>
      </c>
      <c r="W119" s="77" t="e">
        <f t="shared" si="67"/>
        <v>#REF!</v>
      </c>
      <c r="X119" s="77" t="e">
        <f t="shared" si="67"/>
        <v>#REF!</v>
      </c>
      <c r="Y119" s="77" t="e">
        <f t="shared" si="67"/>
        <v>#REF!</v>
      </c>
      <c r="AA119" s="76">
        <f t="shared" si="68"/>
        <v>1</v>
      </c>
      <c r="AB119" s="77">
        <f t="shared" si="69"/>
        <v>1</v>
      </c>
      <c r="AC119" s="77">
        <f t="shared" si="69"/>
        <v>1</v>
      </c>
      <c r="AD119" s="77">
        <f t="shared" si="69"/>
        <v>1</v>
      </c>
      <c r="AE119" s="77">
        <f t="shared" si="69"/>
        <v>1</v>
      </c>
      <c r="AF119" s="77">
        <f t="shared" si="69"/>
        <v>1</v>
      </c>
      <c r="AG119" s="77">
        <f t="shared" si="69"/>
        <v>1</v>
      </c>
      <c r="AI119">
        <f t="shared" si="39"/>
        <v>38</v>
      </c>
      <c r="AK119">
        <f>SUMIFS('PAMS central control panel'!$D$14:$D$22,'PAMS central control panel'!$C$14:$C$22,RIGHT(LEFT($D119,3),2))</f>
        <v>0</v>
      </c>
      <c r="AV119" s="13"/>
    </row>
    <row r="120" spans="1:48">
      <c r="A120" s="45" t="str">
        <f>A$5&amp;"-"&amp;A$11&amp;"-"&amp;"Process Heating"&amp;" - "&amp;VLOOKUP(RIGHT(C120,3),NameConv!$E$4:$G$20,2,FALSE)&amp;" - Existing"</f>
        <v>Industry-Ferro Alloys-Process Heating -  - Existing</v>
      </c>
      <c r="B120" s="45" t="str">
        <f t="shared" si="59"/>
        <v>IFASWAS-E</v>
      </c>
      <c r="C120" s="46" t="str">
        <f>$L$6</f>
        <v>INDWAS</v>
      </c>
      <c r="D120" s="46" t="str">
        <f t="shared" si="60"/>
        <v>IFAS</v>
      </c>
      <c r="E120" s="58">
        <v>1</v>
      </c>
      <c r="F120" s="60">
        <f>SUMIF(AFA!$C$3:$L$3,RIGHT(D120,1),AFA!$C$4:$L$4)</f>
        <v>0.15426999999999999</v>
      </c>
      <c r="G120" s="59">
        <v>100</v>
      </c>
      <c r="H120" s="60">
        <f t="shared" si="61"/>
        <v>0</v>
      </c>
      <c r="J120" s="61">
        <v>1</v>
      </c>
      <c r="K120" s="60">
        <f>J120*INDEX($C$10:$L$19,MATCH($B$103,$B$10:$B$19,0),MATCH($B$6&amp;RIGHT(C120,3),$C$6:$L$6,0))</f>
        <v>0</v>
      </c>
      <c r="L120" s="60">
        <f t="shared" si="62"/>
        <v>0</v>
      </c>
      <c r="P120" s="78">
        <f t="shared" si="63"/>
        <v>0</v>
      </c>
      <c r="Q120" s="77" t="e">
        <f>'IND2017'!#REF!</f>
        <v>#REF!</v>
      </c>
      <c r="R120" s="77">
        <f t="shared" si="64"/>
        <v>0.5</v>
      </c>
      <c r="S120" s="77">
        <f t="shared" si="65"/>
        <v>1</v>
      </c>
      <c r="T120" s="77">
        <f t="shared" si="65"/>
        <v>1</v>
      </c>
      <c r="V120" s="76">
        <f t="shared" si="66"/>
        <v>0</v>
      </c>
      <c r="W120" s="77" t="e">
        <f t="shared" si="67"/>
        <v>#REF!</v>
      </c>
      <c r="X120" s="77" t="e">
        <f t="shared" si="67"/>
        <v>#REF!</v>
      </c>
      <c r="Y120" s="77" t="e">
        <f t="shared" si="67"/>
        <v>#REF!</v>
      </c>
      <c r="AA120" s="76">
        <f t="shared" si="68"/>
        <v>1</v>
      </c>
      <c r="AB120" s="77">
        <f t="shared" si="69"/>
        <v>1</v>
      </c>
      <c r="AC120" s="77">
        <f t="shared" si="69"/>
        <v>1</v>
      </c>
      <c r="AD120" s="77">
        <f t="shared" si="69"/>
        <v>1</v>
      </c>
      <c r="AE120" s="77">
        <f t="shared" si="69"/>
        <v>1</v>
      </c>
      <c r="AF120" s="77">
        <f t="shared" si="69"/>
        <v>1</v>
      </c>
      <c r="AG120" s="77">
        <f t="shared" si="69"/>
        <v>1</v>
      </c>
      <c r="AI120">
        <f t="shared" si="39"/>
        <v>39</v>
      </c>
      <c r="AK120">
        <f>SUMIFS('PAMS central control panel'!$D$14:$D$22,'PAMS central control panel'!$C$14:$C$22,RIGHT(LEFT($D120,3),2))</f>
        <v>0</v>
      </c>
      <c r="AV120" s="13"/>
    </row>
    <row r="121" spans="1:48">
      <c r="A121" s="45" t="str">
        <f>"\I:"&amp;A42</f>
        <v>\I:Transport</v>
      </c>
      <c r="B121" s="45"/>
      <c r="C121" s="46"/>
      <c r="D121" s="46"/>
      <c r="E121" s="58"/>
      <c r="F121" s="60">
        <f>SUMIF(AFA!$C$3:$L$3,RIGHT(D121,1),AFA!$C$4:$L$4)</f>
        <v>0</v>
      </c>
      <c r="G121" s="59"/>
      <c r="H121" s="60"/>
      <c r="J121" s="61"/>
      <c r="K121" s="60"/>
      <c r="L121" s="60">
        <f t="shared" si="62"/>
        <v>0</v>
      </c>
      <c r="P121" s="78"/>
      <c r="Q121" s="77"/>
      <c r="R121" s="77"/>
      <c r="S121" s="77"/>
      <c r="T121" s="77"/>
      <c r="V121" s="74" t="str">
        <f>""</f>
        <v/>
      </c>
      <c r="AA121" s="74" t="str">
        <f>""</f>
        <v/>
      </c>
      <c r="AB121" s="77"/>
      <c r="AC121" s="77"/>
      <c r="AD121" s="77"/>
      <c r="AE121" s="77"/>
      <c r="AF121" s="77"/>
      <c r="AG121" s="77"/>
      <c r="AI121">
        <f t="shared" si="39"/>
        <v>40</v>
      </c>
      <c r="AK121">
        <f>SUMIFS('PAMS central control panel'!$D$14:$D$22,'PAMS central control panel'!$C$14:$C$22,RIGHT(LEFT($D121,3),2))</f>
        <v>0</v>
      </c>
      <c r="AV121" s="13"/>
    </row>
    <row r="122" spans="1:48">
      <c r="A122" s="45" t="str">
        <f>A$5&amp;"-"&amp;A$11&amp;"-"&amp;A$42&amp;" - "&amp;VLOOKUP(RIGHT(C122,3),NameConv!$E$4:$G$20,2,FALSE)&amp;" - Existing"</f>
        <v>Industry-Ferro Alloys-Transport -  - Existing</v>
      </c>
      <c r="B122" s="45" t="str">
        <f>D122&amp;RIGHT(C122,3)&amp;"-E"</f>
        <v>IFARODS-E</v>
      </c>
      <c r="C122" s="46" t="str">
        <f>+$E$6</f>
        <v>INDODS</v>
      </c>
      <c r="D122" s="46" t="str">
        <f>$B$5&amp;RIGHT($B$103,2)&amp;$B$42</f>
        <v>IFAR</v>
      </c>
      <c r="E122" s="58">
        <v>1</v>
      </c>
      <c r="F122" s="60">
        <v>1</v>
      </c>
      <c r="G122" s="59">
        <v>100</v>
      </c>
      <c r="H122" s="60">
        <f>L122/F122</f>
        <v>0</v>
      </c>
      <c r="J122" s="61">
        <v>1</v>
      </c>
      <c r="K122" s="60">
        <f>J122*SUMIF($C$6:$K$6,C122,$C$11:$K$11)</f>
        <v>0</v>
      </c>
      <c r="L122" s="60">
        <f t="shared" si="62"/>
        <v>0</v>
      </c>
      <c r="P122" s="78" t="e">
        <f>L122/(SUMIF($D$81:$D$268,$D122,$L$81:$L$268)+$P$77)</f>
        <v>#DIV/0!</v>
      </c>
      <c r="Q122" s="77" t="e">
        <f>MIN(1,$P122+Q$75)</f>
        <v>#DIV/0!</v>
      </c>
      <c r="R122" s="77" t="e">
        <f>MIN(1,$P122+R$75)</f>
        <v>#DIV/0!</v>
      </c>
      <c r="S122" s="77" t="e">
        <f>MIN(1,$P122+S$75)</f>
        <v>#DIV/0!</v>
      </c>
      <c r="T122" s="77" t="e">
        <f>MIN(1,$P122+T$75)</f>
        <v>#DIV/0!</v>
      </c>
      <c r="V122" s="76" t="e">
        <f>P122</f>
        <v>#DIV/0!</v>
      </c>
      <c r="W122" s="77" t="e">
        <f>$V122*W$75</f>
        <v>#DIV/0!</v>
      </c>
      <c r="X122" s="77" t="e">
        <f>$V122*X$75</f>
        <v>#DIV/0!</v>
      </c>
      <c r="Y122" s="77" t="e">
        <f>$V122*Y$75</f>
        <v>#DIV/0!</v>
      </c>
      <c r="AA122" s="76">
        <f>E122</f>
        <v>1</v>
      </c>
      <c r="AB122" s="77">
        <f t="shared" ref="AB122:AG122" si="70">$AA122/(1-(SUMIF($B$61:$B$70,RIGHT($D122,1),AB$61:AB$70)*$AK122))</f>
        <v>1</v>
      </c>
      <c r="AC122" s="77">
        <f t="shared" si="70"/>
        <v>1</v>
      </c>
      <c r="AD122" s="77">
        <f t="shared" si="70"/>
        <v>1</v>
      </c>
      <c r="AE122" s="77">
        <f t="shared" si="70"/>
        <v>1</v>
      </c>
      <c r="AF122" s="77">
        <f t="shared" si="70"/>
        <v>1</v>
      </c>
      <c r="AG122" s="77">
        <f t="shared" si="70"/>
        <v>1</v>
      </c>
      <c r="AI122">
        <f t="shared" si="39"/>
        <v>41</v>
      </c>
      <c r="AK122">
        <f>SUMIFS('PAMS central control panel'!$D$14:$D$22,'PAMS central control panel'!$C$14:$C$22,RIGHT(LEFT($D122,3),2))</f>
        <v>0</v>
      </c>
      <c r="AV122" s="13"/>
    </row>
    <row r="123" spans="1:48" ht="51.95" customHeight="1" thickBot="1">
      <c r="A123" s="244" t="s">
        <v>438</v>
      </c>
      <c r="B123" s="252" t="s">
        <v>439</v>
      </c>
      <c r="C123" s="252" t="s">
        <v>440</v>
      </c>
      <c r="D123" s="252" t="s">
        <v>441</v>
      </c>
      <c r="E123" s="252" t="s">
        <v>442</v>
      </c>
      <c r="F123" s="252" t="s">
        <v>443</v>
      </c>
      <c r="G123" s="252" t="s">
        <v>444</v>
      </c>
      <c r="H123" s="252" t="s">
        <v>445</v>
      </c>
      <c r="J123" s="252" t="s">
        <v>446</v>
      </c>
      <c r="K123" s="252" t="s">
        <v>447</v>
      </c>
      <c r="L123" s="252" t="s">
        <v>448</v>
      </c>
      <c r="M123" s="252" t="s">
        <v>449</v>
      </c>
      <c r="N123" s="252" t="s">
        <v>450</v>
      </c>
      <c r="O123" s="2"/>
      <c r="P123" s="74" t="str">
        <f>""</f>
        <v/>
      </c>
      <c r="V123" s="74" t="str">
        <f>""</f>
        <v/>
      </c>
      <c r="AA123" s="74" t="str">
        <f>""</f>
        <v/>
      </c>
      <c r="AI123">
        <f t="shared" si="39"/>
        <v>42</v>
      </c>
      <c r="AK123">
        <f>SUMIFS('PAMS central control panel'!$D$14:$D$22,'PAMS central control panel'!$C$14:$C$22,RIGHT(LEFT($D123,3),2))</f>
        <v>0</v>
      </c>
      <c r="AV123" s="13"/>
    </row>
    <row r="124" spans="1:48">
      <c r="A124" s="12" t="s">
        <v>457</v>
      </c>
      <c r="B124" s="69" t="str">
        <f>+B12</f>
        <v>IS</v>
      </c>
      <c r="C124" s="54"/>
      <c r="D124" s="54"/>
      <c r="E124" s="55" t="s">
        <v>458</v>
      </c>
      <c r="F124" s="55" t="s">
        <v>459</v>
      </c>
      <c r="G124" s="30" t="s">
        <v>460</v>
      </c>
      <c r="H124" s="31" t="s">
        <v>461</v>
      </c>
      <c r="J124" s="30" t="s">
        <v>462</v>
      </c>
      <c r="K124" s="30" t="s">
        <v>463</v>
      </c>
      <c r="L124" s="30" t="s">
        <v>463</v>
      </c>
      <c r="M124" s="2"/>
      <c r="N124" s="2"/>
      <c r="O124" s="2"/>
      <c r="P124" s="74" t="str">
        <f>""</f>
        <v/>
      </c>
      <c r="V124" s="74" t="str">
        <f>""</f>
        <v/>
      </c>
      <c r="AA124" s="74" t="str">
        <f>""</f>
        <v/>
      </c>
      <c r="AI124">
        <f t="shared" si="39"/>
        <v>43</v>
      </c>
      <c r="AK124">
        <f>SUMIFS('PAMS central control panel'!$D$14:$D$22,'PAMS central control panel'!$C$14:$C$22,RIGHT(LEFT($D124,3),2))</f>
        <v>0</v>
      </c>
      <c r="AV124" s="13"/>
    </row>
    <row r="125" spans="1:48">
      <c r="A125" s="12" t="s">
        <v>465</v>
      </c>
      <c r="B125" s="45"/>
      <c r="C125" s="56">
        <v>1</v>
      </c>
      <c r="D125" s="56">
        <f>C125+1</f>
        <v>2</v>
      </c>
      <c r="E125" s="56">
        <f>D125+1</f>
        <v>3</v>
      </c>
      <c r="F125" s="56">
        <f>E125+1</f>
        <v>4</v>
      </c>
      <c r="G125" s="56">
        <f>F125+1</f>
        <v>5</v>
      </c>
      <c r="H125" s="56">
        <f>G125+1</f>
        <v>6</v>
      </c>
      <c r="J125" s="57"/>
      <c r="K125" s="43"/>
      <c r="L125" s="43"/>
      <c r="M125" s="2"/>
      <c r="N125" s="2"/>
      <c r="O125" s="2"/>
      <c r="P125" s="74" t="str">
        <f>""</f>
        <v/>
      </c>
      <c r="V125" s="74" t="str">
        <f>""</f>
        <v/>
      </c>
      <c r="AA125" s="74" t="str">
        <f>""</f>
        <v/>
      </c>
      <c r="AI125">
        <f t="shared" si="39"/>
        <v>44</v>
      </c>
      <c r="AK125">
        <f>SUMIFS('PAMS central control panel'!$D$14:$D$22,'PAMS central control panel'!$C$14:$C$22,RIGHT(LEFT($D125,3),2))</f>
        <v>0</v>
      </c>
      <c r="AV125" s="13"/>
    </row>
    <row r="126" spans="1:48">
      <c r="A126" s="45" t="str">
        <f t="shared" ref="A126:A134" si="71">A$5&amp;"-"&amp;A$12&amp;"-"&amp;A31&amp;" - Electricity"</f>
        <v>Industry-Iron &amp; Steel-Elec Heating - Electricity</v>
      </c>
      <c r="B126" s="45" t="str">
        <f>D126&amp;RIGHT(C126,3)&amp;"-E"</f>
        <v>IISKELC-E</v>
      </c>
      <c r="C126" s="46" t="str">
        <f t="shared" ref="C126:C134" si="72">$P$12</f>
        <v>IISELC</v>
      </c>
      <c r="D126" s="46" t="str">
        <f>$B$5&amp;RIGHT($B124,2)&amp;$B$61</f>
        <v>IISK</v>
      </c>
      <c r="E126" s="58">
        <v>1</v>
      </c>
      <c r="F126" s="60">
        <f>SUMIF(AFA!$C$3:$L$3,RIGHT(D126,1),AFA!$C$4:$L$4)</f>
        <v>0.11433</v>
      </c>
      <c r="G126" s="59">
        <v>100</v>
      </c>
      <c r="H126" s="60">
        <f>L126/F126</f>
        <v>154.93038231565234</v>
      </c>
      <c r="J126" s="61">
        <v>1</v>
      </c>
      <c r="K126" s="60">
        <f t="shared" ref="K126:K134" si="73">J126*SUMIF($C$60:$K$60,$B$124,$C61:$K61)</f>
        <v>17.802201618239732</v>
      </c>
      <c r="L126" s="60">
        <f t="shared" ref="L126:L134" si="74">K126*E126*(1-$L$77)</f>
        <v>17.713190610148533</v>
      </c>
      <c r="M126" s="2"/>
      <c r="N126" s="2">
        <v>1</v>
      </c>
      <c r="O126" s="2"/>
      <c r="P126" s="74" t="str">
        <f>""</f>
        <v/>
      </c>
      <c r="V126" s="74" t="str">
        <f>""</f>
        <v/>
      </c>
      <c r="AA126" s="76">
        <f t="shared" ref="AA126:AA134" si="75">E126</f>
        <v>1</v>
      </c>
      <c r="AB126" s="77">
        <f t="shared" ref="AB126:AG134" si="76">$AA126/(1-(SUMIF($B$61:$B$70,RIGHT($D126,1),AB$61:AB$70)*$AK126))</f>
        <v>1</v>
      </c>
      <c r="AC126" s="77">
        <f t="shared" si="76"/>
        <v>1</v>
      </c>
      <c r="AD126" s="77">
        <f t="shared" si="76"/>
        <v>1</v>
      </c>
      <c r="AE126" s="77">
        <f t="shared" si="76"/>
        <v>1</v>
      </c>
      <c r="AF126" s="77">
        <f t="shared" si="76"/>
        <v>1</v>
      </c>
      <c r="AG126" s="77">
        <f t="shared" si="76"/>
        <v>1</v>
      </c>
      <c r="AI126">
        <f t="shared" si="39"/>
        <v>45</v>
      </c>
      <c r="AK126">
        <f>SUMIFS('PAMS central control panel'!$D$14:$D$22,'PAMS central control panel'!$C$14:$C$22,RIGHT(LEFT($D126,3),2))</f>
        <v>0</v>
      </c>
      <c r="AV126" s="13"/>
    </row>
    <row r="127" spans="1:48">
      <c r="A127" s="45" t="str">
        <f t="shared" si="71"/>
        <v>Industry-Iron &amp; Steel-Compressed air - Electricity</v>
      </c>
      <c r="B127" s="45" t="str">
        <f>D127&amp;RIGHT(C127,3)&amp;"-E"</f>
        <v>IISAELC-E</v>
      </c>
      <c r="C127" s="46" t="str">
        <f t="shared" si="72"/>
        <v>IISELC</v>
      </c>
      <c r="D127" s="46" t="str">
        <f>$B$5&amp;RIGHT($B124,2)&amp;$B$62</f>
        <v>IISA</v>
      </c>
      <c r="E127" s="58">
        <v>0.05</v>
      </c>
      <c r="F127" s="60">
        <f>SUMIF(AFA!$C$3:$L$3,RIGHT(D127,1),AFA!$C$4:$L$4)</f>
        <v>0.11584999999999999</v>
      </c>
      <c r="G127" s="59">
        <v>100</v>
      </c>
      <c r="H127" s="60">
        <f t="shared" ref="H127:H134" si="77">L127/F127</f>
        <v>0.95561019692212645</v>
      </c>
      <c r="J127" s="61">
        <v>1</v>
      </c>
      <c r="K127" s="60">
        <f t="shared" si="73"/>
        <v>2.2252752022799664</v>
      </c>
      <c r="L127" s="60">
        <f t="shared" si="74"/>
        <v>0.11070744131342834</v>
      </c>
      <c r="N127" s="2"/>
      <c r="P127" s="74" t="str">
        <f>""</f>
        <v/>
      </c>
      <c r="V127" s="74" t="str">
        <f>""</f>
        <v/>
      </c>
      <c r="AA127" s="76">
        <f t="shared" si="75"/>
        <v>0.05</v>
      </c>
      <c r="AB127" s="77">
        <f t="shared" si="76"/>
        <v>0.05</v>
      </c>
      <c r="AC127" s="77">
        <f t="shared" si="76"/>
        <v>0.05</v>
      </c>
      <c r="AD127" s="77">
        <f t="shared" si="76"/>
        <v>0.05</v>
      </c>
      <c r="AE127" s="77">
        <f t="shared" si="76"/>
        <v>0.05</v>
      </c>
      <c r="AF127" s="77">
        <f t="shared" si="76"/>
        <v>0.05</v>
      </c>
      <c r="AG127" s="77">
        <f t="shared" si="76"/>
        <v>0.05</v>
      </c>
      <c r="AI127">
        <f t="shared" si="39"/>
        <v>46</v>
      </c>
      <c r="AK127">
        <f>SUMIFS('PAMS central control panel'!$D$14:$D$22,'PAMS central control panel'!$C$14:$C$22,RIGHT(LEFT($D127,3),2))</f>
        <v>0</v>
      </c>
      <c r="AV127" s="13"/>
    </row>
    <row r="128" spans="1:48">
      <c r="A128" s="45" t="str">
        <f t="shared" si="71"/>
        <v>Industry-Iron &amp; Steel-Lighting - Electricity</v>
      </c>
      <c r="B128" s="45" t="str">
        <f t="shared" ref="B128:B134" si="78">D128&amp;RIGHT(C128,3)&amp;"-E"</f>
        <v>IISLELC-E</v>
      </c>
      <c r="C128" s="46" t="str">
        <f t="shared" si="72"/>
        <v>IISELC</v>
      </c>
      <c r="D128" s="46" t="str">
        <f>$B$5&amp;RIGHT($B124,2)&amp;$B$63</f>
        <v>IISL</v>
      </c>
      <c r="E128" s="58">
        <v>0.3</v>
      </c>
      <c r="F128" s="60">
        <f>SUMIF(AFA!$C$3:$L$3,RIGHT(D128,1),AFA!$C$4:$L$4)</f>
        <v>0.12454999999999999</v>
      </c>
      <c r="G128" s="59">
        <v>100</v>
      </c>
      <c r="H128" s="60">
        <f t="shared" si="77"/>
        <v>3.7332095826286551</v>
      </c>
      <c r="J128" s="61">
        <v>1</v>
      </c>
      <c r="K128" s="60">
        <f t="shared" si="73"/>
        <v>1.5576926415959764</v>
      </c>
      <c r="L128" s="60">
        <f t="shared" si="74"/>
        <v>0.46497125351639895</v>
      </c>
      <c r="N128" s="2"/>
      <c r="P128" s="74" t="str">
        <f>""</f>
        <v/>
      </c>
      <c r="V128" s="74" t="str">
        <f>""</f>
        <v/>
      </c>
      <c r="AA128" s="76">
        <f t="shared" si="75"/>
        <v>0.3</v>
      </c>
      <c r="AB128" s="77">
        <f t="shared" si="76"/>
        <v>0.3</v>
      </c>
      <c r="AC128" s="77">
        <f t="shared" si="76"/>
        <v>0.3</v>
      </c>
      <c r="AD128" s="77">
        <f t="shared" si="76"/>
        <v>0.3</v>
      </c>
      <c r="AE128" s="77">
        <f t="shared" si="76"/>
        <v>0.3</v>
      </c>
      <c r="AF128" s="77">
        <f t="shared" si="76"/>
        <v>0.3</v>
      </c>
      <c r="AG128" s="77">
        <f t="shared" si="76"/>
        <v>0.3</v>
      </c>
      <c r="AI128">
        <f t="shared" si="39"/>
        <v>47</v>
      </c>
      <c r="AK128">
        <f>SUMIFS('PAMS central control panel'!$D$14:$D$22,'PAMS central control panel'!$C$14:$C$22,RIGHT(LEFT($D128,3),2))</f>
        <v>0</v>
      </c>
      <c r="AV128" s="13"/>
    </row>
    <row r="129" spans="1:48">
      <c r="A129" s="45" t="str">
        <f t="shared" si="71"/>
        <v>Industry-Iron &amp; Steel-Cooling - Electricity</v>
      </c>
      <c r="B129" s="45" t="str">
        <f t="shared" si="78"/>
        <v>IISCELC-E</v>
      </c>
      <c r="C129" s="46" t="str">
        <f t="shared" si="72"/>
        <v>IISELC</v>
      </c>
      <c r="D129" s="46" t="str">
        <f>$B$5&amp;RIGHT($B124,2)&amp;$B$64</f>
        <v>IISC</v>
      </c>
      <c r="E129" s="58">
        <v>2</v>
      </c>
      <c r="F129" s="60">
        <f>SUMIF(AFA!$C$3:$L$3,RIGHT(D129,1),AFA!$C$4:$L$4)</f>
        <v>0.12956000000000001</v>
      </c>
      <c r="G129" s="59">
        <v>100</v>
      </c>
      <c r="H129" s="60">
        <f t="shared" si="77"/>
        <v>6.8359025201252432</v>
      </c>
      <c r="J129" s="61">
        <v>1</v>
      </c>
      <c r="K129" s="60">
        <f t="shared" si="73"/>
        <v>0.44505504045599326</v>
      </c>
      <c r="L129" s="60">
        <f t="shared" si="74"/>
        <v>0.88565953050742663</v>
      </c>
      <c r="N129" s="2"/>
      <c r="P129" s="74" t="str">
        <f>""</f>
        <v/>
      </c>
      <c r="V129" s="74" t="str">
        <f>""</f>
        <v/>
      </c>
      <c r="AA129" s="76">
        <f t="shared" si="75"/>
        <v>2</v>
      </c>
      <c r="AB129" s="77">
        <f t="shared" si="76"/>
        <v>2</v>
      </c>
      <c r="AC129" s="77">
        <f t="shared" si="76"/>
        <v>2</v>
      </c>
      <c r="AD129" s="77">
        <f t="shared" si="76"/>
        <v>2</v>
      </c>
      <c r="AE129" s="77">
        <f t="shared" si="76"/>
        <v>2</v>
      </c>
      <c r="AF129" s="77">
        <f t="shared" si="76"/>
        <v>2</v>
      </c>
      <c r="AG129" s="77">
        <f t="shared" si="76"/>
        <v>2</v>
      </c>
      <c r="AI129">
        <f t="shared" si="39"/>
        <v>48</v>
      </c>
      <c r="AK129">
        <f>SUMIFS('PAMS central control panel'!$D$14:$D$22,'PAMS central control panel'!$C$14:$C$22,RIGHT(LEFT($D129,3),2))</f>
        <v>0</v>
      </c>
      <c r="AV129" s="13"/>
    </row>
    <row r="130" spans="1:48">
      <c r="A130" s="45" t="str">
        <f t="shared" si="71"/>
        <v>Industry-Iron &amp; Steel-HVAC - Electricity</v>
      </c>
      <c r="B130" s="45" t="str">
        <f t="shared" si="78"/>
        <v>IISHELC-E</v>
      </c>
      <c r="C130" s="46" t="str">
        <f t="shared" si="72"/>
        <v>IISELC</v>
      </c>
      <c r="D130" s="46" t="str">
        <f>$B$5&amp;RIGHT($B124,2)&amp;$B$65</f>
        <v>IISH</v>
      </c>
      <c r="E130" s="58">
        <v>0.9</v>
      </c>
      <c r="F130" s="60">
        <f>SUMIF(AFA!$C$3:$L$3,RIGHT(D130,1),AFA!$C$4:$L$4)</f>
        <v>0.13161</v>
      </c>
      <c r="G130" s="59">
        <v>100</v>
      </c>
      <c r="H130" s="60">
        <f t="shared" si="77"/>
        <v>6.0564818589520844</v>
      </c>
      <c r="J130" s="61">
        <v>1</v>
      </c>
      <c r="K130" s="60">
        <f t="shared" si="73"/>
        <v>0.89011008091198651</v>
      </c>
      <c r="L130" s="60">
        <f t="shared" si="74"/>
        <v>0.79709357745668385</v>
      </c>
      <c r="N130" s="2"/>
      <c r="P130" s="74" t="str">
        <f>""</f>
        <v/>
      </c>
      <c r="V130" s="74" t="str">
        <f>""</f>
        <v/>
      </c>
      <c r="AA130" s="76">
        <f t="shared" si="75"/>
        <v>0.9</v>
      </c>
      <c r="AB130" s="77">
        <f t="shared" si="76"/>
        <v>0.9</v>
      </c>
      <c r="AC130" s="77">
        <f t="shared" si="76"/>
        <v>0.9</v>
      </c>
      <c r="AD130" s="77">
        <f t="shared" si="76"/>
        <v>0.9</v>
      </c>
      <c r="AE130" s="77">
        <f t="shared" si="76"/>
        <v>0.9</v>
      </c>
      <c r="AF130" s="77">
        <f t="shared" si="76"/>
        <v>0.9</v>
      </c>
      <c r="AG130" s="77">
        <f t="shared" si="76"/>
        <v>0.9</v>
      </c>
      <c r="AI130">
        <f t="shared" si="39"/>
        <v>49</v>
      </c>
      <c r="AK130">
        <f>SUMIFS('PAMS central control panel'!$D$14:$D$22,'PAMS central control panel'!$C$14:$C$22,RIGHT(LEFT($D130,3),2))</f>
        <v>0</v>
      </c>
      <c r="AV130" s="13"/>
    </row>
    <row r="131" spans="1:48">
      <c r="A131" s="45" t="str">
        <f t="shared" si="71"/>
        <v>Industry-Iron &amp; Steel-Pumping - Electricity</v>
      </c>
      <c r="B131" s="45" t="str">
        <f t="shared" si="78"/>
        <v>IISPELC-E</v>
      </c>
      <c r="C131" s="46" t="str">
        <f t="shared" si="72"/>
        <v>IISELC</v>
      </c>
      <c r="D131" s="46" t="str">
        <f>$B$5&amp;RIGHT($B124,2)&amp;$B$66</f>
        <v>IISP</v>
      </c>
      <c r="E131" s="58">
        <v>0.8</v>
      </c>
      <c r="F131" s="60">
        <f>SUMIF(AFA!$C$3:$L$3,RIGHT(D131,1),AFA!$C$4:$L$4)</f>
        <v>0.12116</v>
      </c>
      <c r="G131" s="59">
        <v>100</v>
      </c>
      <c r="H131" s="60">
        <f t="shared" si="77"/>
        <v>7.3098343554591176</v>
      </c>
      <c r="J131" s="61">
        <v>1</v>
      </c>
      <c r="K131" s="60">
        <f t="shared" si="73"/>
        <v>1.1126376011399832</v>
      </c>
      <c r="L131" s="60">
        <f t="shared" si="74"/>
        <v>0.88565953050742674</v>
      </c>
      <c r="N131" s="2"/>
      <c r="P131" s="74" t="str">
        <f>""</f>
        <v/>
      </c>
      <c r="V131" s="74" t="str">
        <f>""</f>
        <v/>
      </c>
      <c r="AA131" s="76">
        <f t="shared" si="75"/>
        <v>0.8</v>
      </c>
      <c r="AB131" s="77">
        <f t="shared" si="76"/>
        <v>0.8</v>
      </c>
      <c r="AC131" s="77">
        <f t="shared" si="76"/>
        <v>0.8</v>
      </c>
      <c r="AD131" s="77">
        <f t="shared" si="76"/>
        <v>0.8</v>
      </c>
      <c r="AE131" s="77">
        <f t="shared" si="76"/>
        <v>0.8</v>
      </c>
      <c r="AF131" s="77">
        <f t="shared" si="76"/>
        <v>0.8</v>
      </c>
      <c r="AG131" s="77">
        <f t="shared" si="76"/>
        <v>0.8</v>
      </c>
      <c r="AI131">
        <f t="shared" si="39"/>
        <v>50</v>
      </c>
      <c r="AK131">
        <f>SUMIFS('PAMS central control panel'!$D$14:$D$22,'PAMS central control panel'!$C$14:$C$22,RIGHT(LEFT($D131,3),2))</f>
        <v>0</v>
      </c>
      <c r="AV131" s="13"/>
    </row>
    <row r="132" spans="1:48">
      <c r="A132" s="45" t="str">
        <f t="shared" si="71"/>
        <v>Industry-Iron &amp; Steel-Fans - Electricity</v>
      </c>
      <c r="B132" s="45" t="str">
        <f t="shared" si="78"/>
        <v>IISFELC-E</v>
      </c>
      <c r="C132" s="46" t="str">
        <f t="shared" si="72"/>
        <v>IISELC</v>
      </c>
      <c r="D132" s="46" t="str">
        <f>$B$5&amp;RIGHT($B124,2)&amp;$B$67</f>
        <v>IISF</v>
      </c>
      <c r="E132" s="58">
        <v>0.8</v>
      </c>
      <c r="F132" s="60">
        <f>SUMIF(AFA!$C$3:$L$3,RIGHT(D132,1),AFA!$C$4:$L$4)</f>
        <v>0.10936999999999999</v>
      </c>
      <c r="G132" s="59">
        <v>100</v>
      </c>
      <c r="H132" s="60">
        <f t="shared" si="77"/>
        <v>14.576091751973738</v>
      </c>
      <c r="J132" s="61">
        <v>1</v>
      </c>
      <c r="K132" s="60">
        <f t="shared" si="73"/>
        <v>2.0027476820519694</v>
      </c>
      <c r="L132" s="60">
        <f t="shared" si="74"/>
        <v>1.5941871549133677</v>
      </c>
      <c r="N132" s="2"/>
      <c r="P132" s="74" t="str">
        <f>""</f>
        <v/>
      </c>
      <c r="V132" s="74" t="str">
        <f>""</f>
        <v/>
      </c>
      <c r="AA132" s="76">
        <f t="shared" si="75"/>
        <v>0.8</v>
      </c>
      <c r="AB132" s="77">
        <f t="shared" si="76"/>
        <v>0.8</v>
      </c>
      <c r="AC132" s="77">
        <f t="shared" si="76"/>
        <v>0.8</v>
      </c>
      <c r="AD132" s="77">
        <f t="shared" si="76"/>
        <v>0.8</v>
      </c>
      <c r="AE132" s="77">
        <f t="shared" si="76"/>
        <v>0.8</v>
      </c>
      <c r="AF132" s="77">
        <f t="shared" si="76"/>
        <v>0.8</v>
      </c>
      <c r="AG132" s="77">
        <f t="shared" si="76"/>
        <v>0.8</v>
      </c>
      <c r="AI132">
        <f t="shared" si="39"/>
        <v>51</v>
      </c>
      <c r="AK132">
        <f>SUMIFS('PAMS central control panel'!$D$14:$D$22,'PAMS central control panel'!$C$14:$C$22,RIGHT(LEFT($D132,3),2))</f>
        <v>0</v>
      </c>
      <c r="AV132" s="13"/>
    </row>
    <row r="133" spans="1:48">
      <c r="A133" s="45" t="str">
        <f t="shared" si="71"/>
        <v>Industry-Iron &amp; Steel-Other motive - Electricity</v>
      </c>
      <c r="B133" s="45" t="str">
        <f t="shared" si="78"/>
        <v>IISOELC-E</v>
      </c>
      <c r="C133" s="46" t="str">
        <f t="shared" si="72"/>
        <v>IISELC</v>
      </c>
      <c r="D133" s="46" t="str">
        <f>$B$5&amp;RIGHT($B124,2)&amp;$B$68</f>
        <v>IISO</v>
      </c>
      <c r="E133" s="58">
        <v>0.8</v>
      </c>
      <c r="F133" s="60">
        <f>SUMIF(AFA!$C$3:$L$3,RIGHT(D133,1),AFA!$C$4:$L$4)</f>
        <v>0.13081999999999999</v>
      </c>
      <c r="G133" s="59">
        <v>100</v>
      </c>
      <c r="H133" s="60">
        <f t="shared" si="77"/>
        <v>112.38303169563737</v>
      </c>
      <c r="J133" s="61">
        <v>1</v>
      </c>
      <c r="K133" s="60">
        <f t="shared" si="73"/>
        <v>18.469784178923717</v>
      </c>
      <c r="L133" s="60">
        <f t="shared" si="74"/>
        <v>14.70194820642328</v>
      </c>
      <c r="N133" s="2"/>
      <c r="P133" s="74" t="str">
        <f>""</f>
        <v/>
      </c>
      <c r="V133" s="74" t="str">
        <f>""</f>
        <v/>
      </c>
      <c r="AA133" s="76">
        <f t="shared" si="75"/>
        <v>0.8</v>
      </c>
      <c r="AB133" s="77">
        <f t="shared" si="76"/>
        <v>0.8</v>
      </c>
      <c r="AC133" s="77">
        <f t="shared" si="76"/>
        <v>0.8</v>
      </c>
      <c r="AD133" s="77">
        <f t="shared" si="76"/>
        <v>0.8</v>
      </c>
      <c r="AE133" s="77">
        <f t="shared" si="76"/>
        <v>0.8</v>
      </c>
      <c r="AF133" s="77">
        <f t="shared" si="76"/>
        <v>0.8</v>
      </c>
      <c r="AG133" s="77">
        <f t="shared" si="76"/>
        <v>0.8</v>
      </c>
      <c r="AI133">
        <f t="shared" si="39"/>
        <v>52</v>
      </c>
      <c r="AK133">
        <f>SUMIFS('PAMS central control panel'!$D$14:$D$22,'PAMS central control panel'!$C$14:$C$22,RIGHT(LEFT($D133,3),2))</f>
        <v>0</v>
      </c>
      <c r="AV133" s="13"/>
    </row>
    <row r="134" spans="1:48">
      <c r="A134" s="45" t="str">
        <f t="shared" si="71"/>
        <v>Industry-Iron &amp; Steel-Electrochemical - Electricity</v>
      </c>
      <c r="B134" s="45" t="str">
        <f t="shared" si="78"/>
        <v>IISEELC-E</v>
      </c>
      <c r="C134" s="46" t="str">
        <f t="shared" si="72"/>
        <v>IISELC</v>
      </c>
      <c r="D134" s="46" t="str">
        <f>$B$5&amp;RIGHT($B124,2)&amp;$B$69</f>
        <v>IISE</v>
      </c>
      <c r="E134" s="58">
        <v>0.76</v>
      </c>
      <c r="F134" s="60">
        <f>SUMIF(AFA!$C$3:$L$3,RIGHT(D134,1),AFA!$C$4:$L$4)</f>
        <v>0.13233</v>
      </c>
      <c r="G134" s="59">
        <v>100</v>
      </c>
      <c r="H134" s="60">
        <f t="shared" si="77"/>
        <v>0</v>
      </c>
      <c r="J134" s="61">
        <v>1</v>
      </c>
      <c r="K134" s="60">
        <f t="shared" si="73"/>
        <v>0</v>
      </c>
      <c r="L134" s="60">
        <f t="shared" si="74"/>
        <v>0</v>
      </c>
      <c r="N134" s="2" t="s">
        <v>336</v>
      </c>
      <c r="P134" s="74" t="str">
        <f>""</f>
        <v/>
      </c>
      <c r="V134" s="74" t="str">
        <f>""</f>
        <v/>
      </c>
      <c r="AA134" s="76">
        <f t="shared" si="75"/>
        <v>0.76</v>
      </c>
      <c r="AB134" s="77">
        <f t="shared" si="76"/>
        <v>0.76</v>
      </c>
      <c r="AC134" s="77">
        <f t="shared" si="76"/>
        <v>0.76</v>
      </c>
      <c r="AD134" s="77">
        <f t="shared" si="76"/>
        <v>0.76</v>
      </c>
      <c r="AE134" s="77">
        <f t="shared" si="76"/>
        <v>0.76</v>
      </c>
      <c r="AF134" s="77">
        <f t="shared" si="76"/>
        <v>0.76</v>
      </c>
      <c r="AG134" s="77">
        <f t="shared" si="76"/>
        <v>0.76</v>
      </c>
      <c r="AI134">
        <f t="shared" si="39"/>
        <v>53</v>
      </c>
      <c r="AK134">
        <f>SUMIFS('PAMS central control panel'!$D$14:$D$22,'PAMS central control panel'!$C$14:$C$22,RIGHT(LEFT($D134,3),2))</f>
        <v>0</v>
      </c>
      <c r="AV134" s="13"/>
    </row>
    <row r="135" spans="1:48">
      <c r="A135" s="45" t="str">
        <f>"\I:"&amp;A70</f>
        <v>\I:boiler/process heating</v>
      </c>
      <c r="B135" s="45"/>
      <c r="C135" s="46"/>
      <c r="D135" s="46" t="s">
        <v>336</v>
      </c>
      <c r="E135" s="58"/>
      <c r="F135" s="60">
        <f>SUMIF(AFA!$C$3:$L$3,RIGHT(D135,1),AFA!$C$4:$L$4)</f>
        <v>0</v>
      </c>
      <c r="G135" s="59"/>
      <c r="H135" s="60"/>
      <c r="J135" s="61"/>
      <c r="K135" s="60"/>
      <c r="L135" s="60"/>
      <c r="N135" s="2"/>
      <c r="P135" s="74" t="str">
        <f>""</f>
        <v/>
      </c>
      <c r="V135" s="74" t="str">
        <f>""</f>
        <v/>
      </c>
      <c r="AA135" s="74" t="str">
        <f>""</f>
        <v/>
      </c>
      <c r="AB135" s="77"/>
      <c r="AC135" s="77"/>
      <c r="AD135" s="77"/>
      <c r="AE135" s="77"/>
      <c r="AF135" s="77"/>
      <c r="AG135" s="77"/>
      <c r="AI135">
        <f t="shared" si="39"/>
        <v>54</v>
      </c>
      <c r="AK135">
        <f>SUMIFS('PAMS central control panel'!$D$14:$D$22,'PAMS central control panel'!$C$14:$C$22,RIGHT(LEFT($D135,3),2))</f>
        <v>0</v>
      </c>
      <c r="AV135" s="13"/>
    </row>
    <row r="136" spans="1:48">
      <c r="A136" s="45" t="str">
        <f>A$5&amp;"-"&amp;A$12&amp;"-"&amp;A$70&amp;" - "&amp;VLOOKUP(RIGHT(C136,3),NameConv!$E$4:$G$20,2,FALSE)&amp;" - Existing"</f>
        <v>Industry-Iron &amp; Steel-boiler/process heating -  - Existing</v>
      </c>
      <c r="B136" s="45" t="str">
        <f t="shared" ref="B136:B141" si="79">D136&amp;RIGHT(C136,3)&amp;"-E"</f>
        <v>IISSCOA-E</v>
      </c>
      <c r="C136" s="46" t="str">
        <f>+$C$6</f>
        <v>INDCOA</v>
      </c>
      <c r="D136" s="46" t="str">
        <f>$B$5&amp;RIGHT($B124,2)&amp;$B$70</f>
        <v>IISS</v>
      </c>
      <c r="E136" s="58">
        <v>0.64</v>
      </c>
      <c r="F136" s="60">
        <f>SUMIF(AFA!$C$3:$L$3,RIGHT(D136,1),AFA!$C$4:$L$4)</f>
        <v>0.15426999999999999</v>
      </c>
      <c r="G136" s="59">
        <v>100</v>
      </c>
      <c r="H136" s="60">
        <f t="shared" ref="H136:H141" si="80">L136/F136</f>
        <v>260.25954495365272</v>
      </c>
      <c r="J136" s="61">
        <v>1</v>
      </c>
      <c r="K136" s="60">
        <f>J136*INDEX($C$10:$L$19,MATCH(B124,$B$10:$B$19,0),MATCH($B$6&amp;RIGHT(C136,3),$C$6:$L$6,0))</f>
        <v>63.050000000000004</v>
      </c>
      <c r="L136" s="60">
        <f t="shared" ref="L136:L141" si="81">K136*E136*(1-$L$77)</f>
        <v>40.150240000000004</v>
      </c>
      <c r="N136" s="2"/>
      <c r="P136" s="78">
        <f t="shared" ref="P136:P141" si="82">L136/(SUMIF($D$81:$D$268,$D136,$L$81:$L$268)+$P$77)</f>
        <v>0.75599210612723122</v>
      </c>
      <c r="Q136" s="77" t="e">
        <f>'IND2017'!#REF!</f>
        <v>#REF!</v>
      </c>
      <c r="R136" s="77">
        <f t="shared" ref="R136:T141" si="83">MIN(1,$P136+R$75)</f>
        <v>1</v>
      </c>
      <c r="S136" s="77">
        <f t="shared" si="83"/>
        <v>1</v>
      </c>
      <c r="T136" s="77">
        <f t="shared" si="83"/>
        <v>1</v>
      </c>
      <c r="V136" s="76">
        <f t="shared" ref="V136:V141" si="84">P136</f>
        <v>0.75599210612723122</v>
      </c>
      <c r="W136" s="77" t="e">
        <f t="shared" ref="W136:Y141" si="85">$Q136*W$75</f>
        <v>#REF!</v>
      </c>
      <c r="X136" s="77" t="e">
        <f t="shared" si="85"/>
        <v>#REF!</v>
      </c>
      <c r="Y136" s="77" t="e">
        <f t="shared" si="85"/>
        <v>#REF!</v>
      </c>
      <c r="AA136" s="76">
        <f t="shared" ref="AA136:AA141" si="86">E136</f>
        <v>0.64</v>
      </c>
      <c r="AB136" s="77">
        <f t="shared" ref="AB136:AG143" si="87">$AA136/(1-(SUMIF($B$61:$B$70,RIGHT($D136,1),AB$61:AB$70)*$AK136))</f>
        <v>0.64</v>
      </c>
      <c r="AC136" s="77">
        <f t="shared" si="87"/>
        <v>0.64</v>
      </c>
      <c r="AD136" s="77">
        <f t="shared" si="87"/>
        <v>0.64</v>
      </c>
      <c r="AE136" s="77">
        <f t="shared" si="87"/>
        <v>0.64</v>
      </c>
      <c r="AF136" s="77">
        <f t="shared" si="87"/>
        <v>0.64</v>
      </c>
      <c r="AG136" s="77">
        <f t="shared" si="87"/>
        <v>0.64</v>
      </c>
      <c r="AI136">
        <f t="shared" si="39"/>
        <v>55</v>
      </c>
      <c r="AK136">
        <f>SUMIFS('PAMS central control panel'!$D$14:$D$22,'PAMS central control panel'!$C$14:$C$22,RIGHT(LEFT($D136,3),2))</f>
        <v>0</v>
      </c>
      <c r="AV136" s="13"/>
    </row>
    <row r="137" spans="1:48">
      <c r="A137" s="45" t="str">
        <f>A$5&amp;"-"&amp;A$12&amp;"-"&amp;A$70&amp;" - "&amp;VLOOKUP(RIGHT(C137,3),NameConv!$E$4:$G$20,2,FALSE)&amp;" - Existing"</f>
        <v>Industry-Iron &amp; Steel-boiler/process heating -  - Existing</v>
      </c>
      <c r="B137" s="45" t="str">
        <f t="shared" si="79"/>
        <v>IISSGAS-E</v>
      </c>
      <c r="C137" s="46" t="str">
        <f>"I"&amp;B124&amp;"GAS"</f>
        <v>IISGAS</v>
      </c>
      <c r="D137" s="46" t="str">
        <f>$B$5&amp;RIGHT($B124,2)&amp;$B$70</f>
        <v>IISS</v>
      </c>
      <c r="E137" s="58">
        <v>0.72</v>
      </c>
      <c r="F137" s="60">
        <f>SUMIF(AFA!$C$3:$L$3,RIGHT(D137,1),AFA!$C$4:$L$4)</f>
        <v>0.15426999999999999</v>
      </c>
      <c r="G137" s="59">
        <v>100</v>
      </c>
      <c r="H137" s="60">
        <f t="shared" si="80"/>
        <v>83.068407337784407</v>
      </c>
      <c r="J137" s="61">
        <v>1</v>
      </c>
      <c r="K137" s="60">
        <f>J137*INDEX($C$10:$L$19,MATCH(B124,$B$10:$B$19,0),MATCH($B$6&amp;RIGHT(C137,3),$C$6:$L$6,0))</f>
        <v>17.888000000000002</v>
      </c>
      <c r="L137" s="60">
        <f t="shared" si="81"/>
        <v>12.814963199999999</v>
      </c>
      <c r="N137" s="2"/>
      <c r="P137" s="78">
        <f t="shared" si="82"/>
        <v>0.24129397531648533</v>
      </c>
      <c r="Q137" s="77" t="e">
        <f>'IND2017'!#REF!</f>
        <v>#REF!</v>
      </c>
      <c r="R137" s="77">
        <f t="shared" si="83"/>
        <v>0.74129397531648533</v>
      </c>
      <c r="S137" s="77">
        <f t="shared" si="83"/>
        <v>1</v>
      </c>
      <c r="T137" s="77">
        <f t="shared" si="83"/>
        <v>1</v>
      </c>
      <c r="V137" s="76">
        <f t="shared" si="84"/>
        <v>0.24129397531648533</v>
      </c>
      <c r="W137" s="77" t="e">
        <f t="shared" si="85"/>
        <v>#REF!</v>
      </c>
      <c r="X137" s="77" t="e">
        <f t="shared" si="85"/>
        <v>#REF!</v>
      </c>
      <c r="Y137" s="77" t="e">
        <f t="shared" si="85"/>
        <v>#REF!</v>
      </c>
      <c r="AA137" s="76">
        <f t="shared" si="86"/>
        <v>0.72</v>
      </c>
      <c r="AB137" s="77">
        <f t="shared" si="87"/>
        <v>0.72</v>
      </c>
      <c r="AC137" s="77">
        <f t="shared" si="87"/>
        <v>0.72</v>
      </c>
      <c r="AD137" s="77">
        <f t="shared" si="87"/>
        <v>0.72</v>
      </c>
      <c r="AE137" s="77">
        <f t="shared" si="87"/>
        <v>0.72</v>
      </c>
      <c r="AF137" s="77">
        <f t="shared" si="87"/>
        <v>0.72</v>
      </c>
      <c r="AG137" s="77">
        <f t="shared" si="87"/>
        <v>0.72</v>
      </c>
      <c r="AI137">
        <f t="shared" si="39"/>
        <v>56</v>
      </c>
      <c r="AK137">
        <f>SUMIFS('PAMS central control panel'!$D$14:$D$22,'PAMS central control panel'!$C$14:$C$22,RIGHT(LEFT($D137,3),2))</f>
        <v>0</v>
      </c>
      <c r="AV137" s="13"/>
    </row>
    <row r="138" spans="1:48">
      <c r="A138" s="45" t="str">
        <f>A$5&amp;"-"&amp;A$12&amp;"-"&amp;A$70&amp;" - "&amp;VLOOKUP(RIGHT(C138,3),NameConv!$E$4:$G$20,2,FALSE)&amp;" - Existing"</f>
        <v>Industry-Iron &amp; Steel-boiler/process heating -  - Existing</v>
      </c>
      <c r="B138" s="45" t="str">
        <f t="shared" si="79"/>
        <v>IISSOHF-E</v>
      </c>
      <c r="C138" s="46" t="str">
        <f>+$H$6</f>
        <v>INDOHF</v>
      </c>
      <c r="D138" s="46" t="str">
        <f>$B$5&amp;RIGHT($B124,2)&amp;$B$70</f>
        <v>IISS</v>
      </c>
      <c r="E138" s="58">
        <v>0.68</v>
      </c>
      <c r="F138" s="60">
        <f>SUMIF(AFA!$C$3:$L$3,RIGHT(D138,1),AFA!$C$4:$L$4)</f>
        <v>0.15426999999999999</v>
      </c>
      <c r="G138" s="59">
        <v>100</v>
      </c>
      <c r="H138" s="60">
        <f t="shared" si="80"/>
        <v>0</v>
      </c>
      <c r="J138" s="61">
        <v>1</v>
      </c>
      <c r="K138" s="60">
        <f>J138*INDEX($C$10:$L$19,MATCH(B124,$B$10:$B$19,0),MATCH($B$6&amp;RIGHT(C138,3),$C$6:$L$6,0))</f>
        <v>0</v>
      </c>
      <c r="L138" s="60">
        <f t="shared" si="81"/>
        <v>0</v>
      </c>
      <c r="N138" s="2"/>
      <c r="P138" s="78">
        <f t="shared" si="82"/>
        <v>0</v>
      </c>
      <c r="Q138" s="77" t="e">
        <f>'IND2017'!#REF!</f>
        <v>#REF!</v>
      </c>
      <c r="R138" s="77">
        <f t="shared" si="83"/>
        <v>0.5</v>
      </c>
      <c r="S138" s="77">
        <f t="shared" si="83"/>
        <v>1</v>
      </c>
      <c r="T138" s="77">
        <f t="shared" si="83"/>
        <v>1</v>
      </c>
      <c r="V138" s="76">
        <f t="shared" si="84"/>
        <v>0</v>
      </c>
      <c r="W138" s="77" t="e">
        <f t="shared" si="85"/>
        <v>#REF!</v>
      </c>
      <c r="X138" s="77" t="e">
        <f t="shared" si="85"/>
        <v>#REF!</v>
      </c>
      <c r="Y138" s="77" t="e">
        <f t="shared" si="85"/>
        <v>#REF!</v>
      </c>
      <c r="AA138" s="76">
        <f t="shared" si="86"/>
        <v>0.68</v>
      </c>
      <c r="AB138" s="77">
        <f t="shared" si="87"/>
        <v>0.68</v>
      </c>
      <c r="AC138" s="77">
        <f t="shared" si="87"/>
        <v>0.68</v>
      </c>
      <c r="AD138" s="77">
        <f t="shared" si="87"/>
        <v>0.68</v>
      </c>
      <c r="AE138" s="77">
        <f t="shared" si="87"/>
        <v>0.68</v>
      </c>
      <c r="AF138" s="77">
        <f t="shared" si="87"/>
        <v>0.68</v>
      </c>
      <c r="AG138" s="77">
        <f t="shared" si="87"/>
        <v>0.68</v>
      </c>
      <c r="AI138">
        <f t="shared" si="39"/>
        <v>57</v>
      </c>
      <c r="AK138">
        <f>SUMIFS('PAMS central control panel'!$D$14:$D$22,'PAMS central control panel'!$C$14:$C$22,RIGHT(LEFT($D138,3),2))</f>
        <v>0</v>
      </c>
      <c r="AV138" s="13"/>
    </row>
    <row r="139" spans="1:48">
      <c r="A139" s="45" t="str">
        <f>A$5&amp;"-"&amp;A$12&amp;"-"&amp;A$70&amp;" - "&amp;VLOOKUP(RIGHT(C139,3),NameConv!$E$4:$G$20,2,FALSE)&amp;" - Existing"</f>
        <v>Industry-Iron &amp; Steel-boiler/process heating -  - Existing</v>
      </c>
      <c r="B139" s="45" t="str">
        <f t="shared" si="79"/>
        <v>IISSOLP-E</v>
      </c>
      <c r="C139" s="46" t="str">
        <f>+$I$6</f>
        <v>INDOLP</v>
      </c>
      <c r="D139" s="46" t="str">
        <f>$B$5&amp;RIGHT($B124,2)&amp;$B$70</f>
        <v>IISS</v>
      </c>
      <c r="E139" s="58">
        <v>0.72</v>
      </c>
      <c r="F139" s="60">
        <f>SUMIF(AFA!$C$3:$L$3,RIGHT(D139,1),AFA!$C$4:$L$4)</f>
        <v>0.15426999999999999</v>
      </c>
      <c r="G139" s="59">
        <v>100</v>
      </c>
      <c r="H139" s="60">
        <f t="shared" si="80"/>
        <v>0.93429971394530376</v>
      </c>
      <c r="J139" s="61">
        <v>1</v>
      </c>
      <c r="K139" s="60">
        <f>J139*INDEX($C$10:$L$19,MATCH(B124,$B$10:$B$19,0),MATCH($B$6&amp;RIGHT(C139,3),$C$6:$L$6,0))</f>
        <v>0.20119265336451983</v>
      </c>
      <c r="L139" s="60">
        <f t="shared" si="81"/>
        <v>0.14413441687034201</v>
      </c>
      <c r="N139" s="2"/>
      <c r="P139" s="78">
        <f t="shared" si="82"/>
        <v>2.7139185562833541E-3</v>
      </c>
      <c r="Q139" s="77" t="e">
        <f>'IND2017'!#REF!</f>
        <v>#REF!</v>
      </c>
      <c r="R139" s="77">
        <f t="shared" si="83"/>
        <v>0.50271391855628333</v>
      </c>
      <c r="S139" s="77">
        <f t="shared" si="83"/>
        <v>1</v>
      </c>
      <c r="T139" s="77">
        <f t="shared" si="83"/>
        <v>1</v>
      </c>
      <c r="V139" s="76">
        <f t="shared" si="84"/>
        <v>2.7139185562833541E-3</v>
      </c>
      <c r="W139" s="77" t="e">
        <f t="shared" si="85"/>
        <v>#REF!</v>
      </c>
      <c r="X139" s="77" t="e">
        <f t="shared" si="85"/>
        <v>#REF!</v>
      </c>
      <c r="Y139" s="77" t="e">
        <f t="shared" si="85"/>
        <v>#REF!</v>
      </c>
      <c r="AA139" s="76">
        <f t="shared" si="86"/>
        <v>0.72</v>
      </c>
      <c r="AB139" s="77">
        <f t="shared" si="87"/>
        <v>0.72</v>
      </c>
      <c r="AC139" s="77">
        <f t="shared" si="87"/>
        <v>0.72</v>
      </c>
      <c r="AD139" s="77">
        <f t="shared" si="87"/>
        <v>0.72</v>
      </c>
      <c r="AE139" s="77">
        <f t="shared" si="87"/>
        <v>0.72</v>
      </c>
      <c r="AF139" s="77">
        <f t="shared" si="87"/>
        <v>0.72</v>
      </c>
      <c r="AG139" s="77">
        <f t="shared" si="87"/>
        <v>0.72</v>
      </c>
      <c r="AI139">
        <f t="shared" si="39"/>
        <v>58</v>
      </c>
      <c r="AK139">
        <f>SUMIFS('PAMS central control panel'!$D$14:$D$22,'PAMS central control panel'!$C$14:$C$22,RIGHT(LEFT($D139,3),2))</f>
        <v>0</v>
      </c>
      <c r="AV139" s="13"/>
    </row>
    <row r="140" spans="1:48">
      <c r="A140" s="45" t="str">
        <f>A$5&amp;"-"&amp;A$12&amp;"-"&amp;A$70&amp;" - "&amp;VLOOKUP(RIGHT(C140,3),NameConv!$E$4:$G$20,2,FALSE)&amp;" - Existing"</f>
        <v>Industry-Iron &amp; Steel-boiler/process heating -  - Existing</v>
      </c>
      <c r="B140" s="45" t="str">
        <f t="shared" si="79"/>
        <v>IISSELC-E</v>
      </c>
      <c r="C140" s="46" t="str">
        <f>$P$12</f>
        <v>IISELC</v>
      </c>
      <c r="D140" s="46" t="str">
        <f>$B$5&amp;RIGHT($B124,2)&amp;$B$70</f>
        <v>IISS</v>
      </c>
      <c r="E140" s="58">
        <v>0.76</v>
      </c>
      <c r="F140" s="60">
        <f>SUMIF(AFA!$C$3:$L$3,RIGHT(D140,1),AFA!$C$4:$L$4)</f>
        <v>0.15426999999999999</v>
      </c>
      <c r="G140" s="59">
        <v>100</v>
      </c>
      <c r="H140" s="60">
        <f t="shared" si="80"/>
        <v>0</v>
      </c>
      <c r="J140" s="61">
        <v>1</v>
      </c>
      <c r="K140" s="60">
        <f>J140*INDEX($C$70:$J$70,MATCH($B124,$C$60:$J$60,0))</f>
        <v>0</v>
      </c>
      <c r="L140" s="60">
        <f t="shared" si="81"/>
        <v>0</v>
      </c>
      <c r="N140" s="2"/>
      <c r="P140" s="78">
        <f t="shared" si="82"/>
        <v>0</v>
      </c>
      <c r="Q140" s="77" t="e">
        <f>'IND2017'!#REF!</f>
        <v>#REF!</v>
      </c>
      <c r="R140" s="77">
        <f t="shared" si="83"/>
        <v>0.5</v>
      </c>
      <c r="S140" s="77">
        <f t="shared" si="83"/>
        <v>1</v>
      </c>
      <c r="T140" s="77">
        <f t="shared" si="83"/>
        <v>1</v>
      </c>
      <c r="V140" s="76">
        <f t="shared" si="84"/>
        <v>0</v>
      </c>
      <c r="W140" s="77" t="e">
        <f t="shared" si="85"/>
        <v>#REF!</v>
      </c>
      <c r="X140" s="77" t="e">
        <f t="shared" si="85"/>
        <v>#REF!</v>
      </c>
      <c r="Y140" s="77" t="e">
        <f t="shared" si="85"/>
        <v>#REF!</v>
      </c>
      <c r="AA140" s="76">
        <f t="shared" si="86"/>
        <v>0.76</v>
      </c>
      <c r="AB140" s="77">
        <f t="shared" si="87"/>
        <v>0.76</v>
      </c>
      <c r="AC140" s="77">
        <f t="shared" si="87"/>
        <v>0.76</v>
      </c>
      <c r="AD140" s="77">
        <f t="shared" si="87"/>
        <v>0.76</v>
      </c>
      <c r="AE140" s="77">
        <f t="shared" si="87"/>
        <v>0.76</v>
      </c>
      <c r="AF140" s="77">
        <f t="shared" si="87"/>
        <v>0.76</v>
      </c>
      <c r="AG140" s="77">
        <f t="shared" si="87"/>
        <v>0.76</v>
      </c>
      <c r="AI140">
        <f t="shared" si="39"/>
        <v>59</v>
      </c>
      <c r="AK140">
        <f>SUMIFS('PAMS central control panel'!$D$14:$D$22,'PAMS central control panel'!$C$14:$C$22,RIGHT(LEFT($D140,3),2))</f>
        <v>0</v>
      </c>
      <c r="AV140" s="13"/>
    </row>
    <row r="141" spans="1:48">
      <c r="A141" s="45" t="str">
        <f>A$5&amp;"-"&amp;A$12&amp;"-"&amp;A$70&amp;" - "&amp;VLOOKUP(RIGHT(C141,3),NameConv!$E$4:$G$20,2,FALSE)&amp;" - Existing"</f>
        <v>Industry-Iron &amp; Steel-boiler/process heating -  - Existing</v>
      </c>
      <c r="B141" s="45" t="str">
        <f t="shared" si="79"/>
        <v>IISSWAS-E</v>
      </c>
      <c r="C141" s="46" t="str">
        <f>$L$6</f>
        <v>INDWAS</v>
      </c>
      <c r="D141" s="46" t="str">
        <f>$B$5&amp;RIGHT($B124,2)&amp;$B$70</f>
        <v>IISS</v>
      </c>
      <c r="E141" s="58">
        <v>0.6</v>
      </c>
      <c r="F141" s="60">
        <f>SUMIF(AFA!$C$3:$L$3,RIGHT(D141,1),AFA!$C$4:$L$4)</f>
        <v>0.15426999999999999</v>
      </c>
      <c r="G141" s="59">
        <v>100</v>
      </c>
      <c r="H141" s="60">
        <f t="shared" si="80"/>
        <v>0</v>
      </c>
      <c r="J141" s="61">
        <v>1</v>
      </c>
      <c r="K141" s="60">
        <f>J141*INDEX($C$10:$L$19,MATCH(B124,$B$10:$B$19,0),MATCH($B$6&amp;RIGHT(C141,3),$C$6:$L$6,0))</f>
        <v>0</v>
      </c>
      <c r="L141" s="60">
        <f t="shared" si="81"/>
        <v>0</v>
      </c>
      <c r="N141" s="2"/>
      <c r="P141" s="78">
        <f t="shared" si="82"/>
        <v>0</v>
      </c>
      <c r="Q141" s="77" t="e">
        <f>'IND2017'!#REF!</f>
        <v>#REF!</v>
      </c>
      <c r="R141" s="77">
        <f t="shared" si="83"/>
        <v>0.5</v>
      </c>
      <c r="S141" s="77">
        <f t="shared" si="83"/>
        <v>1</v>
      </c>
      <c r="T141" s="77">
        <f t="shared" si="83"/>
        <v>1</v>
      </c>
      <c r="V141" s="76">
        <f t="shared" si="84"/>
        <v>0</v>
      </c>
      <c r="W141" s="77" t="e">
        <f t="shared" si="85"/>
        <v>#REF!</v>
      </c>
      <c r="X141" s="77" t="e">
        <f t="shared" si="85"/>
        <v>#REF!</v>
      </c>
      <c r="Y141" s="77" t="e">
        <f t="shared" si="85"/>
        <v>#REF!</v>
      </c>
      <c r="AA141" s="76">
        <f t="shared" si="86"/>
        <v>0.6</v>
      </c>
      <c r="AB141" s="77">
        <f t="shared" si="87"/>
        <v>0.6</v>
      </c>
      <c r="AC141" s="77">
        <f t="shared" si="87"/>
        <v>0.6</v>
      </c>
      <c r="AD141" s="77">
        <f t="shared" si="87"/>
        <v>0.6</v>
      </c>
      <c r="AE141" s="77">
        <f t="shared" si="87"/>
        <v>0.6</v>
      </c>
      <c r="AF141" s="77">
        <f t="shared" si="87"/>
        <v>0.6</v>
      </c>
      <c r="AG141" s="77">
        <f t="shared" si="87"/>
        <v>0.6</v>
      </c>
      <c r="AI141">
        <f t="shared" si="39"/>
        <v>60</v>
      </c>
      <c r="AK141">
        <f>SUMIFS('PAMS central control panel'!$D$14:$D$22,'PAMS central control panel'!$C$14:$C$22,RIGHT(LEFT($D141,3),2))</f>
        <v>0</v>
      </c>
      <c r="AV141" s="13"/>
    </row>
    <row r="142" spans="1:48">
      <c r="A142" s="45" t="str">
        <f>"\I:"&amp;A41</f>
        <v>\I:Ancillary</v>
      </c>
      <c r="B142" s="45"/>
      <c r="C142" s="46"/>
      <c r="D142" s="46"/>
      <c r="E142" s="58"/>
      <c r="F142" s="60">
        <f>SUMIF(AFA!$C$3:$L$3,RIGHT(D142,1),AFA!$C$4:$L$4)</f>
        <v>0</v>
      </c>
      <c r="G142" s="59"/>
      <c r="H142" s="60"/>
      <c r="J142" s="61"/>
      <c r="K142" s="60"/>
      <c r="L142" s="60"/>
      <c r="N142" s="2"/>
      <c r="P142" s="78"/>
      <c r="Q142" s="77"/>
      <c r="R142" s="77"/>
      <c r="S142" s="77"/>
      <c r="T142" s="77"/>
      <c r="V142" s="76"/>
      <c r="W142" s="77"/>
      <c r="X142" s="77"/>
      <c r="Y142" s="77"/>
      <c r="AA142" s="76"/>
      <c r="AB142" s="77">
        <f t="shared" si="87"/>
        <v>0</v>
      </c>
      <c r="AC142" s="77">
        <f t="shared" si="87"/>
        <v>0</v>
      </c>
      <c r="AD142" s="77">
        <f t="shared" si="87"/>
        <v>0</v>
      </c>
      <c r="AE142" s="77">
        <f t="shared" si="87"/>
        <v>0</v>
      </c>
      <c r="AF142" s="77">
        <f t="shared" si="87"/>
        <v>0</v>
      </c>
      <c r="AG142" s="77">
        <f t="shared" si="87"/>
        <v>0</v>
      </c>
      <c r="AI142">
        <f t="shared" si="39"/>
        <v>61</v>
      </c>
      <c r="AK142">
        <f>SUMIFS('PAMS central control panel'!$D$14:$D$22,'PAMS central control panel'!$C$14:$C$22,RIGHT(LEFT($D142,3),2))</f>
        <v>0</v>
      </c>
      <c r="AV142" s="13"/>
    </row>
    <row r="143" spans="1:48">
      <c r="A143" s="45" t="str">
        <f>A$5&amp;"-"&amp;A$12&amp;"-"&amp;A$71&amp;" - "&amp;VLOOKUP(RIGHT(C143,3),NameConv!$E$4:$G$20,2,FALSE)&amp;" - Existing"</f>
        <v>Industry-Iron &amp; Steel-Ancillary -  - Existing</v>
      </c>
      <c r="B143" s="45" t="str">
        <f>D143&amp;RIGHT(C143,3)&amp;"-E"</f>
        <v>IISTCOK-E</v>
      </c>
      <c r="C143" s="46" t="str">
        <f>+$D$6</f>
        <v>INDCOK</v>
      </c>
      <c r="D143" s="46" t="str">
        <f>$B$5&amp;RIGHT($B124,2)&amp;$B$71</f>
        <v>IIST</v>
      </c>
      <c r="E143" s="58">
        <v>1</v>
      </c>
      <c r="F143" s="60">
        <f>F136</f>
        <v>0.15426999999999999</v>
      </c>
      <c r="G143" s="59">
        <v>100</v>
      </c>
      <c r="H143" s="60">
        <f>L143/F143</f>
        <v>226.70804433784923</v>
      </c>
      <c r="J143" s="61">
        <v>1</v>
      </c>
      <c r="K143" s="60">
        <f>J143*SUMIF($C$6:$K$6,C143,$C$12:$K$12)</f>
        <v>35.15</v>
      </c>
      <c r="L143" s="60">
        <f>K143*E143*(1-$L$77)</f>
        <v>34.974249999999998</v>
      </c>
      <c r="N143" s="2"/>
      <c r="P143" s="78">
        <f>L143/(SUMIF($D$81:$D$268,$D143,$L$81:$L$268)+$P$77)</f>
        <v>1</v>
      </c>
      <c r="Q143" s="77">
        <f>MIN(1,$P143+Q$75)</f>
        <v>1</v>
      </c>
      <c r="R143" s="77">
        <f>MIN(1,$P143+R$75)</f>
        <v>1</v>
      </c>
      <c r="S143" s="77">
        <f>MIN(1,$P143+S$75)</f>
        <v>1</v>
      </c>
      <c r="T143" s="77">
        <f>MIN(1,$P143+T$75)</f>
        <v>1</v>
      </c>
      <c r="V143" s="76">
        <f>P143</f>
        <v>1</v>
      </c>
      <c r="W143" s="77">
        <f>$Q143*W$75</f>
        <v>0.99</v>
      </c>
      <c r="X143" s="77">
        <f>$Q143*X$75</f>
        <v>0</v>
      </c>
      <c r="Y143" s="77">
        <f>$Q143*Y$75</f>
        <v>0</v>
      </c>
      <c r="AA143" s="76">
        <f>E143</f>
        <v>1</v>
      </c>
      <c r="AB143" s="77">
        <f t="shared" si="87"/>
        <v>1</v>
      </c>
      <c r="AC143" s="77">
        <f t="shared" si="87"/>
        <v>1</v>
      </c>
      <c r="AD143" s="77">
        <f t="shared" si="87"/>
        <v>1</v>
      </c>
      <c r="AE143" s="77">
        <f t="shared" si="87"/>
        <v>1</v>
      </c>
      <c r="AF143" s="77">
        <f t="shared" si="87"/>
        <v>1</v>
      </c>
      <c r="AG143" s="77">
        <f t="shared" si="87"/>
        <v>1</v>
      </c>
      <c r="AI143">
        <f t="shared" si="39"/>
        <v>62</v>
      </c>
      <c r="AK143">
        <f>SUMIFS('PAMS central control panel'!$D$14:$D$22,'PAMS central control panel'!$C$14:$C$22,RIGHT(LEFT($D143,3),2))</f>
        <v>0</v>
      </c>
      <c r="AV143" s="13"/>
    </row>
    <row r="144" spans="1:48" ht="51.95" customHeight="1" thickBot="1">
      <c r="A144" s="244" t="s">
        <v>438</v>
      </c>
      <c r="B144" s="252" t="s">
        <v>439</v>
      </c>
      <c r="C144" s="252" t="s">
        <v>440</v>
      </c>
      <c r="D144" s="252" t="s">
        <v>441</v>
      </c>
      <c r="E144" s="252" t="s">
        <v>442</v>
      </c>
      <c r="F144" s="252" t="s">
        <v>443</v>
      </c>
      <c r="G144" s="252" t="s">
        <v>444</v>
      </c>
      <c r="H144" s="252" t="s">
        <v>445</v>
      </c>
      <c r="J144" s="252" t="s">
        <v>446</v>
      </c>
      <c r="K144" s="252" t="s">
        <v>447</v>
      </c>
      <c r="L144" s="252" t="s">
        <v>448</v>
      </c>
      <c r="M144" s="252" t="s">
        <v>449</v>
      </c>
      <c r="N144" s="252" t="s">
        <v>450</v>
      </c>
      <c r="O144" s="2"/>
      <c r="P144" s="74" t="str">
        <f>""</f>
        <v/>
      </c>
      <c r="V144" s="74" t="str">
        <f>""</f>
        <v/>
      </c>
      <c r="AA144" s="74" t="str">
        <f>""</f>
        <v/>
      </c>
      <c r="AI144">
        <f t="shared" si="39"/>
        <v>63</v>
      </c>
      <c r="AK144">
        <f>SUMIFS('PAMS central control panel'!$D$14:$D$22,'PAMS central control panel'!$C$14:$C$22,RIGHT(LEFT($D144,3),2))</f>
        <v>0</v>
      </c>
      <c r="AV144" s="13"/>
    </row>
    <row r="145" spans="1:48">
      <c r="A145" s="12" t="s">
        <v>457</v>
      </c>
      <c r="B145" s="69" t="str">
        <f>+B14</f>
        <v>CP</v>
      </c>
      <c r="C145" s="54"/>
      <c r="D145" s="54"/>
      <c r="E145" s="55" t="s">
        <v>458</v>
      </c>
      <c r="F145" s="55" t="s">
        <v>459</v>
      </c>
      <c r="G145" s="30" t="s">
        <v>460</v>
      </c>
      <c r="H145" s="31" t="s">
        <v>461</v>
      </c>
      <c r="J145" s="30" t="s">
        <v>462</v>
      </c>
      <c r="K145" s="30" t="s">
        <v>463</v>
      </c>
      <c r="L145" s="30" t="s">
        <v>463</v>
      </c>
      <c r="M145" s="2"/>
      <c r="N145" s="2"/>
      <c r="O145" s="2"/>
      <c r="P145" s="74" t="str">
        <f>""</f>
        <v/>
      </c>
      <c r="V145" s="74" t="str">
        <f>""</f>
        <v/>
      </c>
      <c r="AA145" s="74" t="str">
        <f>""</f>
        <v/>
      </c>
      <c r="AI145">
        <f t="shared" si="39"/>
        <v>64</v>
      </c>
      <c r="AK145">
        <f>SUMIFS('PAMS central control panel'!$D$14:$D$22,'PAMS central control panel'!$C$14:$C$22,RIGHT(LEFT($D145,3),2))</f>
        <v>0</v>
      </c>
      <c r="AV145" s="13"/>
    </row>
    <row r="146" spans="1:48">
      <c r="A146" s="12" t="s">
        <v>465</v>
      </c>
      <c r="B146" s="45"/>
      <c r="C146" s="56">
        <v>1</v>
      </c>
      <c r="D146" s="56">
        <f>C146+1</f>
        <v>2</v>
      </c>
      <c r="E146" s="56">
        <f>D146+1</f>
        <v>3</v>
      </c>
      <c r="F146" s="56">
        <f>E146+1</f>
        <v>4</v>
      </c>
      <c r="G146" s="56">
        <f>F146+1</f>
        <v>5</v>
      </c>
      <c r="H146" s="56">
        <f>G146+1</f>
        <v>6</v>
      </c>
      <c r="J146" s="57"/>
      <c r="K146" s="43"/>
      <c r="L146" s="43"/>
      <c r="M146" s="2"/>
      <c r="N146" s="2"/>
      <c r="O146" s="2"/>
      <c r="P146" s="74" t="str">
        <f>""</f>
        <v/>
      </c>
      <c r="V146" s="74" t="str">
        <f>""</f>
        <v/>
      </c>
      <c r="AA146" s="74" t="str">
        <f>""</f>
        <v/>
      </c>
      <c r="AI146">
        <f t="shared" si="39"/>
        <v>65</v>
      </c>
      <c r="AK146">
        <f>SUMIFS('PAMS central control panel'!$D$14:$D$22,'PAMS central control panel'!$C$14:$C$22,RIGHT(LEFT($D146,3),2))</f>
        <v>0</v>
      </c>
      <c r="AV146" s="13"/>
    </row>
    <row r="147" spans="1:48">
      <c r="A147" s="45" t="str">
        <f t="shared" ref="A147:A155" si="88">A$5&amp;"-"&amp;A$14&amp;"-"&amp;A31&amp;" - Electricity"</f>
        <v>Industry-Chemicals-Elec Heating - Electricity</v>
      </c>
      <c r="B147" s="45" t="str">
        <f>D147&amp;RIGHT(C147,3)&amp;"-E"</f>
        <v>ICPKELC-E</v>
      </c>
      <c r="C147" s="46" t="str">
        <f t="shared" ref="C147:C155" si="89">$P$13</f>
        <v>ICPELC</v>
      </c>
      <c r="D147" s="46" t="str">
        <f>$B$5&amp;RIGHT($B145,2)&amp;$B$61</f>
        <v>ICPK</v>
      </c>
      <c r="E147" s="58">
        <v>1</v>
      </c>
      <c r="F147" s="60">
        <f>SUMIF(AFA!$C$3:$L$3,RIGHT(D147,1),AFA!$C$4:$L$4)</f>
        <v>0.11433</v>
      </c>
      <c r="G147" s="59">
        <v>100</v>
      </c>
      <c r="H147" s="60">
        <f>L147/F147</f>
        <v>4.8672844568321345</v>
      </c>
      <c r="J147" s="61">
        <v>1</v>
      </c>
      <c r="K147" s="60">
        <f t="shared" ref="K147:K155" si="90">J147*SUMIF($C$60:$K$60,$B$145,$C61:$K61)</f>
        <v>0.55927299693428933</v>
      </c>
      <c r="L147" s="60">
        <f t="shared" ref="L147:L155" si="91">K147*E147*(1-$L$77)</f>
        <v>0.55647663194961794</v>
      </c>
      <c r="M147" s="2"/>
      <c r="N147" s="2">
        <v>1</v>
      </c>
      <c r="O147" s="2"/>
      <c r="P147" s="74" t="str">
        <f>""</f>
        <v/>
      </c>
      <c r="V147" s="74" t="str">
        <f>""</f>
        <v/>
      </c>
      <c r="AA147" s="76">
        <f t="shared" ref="AA147:AA155" si="92">E147</f>
        <v>1</v>
      </c>
      <c r="AB147" s="77">
        <f>$AA147/(1-(SUMIF($B$61:$B$70,RIGHT($D147,1),'IND2017'!Z$148:Z$157)*$AK147))</f>
        <v>1</v>
      </c>
      <c r="AC147" s="77">
        <f>$AA147/(1-(SUMIF($B$61:$B$70,RIGHT($D147,1),'IND2017'!AA$148:AA$157)*$AK147))</f>
        <v>1</v>
      </c>
      <c r="AD147" s="77">
        <f>$AA147/(1-(SUMIF($B$61:$B$70,RIGHT($D147,1),'IND2017'!AB$148:AB$157)*$AK147))</f>
        <v>1</v>
      </c>
      <c r="AE147" s="77">
        <f>$AA147/(1-(SUMIF($B$61:$B$70,RIGHT($D147,1),'IND2017'!AC$148:AC$157)*$AK147))</f>
        <v>1</v>
      </c>
      <c r="AF147" s="77">
        <f>$AA147/(1-(SUMIF($B$61:$B$70,RIGHT($D147,1),'IND2017'!AD$148:AD$157)*$AK147))</f>
        <v>1</v>
      </c>
      <c r="AG147" s="77">
        <f>$AA147/(1-(SUMIF($B$61:$B$70,RIGHT($D147,1),'IND2017'!AE$148:AE$157)*$AK147))</f>
        <v>1</v>
      </c>
      <c r="AI147">
        <f t="shared" si="39"/>
        <v>66</v>
      </c>
      <c r="AK147">
        <f>SUMIFS('PAMS central control panel'!$D$14:$D$22,'PAMS central control panel'!$C$14:$C$22,RIGHT(LEFT($D147,3),2))</f>
        <v>0</v>
      </c>
      <c r="AV147" s="13"/>
    </row>
    <row r="148" spans="1:48">
      <c r="A148" s="45" t="str">
        <f t="shared" si="88"/>
        <v>Industry-Chemicals-Compressed air - Electricity</v>
      </c>
      <c r="B148" s="45" t="str">
        <f>D148&amp;RIGHT(C148,3)&amp;"-E"</f>
        <v>ICPAELC-E</v>
      </c>
      <c r="C148" s="46" t="str">
        <f t="shared" si="89"/>
        <v>ICPELC</v>
      </c>
      <c r="D148" s="46" t="str">
        <f>$B$5&amp;RIGHT($B145,2)&amp;$B$62</f>
        <v>ICPA</v>
      </c>
      <c r="E148" s="58">
        <v>0.05</v>
      </c>
      <c r="F148" s="60">
        <f>SUMIF(AFA!$C$3:$L$3,RIGHT(D148,1),AFA!$C$4:$L$4)</f>
        <v>0.11584999999999999</v>
      </c>
      <c r="G148" s="59">
        <v>100</v>
      </c>
      <c r="H148" s="60">
        <f t="shared" ref="H148:H155" si="93">L148/F148</f>
        <v>1.8012838755382539</v>
      </c>
      <c r="J148" s="61">
        <v>1</v>
      </c>
      <c r="K148" s="60">
        <f t="shared" si="90"/>
        <v>4.1945474770071698</v>
      </c>
      <c r="L148" s="60">
        <f t="shared" si="91"/>
        <v>0.2086787369811067</v>
      </c>
      <c r="N148" s="2"/>
      <c r="P148" s="74" t="str">
        <f>""</f>
        <v/>
      </c>
      <c r="V148" s="74" t="str">
        <f>""</f>
        <v/>
      </c>
      <c r="AA148" s="76">
        <f t="shared" si="92"/>
        <v>0.05</v>
      </c>
      <c r="AB148" s="77">
        <f>$AA148/(1-(SUMIF($B$61:$B$70,RIGHT($D148,1),'IND2017'!Z$148:Z$157)*$AK148))</f>
        <v>0.05</v>
      </c>
      <c r="AC148" s="77">
        <f>$AA148/(1-(SUMIF($B$61:$B$70,RIGHT($D148,1),'IND2017'!AA$148:AA$157)*$AK148))</f>
        <v>0.05</v>
      </c>
      <c r="AD148" s="77">
        <f>$AA148/(1-(SUMIF($B$61:$B$70,RIGHT($D148,1),'IND2017'!AB$148:AB$157)*$AK148))</f>
        <v>0.05</v>
      </c>
      <c r="AE148" s="77">
        <f>$AA148/(1-(SUMIF($B$61:$B$70,RIGHT($D148,1),'IND2017'!AC$148:AC$157)*$AK148))</f>
        <v>0.05</v>
      </c>
      <c r="AF148" s="77">
        <f>$AA148/(1-(SUMIF($B$61:$B$70,RIGHT($D148,1),'IND2017'!AD$148:AD$157)*$AK148))</f>
        <v>0.05</v>
      </c>
      <c r="AG148" s="77">
        <f>$AA148/(1-(SUMIF($B$61:$B$70,RIGHT($D148,1),'IND2017'!AE$148:AE$157)*$AK148))</f>
        <v>0.05</v>
      </c>
      <c r="AI148">
        <f t="shared" si="39"/>
        <v>67</v>
      </c>
      <c r="AK148">
        <f>SUMIFS('PAMS central control panel'!$D$14:$D$22,'PAMS central control panel'!$C$14:$C$22,RIGHT(LEFT($D148,3),2))</f>
        <v>0</v>
      </c>
      <c r="AV148" s="13"/>
    </row>
    <row r="149" spans="1:48">
      <c r="A149" s="45" t="str">
        <f t="shared" si="88"/>
        <v>Industry-Chemicals-Lighting - Electricity</v>
      </c>
      <c r="B149" s="45" t="str">
        <f t="shared" ref="B149:B155" si="94">D149&amp;RIGHT(C149,3)&amp;"-E"</f>
        <v>ICPLELC-E</v>
      </c>
      <c r="C149" s="46" t="str">
        <f t="shared" si="89"/>
        <v>ICPELC</v>
      </c>
      <c r="D149" s="46" t="str">
        <f>$B$5&amp;RIGHT($B145,2)&amp;$B$63</f>
        <v>ICPL</v>
      </c>
      <c r="E149" s="58">
        <v>0.3</v>
      </c>
      <c r="F149" s="60">
        <f>SUMIF(AFA!$C$3:$L$3,RIGHT(D149,1),AFA!$C$4:$L$4)</f>
        <v>0.12454999999999999</v>
      </c>
      <c r="G149" s="59">
        <v>100</v>
      </c>
      <c r="H149" s="60">
        <f t="shared" si="93"/>
        <v>2.6807384919291106</v>
      </c>
      <c r="J149" s="61">
        <v>1</v>
      </c>
      <c r="K149" s="60">
        <f t="shared" si="90"/>
        <v>1.1185459938685787</v>
      </c>
      <c r="L149" s="60">
        <f t="shared" si="91"/>
        <v>0.3338859791697707</v>
      </c>
      <c r="N149" s="2"/>
      <c r="P149" s="74" t="str">
        <f>""</f>
        <v/>
      </c>
      <c r="V149" s="74" t="str">
        <f>""</f>
        <v/>
      </c>
      <c r="AA149" s="76">
        <f t="shared" si="92"/>
        <v>0.3</v>
      </c>
      <c r="AB149" s="77">
        <f>$AA149/(1-(SUMIF($B$61:$B$70,RIGHT($D149,1),'IND2017'!Z$148:Z$157)*$AK149))</f>
        <v>0.3</v>
      </c>
      <c r="AC149" s="77">
        <f>$AA149/(1-(SUMIF($B$61:$B$70,RIGHT($D149,1),'IND2017'!AA$148:AA$157)*$AK149))</f>
        <v>0.3</v>
      </c>
      <c r="AD149" s="77">
        <f>$AA149/(1-(SUMIF($B$61:$B$70,RIGHT($D149,1),'IND2017'!AB$148:AB$157)*$AK149))</f>
        <v>0.3</v>
      </c>
      <c r="AE149" s="77">
        <f>$AA149/(1-(SUMIF($B$61:$B$70,RIGHT($D149,1),'IND2017'!AC$148:AC$157)*$AK149))</f>
        <v>0.3</v>
      </c>
      <c r="AF149" s="77">
        <f>$AA149/(1-(SUMIF($B$61:$B$70,RIGHT($D149,1),'IND2017'!AD$148:AD$157)*$AK149))</f>
        <v>0.3</v>
      </c>
      <c r="AG149" s="77">
        <f>$AA149/(1-(SUMIF($B$61:$B$70,RIGHT($D149,1),'IND2017'!AE$148:AE$157)*$AK149))</f>
        <v>0.3</v>
      </c>
      <c r="AI149">
        <f t="shared" si="39"/>
        <v>68</v>
      </c>
      <c r="AK149">
        <f>SUMIFS('PAMS central control panel'!$D$14:$D$22,'PAMS central control panel'!$C$14:$C$22,RIGHT(LEFT($D149,3),2))</f>
        <v>0</v>
      </c>
      <c r="AV149" s="13"/>
    </row>
    <row r="150" spans="1:48">
      <c r="A150" s="45" t="str">
        <f t="shared" si="88"/>
        <v>Industry-Chemicals-Cooling - Electricity</v>
      </c>
      <c r="B150" s="45" t="str">
        <f t="shared" si="94"/>
        <v>ICPCELC-E</v>
      </c>
      <c r="C150" s="46" t="str">
        <f t="shared" si="89"/>
        <v>ICPELC</v>
      </c>
      <c r="D150" s="46" t="str">
        <f>$B$5&amp;RIGHT($B145,2)&amp;$B$64</f>
        <v>ICPC</v>
      </c>
      <c r="E150" s="58">
        <v>2</v>
      </c>
      <c r="F150" s="60">
        <f>SUMIF(AFA!$C$3:$L$3,RIGHT(D150,1),AFA!$C$4:$L$4)</f>
        <v>0.12956000000000001</v>
      </c>
      <c r="G150" s="59">
        <v>100</v>
      </c>
      <c r="H150" s="60">
        <f t="shared" si="93"/>
        <v>21.475634144397105</v>
      </c>
      <c r="J150" s="61">
        <v>1</v>
      </c>
      <c r="K150" s="60">
        <f t="shared" si="90"/>
        <v>1.3981824923357233</v>
      </c>
      <c r="L150" s="60">
        <f t="shared" si="91"/>
        <v>2.7823831597480893</v>
      </c>
      <c r="N150" s="2"/>
      <c r="P150" s="74" t="str">
        <f>""</f>
        <v/>
      </c>
      <c r="V150" s="74" t="str">
        <f>""</f>
        <v/>
      </c>
      <c r="AA150" s="76">
        <f t="shared" si="92"/>
        <v>2</v>
      </c>
      <c r="AB150" s="77">
        <f>$AA150/(1-(SUMIF($B$61:$B$70,RIGHT($D150,1),'IND2017'!Z$148:Z$157)*$AK150))</f>
        <v>2</v>
      </c>
      <c r="AC150" s="77">
        <f>$AA150/(1-(SUMIF($B$61:$B$70,RIGHT($D150,1),'IND2017'!AA$148:AA$157)*$AK150))</f>
        <v>2</v>
      </c>
      <c r="AD150" s="77">
        <f>$AA150/(1-(SUMIF($B$61:$B$70,RIGHT($D150,1),'IND2017'!AB$148:AB$157)*$AK150))</f>
        <v>2</v>
      </c>
      <c r="AE150" s="77">
        <f>$AA150/(1-(SUMIF($B$61:$B$70,RIGHT($D150,1),'IND2017'!AC$148:AC$157)*$AK150))</f>
        <v>2</v>
      </c>
      <c r="AF150" s="77">
        <f>$AA150/(1-(SUMIF($B$61:$B$70,RIGHT($D150,1),'IND2017'!AD$148:AD$157)*$AK150))</f>
        <v>2</v>
      </c>
      <c r="AG150" s="77">
        <f>$AA150/(1-(SUMIF($B$61:$B$70,RIGHT($D150,1),'IND2017'!AE$148:AE$157)*$AK150))</f>
        <v>2</v>
      </c>
      <c r="AI150">
        <f t="shared" si="39"/>
        <v>69</v>
      </c>
      <c r="AK150">
        <f>SUMIFS('PAMS central control panel'!$D$14:$D$22,'PAMS central control panel'!$C$14:$C$22,RIGHT(LEFT($D150,3),2))</f>
        <v>0</v>
      </c>
      <c r="AV150" s="13"/>
    </row>
    <row r="151" spans="1:48">
      <c r="A151" s="45" t="str">
        <f t="shared" si="88"/>
        <v>Industry-Chemicals-HVAC - Electricity</v>
      </c>
      <c r="B151" s="45" t="str">
        <f t="shared" si="94"/>
        <v>ICPHELC-E</v>
      </c>
      <c r="C151" s="46" t="str">
        <f t="shared" si="89"/>
        <v>ICPELC</v>
      </c>
      <c r="D151" s="46" t="str">
        <f>$B$5&amp;RIGHT($B145,2)&amp;$B$65</f>
        <v>ICPH</v>
      </c>
      <c r="E151" s="58">
        <v>0.9</v>
      </c>
      <c r="F151" s="60">
        <f>SUMIF(AFA!$C$3:$L$3,RIGHT(D151,1),AFA!$C$4:$L$4)</f>
        <v>0.13161</v>
      </c>
      <c r="G151" s="59">
        <v>100</v>
      </c>
      <c r="H151" s="60">
        <f t="shared" si="93"/>
        <v>3.8054020876427024</v>
      </c>
      <c r="J151" s="61">
        <v>1</v>
      </c>
      <c r="K151" s="60">
        <f t="shared" si="90"/>
        <v>0.55927299693428933</v>
      </c>
      <c r="L151" s="60">
        <f t="shared" si="91"/>
        <v>0.5008289687546561</v>
      </c>
      <c r="N151" s="2"/>
      <c r="P151" s="74" t="str">
        <f>""</f>
        <v/>
      </c>
      <c r="V151" s="74" t="str">
        <f>""</f>
        <v/>
      </c>
      <c r="AA151" s="76">
        <f t="shared" si="92"/>
        <v>0.9</v>
      </c>
      <c r="AB151" s="77">
        <f>$AA151/(1-(SUMIF($B$61:$B$70,RIGHT($D151,1),'IND2017'!Z$148:Z$157)*$AK151))</f>
        <v>0.9</v>
      </c>
      <c r="AC151" s="77">
        <f>$AA151/(1-(SUMIF($B$61:$B$70,RIGHT($D151,1),'IND2017'!AA$148:AA$157)*$AK151))</f>
        <v>0.9</v>
      </c>
      <c r="AD151" s="77">
        <f>$AA151/(1-(SUMIF($B$61:$B$70,RIGHT($D151,1),'IND2017'!AB$148:AB$157)*$AK151))</f>
        <v>0.9</v>
      </c>
      <c r="AE151" s="77">
        <f>$AA151/(1-(SUMIF($B$61:$B$70,RIGHT($D151,1),'IND2017'!AC$148:AC$157)*$AK151))</f>
        <v>0.9</v>
      </c>
      <c r="AF151" s="77">
        <f>$AA151/(1-(SUMIF($B$61:$B$70,RIGHT($D151,1),'IND2017'!AD$148:AD$157)*$AK151))</f>
        <v>0.9</v>
      </c>
      <c r="AG151" s="77">
        <f>$AA151/(1-(SUMIF($B$61:$B$70,RIGHT($D151,1),'IND2017'!AE$148:AE$157)*$AK151))</f>
        <v>0.9</v>
      </c>
      <c r="AI151">
        <f t="shared" si="39"/>
        <v>70</v>
      </c>
      <c r="AK151">
        <f>SUMIFS('PAMS central control panel'!$D$14:$D$22,'PAMS central control panel'!$C$14:$C$22,RIGHT(LEFT($D151,3),2))</f>
        <v>0</v>
      </c>
      <c r="AV151" s="13"/>
    </row>
    <row r="152" spans="1:48">
      <c r="A152" s="45" t="str">
        <f t="shared" si="88"/>
        <v>Industry-Chemicals-Pumping - Electricity</v>
      </c>
      <c r="B152" s="45" t="str">
        <f t="shared" si="94"/>
        <v>ICPPELC-E</v>
      </c>
      <c r="C152" s="46" t="str">
        <f t="shared" si="89"/>
        <v>ICPELC</v>
      </c>
      <c r="D152" s="46" t="str">
        <f>$B$5&amp;RIGHT($B145,2)&amp;$B$66</f>
        <v>ICPP</v>
      </c>
      <c r="E152" s="58">
        <v>0.8</v>
      </c>
      <c r="F152" s="60">
        <f>SUMIF(AFA!$C$3:$L$3,RIGHT(D152,1),AFA!$C$4:$L$4)</f>
        <v>0.12116</v>
      </c>
      <c r="G152" s="59">
        <v>100</v>
      </c>
      <c r="H152" s="60">
        <f t="shared" si="93"/>
        <v>64.300700291306114</v>
      </c>
      <c r="J152" s="61">
        <v>1</v>
      </c>
      <c r="K152" s="60">
        <f t="shared" si="90"/>
        <v>9.7872774463500622</v>
      </c>
      <c r="L152" s="60">
        <f t="shared" si="91"/>
        <v>7.7906728472946494</v>
      </c>
      <c r="N152" s="2"/>
      <c r="P152" s="74" t="str">
        <f>""</f>
        <v/>
      </c>
      <c r="V152" s="74" t="str">
        <f>""</f>
        <v/>
      </c>
      <c r="AA152" s="76">
        <f t="shared" si="92"/>
        <v>0.8</v>
      </c>
      <c r="AB152" s="77">
        <f>$AA152/(1-(SUMIF($B$61:$B$70,RIGHT($D152,1),'IND2017'!Z$148:Z$157)*$AK152))</f>
        <v>0.8</v>
      </c>
      <c r="AC152" s="77">
        <f>$AA152/(1-(SUMIF($B$61:$B$70,RIGHT($D152,1),'IND2017'!AA$148:AA$157)*$AK152))</f>
        <v>0.8</v>
      </c>
      <c r="AD152" s="77">
        <f>$AA152/(1-(SUMIF($B$61:$B$70,RIGHT($D152,1),'IND2017'!AB$148:AB$157)*$AK152))</f>
        <v>0.8</v>
      </c>
      <c r="AE152" s="77">
        <f>$AA152/(1-(SUMIF($B$61:$B$70,RIGHT($D152,1),'IND2017'!AC$148:AC$157)*$AK152))</f>
        <v>0.8</v>
      </c>
      <c r="AF152" s="77">
        <f>$AA152/(1-(SUMIF($B$61:$B$70,RIGHT($D152,1),'IND2017'!AD$148:AD$157)*$AK152))</f>
        <v>0.8</v>
      </c>
      <c r="AG152" s="77">
        <f>$AA152/(1-(SUMIF($B$61:$B$70,RIGHT($D152,1),'IND2017'!AE$148:AE$157)*$AK152))</f>
        <v>0.8</v>
      </c>
      <c r="AI152">
        <f t="shared" si="39"/>
        <v>71</v>
      </c>
      <c r="AK152">
        <f>SUMIFS('PAMS central control panel'!$D$14:$D$22,'PAMS central control panel'!$C$14:$C$22,RIGHT(LEFT($D152,3),2))</f>
        <v>0</v>
      </c>
      <c r="AV152" s="13"/>
    </row>
    <row r="153" spans="1:48">
      <c r="A153" s="45" t="str">
        <f t="shared" si="88"/>
        <v>Industry-Chemicals-Fans - Electricity</v>
      </c>
      <c r="B153" s="45" t="str">
        <f t="shared" si="94"/>
        <v>ICPFELC-E</v>
      </c>
      <c r="C153" s="46" t="str">
        <f t="shared" si="89"/>
        <v>ICPELC</v>
      </c>
      <c r="D153" s="46" t="str">
        <f>$B$5&amp;RIGHT($B145,2)&amp;$B$67</f>
        <v>ICPF</v>
      </c>
      <c r="E153" s="58">
        <v>0.8</v>
      </c>
      <c r="F153" s="60">
        <f>SUMIF(AFA!$C$3:$L$3,RIGHT(D153,1),AFA!$C$4:$L$4)</f>
        <v>0.10936999999999999</v>
      </c>
      <c r="G153" s="59">
        <v>100</v>
      </c>
      <c r="H153" s="60">
        <f t="shared" si="93"/>
        <v>16.281660622097263</v>
      </c>
      <c r="J153" s="61">
        <v>1</v>
      </c>
      <c r="K153" s="60">
        <f t="shared" si="90"/>
        <v>2.2370919877371573</v>
      </c>
      <c r="L153" s="60">
        <f t="shared" si="91"/>
        <v>1.7807252222387775</v>
      </c>
      <c r="N153" s="2"/>
      <c r="P153" s="74" t="str">
        <f>""</f>
        <v/>
      </c>
      <c r="V153" s="74" t="str">
        <f>""</f>
        <v/>
      </c>
      <c r="AA153" s="76">
        <f t="shared" si="92"/>
        <v>0.8</v>
      </c>
      <c r="AB153" s="77">
        <f>$AA153/(1-(SUMIF($B$61:$B$70,RIGHT($D153,1),'IND2017'!Z$148:Z$157)*$AK153))</f>
        <v>0.8</v>
      </c>
      <c r="AC153" s="77">
        <f>$AA153/(1-(SUMIF($B$61:$B$70,RIGHT($D153,1),'IND2017'!AA$148:AA$157)*$AK153))</f>
        <v>0.8</v>
      </c>
      <c r="AD153" s="77">
        <f>$AA153/(1-(SUMIF($B$61:$B$70,RIGHT($D153,1),'IND2017'!AB$148:AB$157)*$AK153))</f>
        <v>0.8</v>
      </c>
      <c r="AE153" s="77">
        <f>$AA153/(1-(SUMIF($B$61:$B$70,RIGHT($D153,1),'IND2017'!AC$148:AC$157)*$AK153))</f>
        <v>0.8</v>
      </c>
      <c r="AF153" s="77">
        <f>$AA153/(1-(SUMIF($B$61:$B$70,RIGHT($D153,1),'IND2017'!AD$148:AD$157)*$AK153))</f>
        <v>0.8</v>
      </c>
      <c r="AG153" s="77">
        <f>$AA153/(1-(SUMIF($B$61:$B$70,RIGHT($D153,1),'IND2017'!AE$148:AE$157)*$AK153))</f>
        <v>0.8</v>
      </c>
      <c r="AI153">
        <f t="shared" si="39"/>
        <v>72</v>
      </c>
      <c r="AK153">
        <f>SUMIFS('PAMS central control panel'!$D$14:$D$22,'PAMS central control panel'!$C$14:$C$22,RIGHT(LEFT($D153,3),2))</f>
        <v>0</v>
      </c>
      <c r="AV153" s="13"/>
    </row>
    <row r="154" spans="1:48">
      <c r="A154" s="45" t="str">
        <f t="shared" si="88"/>
        <v>Industry-Chemicals-Other motive - Electricity</v>
      </c>
      <c r="B154" s="45" t="str">
        <f t="shared" si="94"/>
        <v>ICPOELC-E</v>
      </c>
      <c r="C154" s="46" t="str">
        <f t="shared" si="89"/>
        <v>ICPELC</v>
      </c>
      <c r="D154" s="46" t="str">
        <f>$B$5&amp;RIGHT($B145,2)&amp;$B$68</f>
        <v>ICPO</v>
      </c>
      <c r="E154" s="58">
        <v>0.8</v>
      </c>
      <c r="F154" s="60">
        <f>SUMIF(AFA!$C$3:$L$3,RIGHT(D154,1),AFA!$C$4:$L$4)</f>
        <v>0.13081999999999999</v>
      </c>
      <c r="G154" s="59">
        <v>100</v>
      </c>
      <c r="H154" s="60">
        <f t="shared" si="93"/>
        <v>34.03006463535349</v>
      </c>
      <c r="J154" s="61">
        <v>1</v>
      </c>
      <c r="K154" s="60">
        <f t="shared" si="90"/>
        <v>5.5927299693428933</v>
      </c>
      <c r="L154" s="60">
        <f t="shared" si="91"/>
        <v>4.4518130555969435</v>
      </c>
      <c r="N154" s="2"/>
      <c r="P154" s="74" t="str">
        <f>""</f>
        <v/>
      </c>
      <c r="V154" s="74" t="str">
        <f>""</f>
        <v/>
      </c>
      <c r="AA154" s="76">
        <f t="shared" si="92"/>
        <v>0.8</v>
      </c>
      <c r="AB154" s="77">
        <f>$AA154/(1-(SUMIF($B$61:$B$70,RIGHT($D154,1),'IND2017'!Z$148:Z$157)*$AK154))</f>
        <v>0.8</v>
      </c>
      <c r="AC154" s="77">
        <f>$AA154/(1-(SUMIF($B$61:$B$70,RIGHT($D154,1),'IND2017'!AA$148:AA$157)*$AK154))</f>
        <v>0.8</v>
      </c>
      <c r="AD154" s="77">
        <f>$AA154/(1-(SUMIF($B$61:$B$70,RIGHT($D154,1),'IND2017'!AB$148:AB$157)*$AK154))</f>
        <v>0.8</v>
      </c>
      <c r="AE154" s="77">
        <f>$AA154/(1-(SUMIF($B$61:$B$70,RIGHT($D154,1),'IND2017'!AC$148:AC$157)*$AK154))</f>
        <v>0.8</v>
      </c>
      <c r="AF154" s="77">
        <f>$AA154/(1-(SUMIF($B$61:$B$70,RIGHT($D154,1),'IND2017'!AD$148:AD$157)*$AK154))</f>
        <v>0.8</v>
      </c>
      <c r="AG154" s="77">
        <f>$AA154/(1-(SUMIF($B$61:$B$70,RIGHT($D154,1),'IND2017'!AE$148:AE$157)*$AK154))</f>
        <v>0.8</v>
      </c>
      <c r="AI154">
        <f t="shared" si="39"/>
        <v>73</v>
      </c>
      <c r="AK154">
        <f>SUMIFS('PAMS central control panel'!$D$14:$D$22,'PAMS central control panel'!$C$14:$C$22,RIGHT(LEFT($D154,3),2))</f>
        <v>0</v>
      </c>
      <c r="AV154" s="13"/>
    </row>
    <row r="155" spans="1:48">
      <c r="A155" s="45" t="str">
        <f t="shared" si="88"/>
        <v>Industry-Chemicals-Electrochemical - Electricity</v>
      </c>
      <c r="B155" s="45" t="str">
        <f t="shared" si="94"/>
        <v>ICPEELC-E</v>
      </c>
      <c r="C155" s="46" t="str">
        <f t="shared" si="89"/>
        <v>ICPELC</v>
      </c>
      <c r="D155" s="46" t="str">
        <f>$B$5&amp;RIGHT($B145,2)&amp;$B$69</f>
        <v>ICPE</v>
      </c>
      <c r="E155" s="58">
        <v>0.76</v>
      </c>
      <c r="F155" s="60">
        <f>SUMIF(AFA!$C$3:$L$3,RIGHT(D155,1),AFA!$C$4:$L$4)</f>
        <v>0.13233</v>
      </c>
      <c r="G155" s="59">
        <v>100</v>
      </c>
      <c r="H155" s="60">
        <f t="shared" si="93"/>
        <v>12.783865798585644</v>
      </c>
      <c r="J155" s="61">
        <v>1</v>
      </c>
      <c r="K155" s="60">
        <f t="shared" si="90"/>
        <v>2.2370919877371573</v>
      </c>
      <c r="L155" s="60">
        <f t="shared" si="91"/>
        <v>1.6916889611268384</v>
      </c>
      <c r="N155" s="2"/>
      <c r="P155" s="74" t="str">
        <f>""</f>
        <v/>
      </c>
      <c r="V155" s="74" t="str">
        <f>""</f>
        <v/>
      </c>
      <c r="AA155" s="76">
        <f t="shared" si="92"/>
        <v>0.76</v>
      </c>
      <c r="AB155" s="77">
        <f>$AA155/(1-(SUMIF($B$61:$B$70,RIGHT($D155,1),'IND2017'!Z$148:Z$157)*$AK155))</f>
        <v>0.76</v>
      </c>
      <c r="AC155" s="77">
        <f>$AA155/(1-(SUMIF($B$61:$B$70,RIGHT($D155,1),'IND2017'!AA$148:AA$157)*$AK155))</f>
        <v>0.76</v>
      </c>
      <c r="AD155" s="77">
        <f>$AA155/(1-(SUMIF($B$61:$B$70,RIGHT($D155,1),'IND2017'!AB$148:AB$157)*$AK155))</f>
        <v>0.76</v>
      </c>
      <c r="AE155" s="77">
        <f>$AA155/(1-(SUMIF($B$61:$B$70,RIGHT($D155,1),'IND2017'!AC$148:AC$157)*$AK155))</f>
        <v>0.76</v>
      </c>
      <c r="AF155" s="77">
        <f>$AA155/(1-(SUMIF($B$61:$B$70,RIGHT($D155,1),'IND2017'!AD$148:AD$157)*$AK155))</f>
        <v>0.76</v>
      </c>
      <c r="AG155" s="77">
        <f>$AA155/(1-(SUMIF($B$61:$B$70,RIGHT($D155,1),'IND2017'!AE$148:AE$157)*$AK155))</f>
        <v>0.76</v>
      </c>
      <c r="AI155">
        <f t="shared" si="39"/>
        <v>74</v>
      </c>
      <c r="AK155">
        <f>SUMIFS('PAMS central control panel'!$D$14:$D$22,'PAMS central control panel'!$C$14:$C$22,RIGHT(LEFT($D155,3),2))</f>
        <v>0</v>
      </c>
      <c r="AV155" s="13"/>
    </row>
    <row r="156" spans="1:48">
      <c r="A156" s="45" t="str">
        <f>"\I:"&amp;A70</f>
        <v>\I:boiler/process heating</v>
      </c>
      <c r="B156" s="45"/>
      <c r="C156" s="46"/>
      <c r="D156" s="46" t="s">
        <v>336</v>
      </c>
      <c r="E156" s="58"/>
      <c r="F156" s="60">
        <f>SUMIF(AFA!$C$3:$L$3,RIGHT(D156,1),AFA!$C$4:$L$4)</f>
        <v>0</v>
      </c>
      <c r="G156" s="59"/>
      <c r="H156" s="60"/>
      <c r="J156" s="61"/>
      <c r="K156" s="60"/>
      <c r="L156" s="60"/>
      <c r="N156" s="2"/>
      <c r="P156" s="74" t="str">
        <f>""</f>
        <v/>
      </c>
      <c r="V156" s="74" t="str">
        <f>""</f>
        <v/>
      </c>
      <c r="AA156" s="74" t="str">
        <f>""</f>
        <v/>
      </c>
      <c r="AB156" s="77"/>
      <c r="AC156" s="77"/>
      <c r="AD156" s="77"/>
      <c r="AE156" s="77"/>
      <c r="AF156" s="77"/>
      <c r="AG156" s="77"/>
      <c r="AI156">
        <f t="shared" si="39"/>
        <v>75</v>
      </c>
      <c r="AK156">
        <f>SUMIFS('PAMS central control panel'!$D$14:$D$22,'PAMS central control panel'!$C$14:$C$22,RIGHT(LEFT($D156,3),2))</f>
        <v>0</v>
      </c>
      <c r="AV156" s="13"/>
    </row>
    <row r="157" spans="1:48" ht="14.25" customHeight="1">
      <c r="A157" s="45" t="str">
        <f>A$5&amp;"-"&amp;A$14&amp;"-"&amp;A$70&amp;" - "&amp;VLOOKUP(RIGHT(C157,3),NameConv!$E$4:$G$20,2,FALSE)&amp;" - Existing"</f>
        <v>Industry-Chemicals-boiler/process heating -  - Existing</v>
      </c>
      <c r="B157" s="45" t="str">
        <f t="shared" ref="B157:B164" si="95">D157&amp;RIGHT(C157,3)&amp;"-E"</f>
        <v>ICPSCLE-E</v>
      </c>
      <c r="C157" s="46" t="s">
        <v>468</v>
      </c>
      <c r="D157" s="46" t="str">
        <f>$B$5&amp;RIGHT($B145,2)&amp;$B$70</f>
        <v>ICPS</v>
      </c>
      <c r="E157" s="87">
        <v>0.64</v>
      </c>
      <c r="F157" s="60">
        <f>SUMIF(AFA!$C$3:$L$3,RIGHT(D157,1),AFA!$C$4:$L$4)</f>
        <v>0.15426999999999999</v>
      </c>
      <c r="G157" s="59">
        <v>100</v>
      </c>
      <c r="H157" s="60">
        <f t="shared" ref="H157:H164" si="96">L157/F157</f>
        <v>175.51523951513582</v>
      </c>
      <c r="J157" s="61">
        <v>1</v>
      </c>
      <c r="K157" s="60">
        <f>J157*C14</f>
        <v>42.52</v>
      </c>
      <c r="L157" s="60">
        <f t="shared" ref="L157:L164" si="97">K157*E157*(1-$L$77)</f>
        <v>27.076736</v>
      </c>
      <c r="N157" s="2"/>
      <c r="O157">
        <v>1</v>
      </c>
      <c r="P157" s="196">
        <f t="shared" ref="P157:P164" si="98">L157/(SUMIF($D$81:$D$268,$D157,$L$81:$L$268)+$P$77)</f>
        <v>0.99225082114403307</v>
      </c>
      <c r="Q157" s="77">
        <f>'IND2017'!N115</f>
        <v>0.8077248655478656</v>
      </c>
      <c r="R157" s="77">
        <f t="shared" ref="R157:T163" si="99">MIN(1,$P157+R$75*$O157)</f>
        <v>1</v>
      </c>
      <c r="S157" s="77">
        <f t="shared" si="99"/>
        <v>1</v>
      </c>
      <c r="T157" s="77">
        <f>MIN(1,$P157+T$75*$O157)</f>
        <v>1</v>
      </c>
      <c r="V157" s="76">
        <f t="shared" ref="V157:V164" si="100">P157</f>
        <v>0.99225082114403307</v>
      </c>
      <c r="W157" s="77">
        <f t="shared" ref="W157:Y164" si="101">$Q157*W$75</f>
        <v>0.79964761689238695</v>
      </c>
      <c r="X157" s="77">
        <f t="shared" si="101"/>
        <v>0</v>
      </c>
      <c r="Y157" s="77">
        <f t="shared" si="101"/>
        <v>0</v>
      </c>
      <c r="AA157" s="76">
        <f t="shared" ref="AA157:AA164" si="102">E157</f>
        <v>0.64</v>
      </c>
      <c r="AB157" s="77">
        <f>$AA157/(1-(SUMIF($B$61:$B$70,RIGHT($D157,1),'IND2017'!Z$148:Z$157)*$AK157))</f>
        <v>0.64</v>
      </c>
      <c r="AC157" s="77">
        <f>$AA157/(1-(SUMIF($B$61:$B$70,RIGHT($D157,1),'IND2017'!AA$148:AA$157)*$AK157))</f>
        <v>0.64</v>
      </c>
      <c r="AD157" s="77">
        <f>$AA157/(1-(SUMIF($B$61:$B$70,RIGHT($D157,1),'IND2017'!AB$148:AB$157)*$AK157))</f>
        <v>0.64</v>
      </c>
      <c r="AE157" s="77">
        <f>$AA157/(1-(SUMIF($B$61:$B$70,RIGHT($D157,1),'IND2017'!AC$148:AC$157)*$AK157))</f>
        <v>0.64</v>
      </c>
      <c r="AF157" s="77">
        <f>$AA157/(1-(SUMIF($B$61:$B$70,RIGHT($D157,1),'IND2017'!AD$148:AD$157)*$AK157))</f>
        <v>0.64</v>
      </c>
      <c r="AG157" s="77">
        <f>$AA157/(1-(SUMIF($B$61:$B$70,RIGHT($D157,1),'IND2017'!AE$148:AE$157)*$AK157))</f>
        <v>0.64</v>
      </c>
      <c r="AI157">
        <f t="shared" si="39"/>
        <v>76</v>
      </c>
      <c r="AK157">
        <f>SUMIFS('PAMS central control panel'!$D$14:$D$22,'PAMS central control panel'!$C$14:$C$22,RIGHT(LEFT($D157,3),2))</f>
        <v>0</v>
      </c>
      <c r="AV157" s="13"/>
    </row>
    <row r="158" spans="1:48">
      <c r="A158" s="45" t="str">
        <f>A$5&amp;"-"&amp;A$14&amp;"-"&amp;A$70&amp;" - "&amp;VLOOKUP(RIGHT(C158,3),NameConv!$E$4:$G$20,2,FALSE)&amp;" - Existing"</f>
        <v>Industry-Chemicals-boiler/process heating -  - Existing</v>
      </c>
      <c r="B158" s="45" t="str">
        <f t="shared" si="95"/>
        <v>ICPSGAS-E</v>
      </c>
      <c r="C158" s="46" t="str">
        <f>"I"&amp;B145&amp;"GAS"</f>
        <v>ICPGAS</v>
      </c>
      <c r="D158" s="46" t="str">
        <f>$B$5&amp;RIGHT($B145,2)&amp;$B$70</f>
        <v>ICPS</v>
      </c>
      <c r="E158" s="87">
        <v>0.72</v>
      </c>
      <c r="F158" s="60">
        <f>SUMIF(AFA!$C$3:$L$3,RIGHT(D158,1),AFA!$C$4:$L$4)</f>
        <v>0.15426999999999999</v>
      </c>
      <c r="G158" s="59">
        <v>100</v>
      </c>
      <c r="H158" s="60">
        <f t="shared" si="96"/>
        <v>0</v>
      </c>
      <c r="J158" s="61">
        <v>0</v>
      </c>
      <c r="K158" s="60">
        <f>J158*INDEX($C$10:$L$19,MATCH(B145,$B$10:$B$19,0),MATCH($B$6&amp;RIGHT(C158,3),$C$6:$L$6,0))</f>
        <v>0</v>
      </c>
      <c r="L158" s="60">
        <f t="shared" si="97"/>
        <v>0</v>
      </c>
      <c r="N158" s="2"/>
      <c r="O158" s="103">
        <v>2</v>
      </c>
      <c r="P158" s="78">
        <f t="shared" si="98"/>
        <v>0</v>
      </c>
      <c r="Q158" s="77">
        <f>'IND2017'!N116</f>
        <v>0.13760692116820195</v>
      </c>
      <c r="R158" s="77">
        <f t="shared" si="99"/>
        <v>1</v>
      </c>
      <c r="S158" s="77">
        <f t="shared" si="99"/>
        <v>1</v>
      </c>
      <c r="T158" s="77">
        <f>MIN(1,$P158+T$75*$O158)</f>
        <v>1</v>
      </c>
      <c r="V158" s="76">
        <f t="shared" si="100"/>
        <v>0</v>
      </c>
      <c r="W158" s="77">
        <f t="shared" si="101"/>
        <v>0.13623085195651993</v>
      </c>
      <c r="X158" s="77">
        <f t="shared" si="101"/>
        <v>0</v>
      </c>
      <c r="Y158" s="77">
        <f t="shared" si="101"/>
        <v>0</v>
      </c>
      <c r="AA158" s="76">
        <f t="shared" si="102"/>
        <v>0.72</v>
      </c>
      <c r="AB158" s="77">
        <f>$AA158/(1-(SUMIF($B$61:$B$70,RIGHT($D158,1),'IND2017'!Z$148:Z$157)*$AK158))</f>
        <v>0.72</v>
      </c>
      <c r="AC158" s="77">
        <f>$AA158/(1-(SUMIF($B$61:$B$70,RIGHT($D158,1),'IND2017'!AA$148:AA$157)*$AK158))</f>
        <v>0.72</v>
      </c>
      <c r="AD158" s="77">
        <f>$AA158/(1-(SUMIF($B$61:$B$70,RIGHT($D158,1),'IND2017'!AB$148:AB$157)*$AK158))</f>
        <v>0.72</v>
      </c>
      <c r="AE158" s="77">
        <f>$AA158/(1-(SUMIF($B$61:$B$70,RIGHT($D158,1),'IND2017'!AC$148:AC$157)*$AK158))</f>
        <v>0.72</v>
      </c>
      <c r="AF158" s="77">
        <f>$AA158/(1-(SUMIF($B$61:$B$70,RIGHT($D158,1),'IND2017'!AD$148:AD$157)*$AK158))</f>
        <v>0.72</v>
      </c>
      <c r="AG158" s="77">
        <f>$AA158/(1-(SUMIF($B$61:$B$70,RIGHT($D158,1),'IND2017'!AE$148:AE$157)*$AK158))</f>
        <v>0.72</v>
      </c>
      <c r="AI158">
        <f t="shared" si="39"/>
        <v>77</v>
      </c>
      <c r="AK158">
        <f>SUMIFS('PAMS central control panel'!$D$14:$D$22,'PAMS central control panel'!$C$14:$C$22,RIGHT(LEFT($D158,3),2))</f>
        <v>0</v>
      </c>
      <c r="AV158" s="13"/>
    </row>
    <row r="159" spans="1:48">
      <c r="A159" s="45" t="str">
        <f>A$5&amp;"-"&amp;A$14&amp;"-"&amp;A$70&amp;" - "&amp;VLOOKUP(RIGHT(C159,3),NameConv!$E$4:$G$20,2,FALSE)&amp;" - Existing"</f>
        <v>Industry-Chemicals-boiler/process heating -  - Existing</v>
      </c>
      <c r="B159" s="45" t="str">
        <f t="shared" si="95"/>
        <v>ICPSOHF-E</v>
      </c>
      <c r="C159" s="46" t="str">
        <f>+$H$6</f>
        <v>INDOHF</v>
      </c>
      <c r="D159" s="46" t="str">
        <f>$B$5&amp;RIGHT($B145,2)&amp;$B$70</f>
        <v>ICPS</v>
      </c>
      <c r="E159" s="87">
        <v>0.68</v>
      </c>
      <c r="F159" s="60">
        <f>SUMIF(AFA!$C$3:$L$3,RIGHT(D159,1),AFA!$C$4:$L$4)</f>
        <v>0.15426999999999999</v>
      </c>
      <c r="G159" s="59">
        <v>100</v>
      </c>
      <c r="H159" s="60">
        <f t="shared" si="96"/>
        <v>0</v>
      </c>
      <c r="J159" s="61">
        <v>1</v>
      </c>
      <c r="K159" s="60">
        <f>J159*INDEX($C$10:$L$19,MATCH(B145,$B$10:$B$19,0),MATCH($B$6&amp;RIGHT(C159,3),$C$6:$L$6,0))</f>
        <v>0</v>
      </c>
      <c r="L159" s="60">
        <f t="shared" si="97"/>
        <v>0</v>
      </c>
      <c r="N159" s="2"/>
      <c r="O159">
        <v>1</v>
      </c>
      <c r="P159" s="78">
        <f t="shared" si="98"/>
        <v>0</v>
      </c>
      <c r="Q159" s="77">
        <f>'IND2017'!N117</f>
        <v>3.8742087109987604E-2</v>
      </c>
      <c r="R159" s="77">
        <f t="shared" si="99"/>
        <v>0.5</v>
      </c>
      <c r="S159" s="77">
        <f t="shared" si="99"/>
        <v>1</v>
      </c>
      <c r="T159" s="77">
        <f t="shared" si="99"/>
        <v>1</v>
      </c>
      <c r="V159" s="76">
        <f t="shared" si="100"/>
        <v>0</v>
      </c>
      <c r="W159" s="77">
        <f t="shared" si="101"/>
        <v>3.8354666238887725E-2</v>
      </c>
      <c r="X159" s="77">
        <f t="shared" si="101"/>
        <v>0</v>
      </c>
      <c r="Y159" s="77">
        <f t="shared" si="101"/>
        <v>0</v>
      </c>
      <c r="AA159" s="76">
        <f t="shared" si="102"/>
        <v>0.68</v>
      </c>
      <c r="AB159" s="77">
        <f>$AA159/(1-(SUMIF($B$61:$B$70,RIGHT($D159,1),'IND2017'!Z$148:Z$157)*$AK159))</f>
        <v>0.68</v>
      </c>
      <c r="AC159" s="77">
        <f>$AA159/(1-(SUMIF($B$61:$B$70,RIGHT($D159,1),'IND2017'!AA$148:AA$157)*$AK159))</f>
        <v>0.68</v>
      </c>
      <c r="AD159" s="77">
        <f>$AA159/(1-(SUMIF($B$61:$B$70,RIGHT($D159,1),'IND2017'!AB$148:AB$157)*$AK159))</f>
        <v>0.68</v>
      </c>
      <c r="AE159" s="77">
        <f>$AA159/(1-(SUMIF($B$61:$B$70,RIGHT($D159,1),'IND2017'!AC$148:AC$157)*$AK159))</f>
        <v>0.68</v>
      </c>
      <c r="AF159" s="77">
        <f>$AA159/(1-(SUMIF($B$61:$B$70,RIGHT($D159,1),'IND2017'!AD$148:AD$157)*$AK159))</f>
        <v>0.68</v>
      </c>
      <c r="AG159" s="77">
        <f>$AA159/(1-(SUMIF($B$61:$B$70,RIGHT($D159,1),'IND2017'!AE$148:AE$157)*$AK159))</f>
        <v>0.68</v>
      </c>
      <c r="AI159">
        <f t="shared" si="39"/>
        <v>78</v>
      </c>
      <c r="AK159">
        <f>SUMIFS('PAMS central control panel'!$D$14:$D$22,'PAMS central control panel'!$C$14:$C$22,RIGHT(LEFT($D159,3),2))</f>
        <v>0</v>
      </c>
      <c r="AV159" s="13"/>
    </row>
    <row r="160" spans="1:48">
      <c r="A160" s="45" t="str">
        <f>A$5&amp;"-"&amp;A$14&amp;"-"&amp;A$70&amp;" - "&amp;VLOOKUP(RIGHT(C160,3),NameConv!$E$4:$G$20,2,FALSE)&amp;" - Existing"</f>
        <v>Industry-Chemicals-boiler/process heating -  - Existing</v>
      </c>
      <c r="B160" s="45" t="str">
        <f t="shared" si="95"/>
        <v>ICPSOLP-E</v>
      </c>
      <c r="C160" s="46" t="str">
        <f>+$I$6</f>
        <v>INDOLP</v>
      </c>
      <c r="D160" s="46" t="str">
        <f>$B$5&amp;RIGHT($B145,2)&amp;$B$70</f>
        <v>ICPS</v>
      </c>
      <c r="E160" s="87">
        <v>0.72</v>
      </c>
      <c r="F160" s="60">
        <f>SUMIF(AFA!$C$3:$L$3,RIGHT(D160,1),AFA!$C$4:$L$4)</f>
        <v>0.15426999999999999</v>
      </c>
      <c r="G160" s="59">
        <v>100</v>
      </c>
      <c r="H160" s="60">
        <f t="shared" si="96"/>
        <v>0</v>
      </c>
      <c r="J160" s="61">
        <v>1</v>
      </c>
      <c r="K160" s="60">
        <f>J160*INDEX($C$10:$L$19,MATCH(B145,$B$10:$B$19,0),MATCH($B$6&amp;RIGHT(C160,3),$C$6:$L$6,0))</f>
        <v>0</v>
      </c>
      <c r="L160" s="60">
        <f t="shared" si="97"/>
        <v>0</v>
      </c>
      <c r="N160" s="2"/>
      <c r="O160">
        <v>1</v>
      </c>
      <c r="P160" s="78">
        <f t="shared" si="98"/>
        <v>0</v>
      </c>
      <c r="Q160" s="77">
        <f>'IND2017'!N118</f>
        <v>0</v>
      </c>
      <c r="R160" s="77">
        <f t="shared" si="99"/>
        <v>0.5</v>
      </c>
      <c r="S160" s="77">
        <f t="shared" si="99"/>
        <v>1</v>
      </c>
      <c r="T160" s="77">
        <f t="shared" si="99"/>
        <v>1</v>
      </c>
      <c r="V160" s="76">
        <f t="shared" si="100"/>
        <v>0</v>
      </c>
      <c r="W160" s="77">
        <f t="shared" si="101"/>
        <v>0</v>
      </c>
      <c r="X160" s="77">
        <f t="shared" si="101"/>
        <v>0</v>
      </c>
      <c r="Y160" s="77">
        <f t="shared" si="101"/>
        <v>0</v>
      </c>
      <c r="AA160" s="76">
        <f t="shared" si="102"/>
        <v>0.72</v>
      </c>
      <c r="AB160" s="77">
        <f>$AA160/(1-(SUMIF($B$61:$B$70,RIGHT($D160,1),'IND2017'!Z$148:Z$157)*$AK160))</f>
        <v>0.72</v>
      </c>
      <c r="AC160" s="77">
        <f>$AA160/(1-(SUMIF($B$61:$B$70,RIGHT($D160,1),'IND2017'!AA$148:AA$157)*$AK160))</f>
        <v>0.72</v>
      </c>
      <c r="AD160" s="77">
        <f>$AA160/(1-(SUMIF($B$61:$B$70,RIGHT($D160,1),'IND2017'!AB$148:AB$157)*$AK160))</f>
        <v>0.72</v>
      </c>
      <c r="AE160" s="77">
        <f>$AA160/(1-(SUMIF($B$61:$B$70,RIGHT($D160,1),'IND2017'!AC$148:AC$157)*$AK160))</f>
        <v>0.72</v>
      </c>
      <c r="AF160" s="77">
        <f>$AA160/(1-(SUMIF($B$61:$B$70,RIGHT($D160,1),'IND2017'!AD$148:AD$157)*$AK160))</f>
        <v>0.72</v>
      </c>
      <c r="AG160" s="77">
        <f>$AA160/(1-(SUMIF($B$61:$B$70,RIGHT($D160,1),'IND2017'!AE$148:AE$157)*$AK160))</f>
        <v>0.72</v>
      </c>
      <c r="AI160">
        <f t="shared" si="39"/>
        <v>79</v>
      </c>
      <c r="AK160">
        <f>SUMIFS('PAMS central control panel'!$D$14:$D$22,'PAMS central control panel'!$C$14:$C$22,RIGHT(LEFT($D160,3),2))</f>
        <v>0</v>
      </c>
      <c r="AV160" s="13"/>
    </row>
    <row r="161" spans="1:48" ht="15">
      <c r="A161" s="45" t="str">
        <f>A$5&amp;"-"&amp;A$14&amp;"-"&amp;A$70&amp;" - "&amp;VLOOKUP(RIGHT(C161,3),NameConv!$E$4:$G$20,2,FALSE)&amp;" - Existing"</f>
        <v>Industry-Chemicals-boiler/process heating -  - Existing</v>
      </c>
      <c r="B161" s="45" t="str">
        <f t="shared" si="95"/>
        <v>ICPSELC-E</v>
      </c>
      <c r="C161" s="46" t="str">
        <f>$P$13</f>
        <v>ICPELC</v>
      </c>
      <c r="D161" s="46" t="str">
        <f>$B$5&amp;RIGHT($B145,2)&amp;$B$70</f>
        <v>ICPS</v>
      </c>
      <c r="E161" s="87">
        <v>0.76</v>
      </c>
      <c r="F161" s="60">
        <f>SUMIF(AFA!$C$3:$L$3,RIGHT(D161,1),AFA!$C$4:$L$4)</f>
        <v>0.15426999999999999</v>
      </c>
      <c r="G161" s="59">
        <v>100</v>
      </c>
      <c r="H161" s="60">
        <f t="shared" si="96"/>
        <v>1.3707209447128723</v>
      </c>
      <c r="J161" s="61">
        <v>1</v>
      </c>
      <c r="K161" s="60">
        <f>J161*INDEX($C$70:$J$70,MATCH($B145,$C$60:$J$60,0))</f>
        <v>0.27963649846714467</v>
      </c>
      <c r="L161" s="60">
        <f t="shared" si="97"/>
        <v>0.2114611201408548</v>
      </c>
      <c r="N161" s="2"/>
      <c r="O161">
        <v>1</v>
      </c>
      <c r="P161" s="196">
        <f t="shared" si="98"/>
        <v>7.7491788559669898E-3</v>
      </c>
      <c r="Q161" s="77">
        <f>'IND2017'!N119</f>
        <v>1.5926126173944805E-2</v>
      </c>
      <c r="R161" s="77">
        <f t="shared" si="99"/>
        <v>0.50774917885596704</v>
      </c>
      <c r="S161" s="216">
        <f>90%-S162</f>
        <v>0.69000000000000006</v>
      </c>
      <c r="T161" s="216">
        <f>90%-T162</f>
        <v>0.69000000000000006</v>
      </c>
      <c r="V161" s="76">
        <f t="shared" si="100"/>
        <v>7.7491788559669898E-3</v>
      </c>
      <c r="W161" s="77">
        <f t="shared" si="101"/>
        <v>1.5766864912205358E-2</v>
      </c>
      <c r="X161" s="77">
        <f t="shared" si="101"/>
        <v>0</v>
      </c>
      <c r="Y161" s="77">
        <f t="shared" si="101"/>
        <v>0</v>
      </c>
      <c r="AA161" s="76">
        <f t="shared" si="102"/>
        <v>0.76</v>
      </c>
      <c r="AB161" s="77">
        <f>$AA161/(1-(SUMIF($B$61:$B$70,RIGHT($D161,1),'IND2017'!Z$148:Z$157)*$AK161))</f>
        <v>0.76</v>
      </c>
      <c r="AC161" s="77">
        <f>$AA161/(1-(SUMIF($B$61:$B$70,RIGHT($D161,1),'IND2017'!AA$148:AA$157)*$AK161))</f>
        <v>0.76</v>
      </c>
      <c r="AD161" s="77">
        <f>$AA161/(1-(SUMIF($B$61:$B$70,RIGHT($D161,1),'IND2017'!AB$148:AB$157)*$AK161))</f>
        <v>0.76</v>
      </c>
      <c r="AE161" s="77">
        <f>$AA161/(1-(SUMIF($B$61:$B$70,RIGHT($D161,1),'IND2017'!AC$148:AC$157)*$AK161))</f>
        <v>0.76</v>
      </c>
      <c r="AF161" s="77">
        <f>$AA161/(1-(SUMIF($B$61:$B$70,RIGHT($D161,1),'IND2017'!AD$148:AD$157)*$AK161))</f>
        <v>0.76</v>
      </c>
      <c r="AG161" s="77">
        <f>$AA161/(1-(SUMIF($B$61:$B$70,RIGHT($D161,1),'IND2017'!AE$148:AE$157)*$AK161))</f>
        <v>0.76</v>
      </c>
      <c r="AI161">
        <f t="shared" si="39"/>
        <v>80</v>
      </c>
      <c r="AK161">
        <f>SUMIFS('PAMS central control panel'!$D$14:$D$22,'PAMS central control panel'!$C$14:$C$22,RIGHT(LEFT($D161,3),2))</f>
        <v>0</v>
      </c>
      <c r="AV161" s="13"/>
    </row>
    <row r="162" spans="1:48" ht="15">
      <c r="A162" s="45" t="str">
        <f>A$5&amp;"-"&amp;A$14&amp;"-"&amp;A$70&amp;" - "&amp;VLOOKUP(RIGHT(C162,3),NameConv!$E$4:$G$20,2,FALSE)&amp;" - Heat Pump New"</f>
        <v>Industry-Chemicals-boiler/process heating -  - Heat Pump New</v>
      </c>
      <c r="B162" s="45" t="str">
        <f>D162&amp;RIGHT(C162,3)&amp;"-N"</f>
        <v>ICPSELC-N</v>
      </c>
      <c r="C162" s="46" t="str">
        <f>$P$13</f>
        <v>ICPELC</v>
      </c>
      <c r="D162" s="46" t="str">
        <f>$B$5&amp;RIGHT($B145,2)&amp;$B$70</f>
        <v>ICPS</v>
      </c>
      <c r="E162" s="87">
        <f>E96</f>
        <v>3.34</v>
      </c>
      <c r="F162" s="60">
        <f>SUMIF(AFA!$C$3:$L$3,RIGHT(D162,1),AFA!$C$4:$L$4)</f>
        <v>0.15426999999999999</v>
      </c>
      <c r="G162" s="59">
        <v>100</v>
      </c>
      <c r="H162" s="60">
        <v>0</v>
      </c>
      <c r="J162" s="61">
        <v>1</v>
      </c>
      <c r="K162" s="60">
        <v>0</v>
      </c>
      <c r="L162" s="60">
        <f>K162*E162*(1-$L$77)</f>
        <v>0</v>
      </c>
      <c r="N162" s="2"/>
      <c r="O162">
        <v>1</v>
      </c>
      <c r="P162" s="196">
        <f t="shared" si="98"/>
        <v>0</v>
      </c>
      <c r="Q162" s="77">
        <f>'IND2017'!N120</f>
        <v>0</v>
      </c>
      <c r="R162" s="216">
        <v>0.02</v>
      </c>
      <c r="S162" s="216">
        <v>0.21</v>
      </c>
      <c r="T162" s="216">
        <v>0.21</v>
      </c>
      <c r="V162" s="76">
        <f>P162</f>
        <v>0</v>
      </c>
      <c r="W162" s="77">
        <f t="shared" si="101"/>
        <v>0</v>
      </c>
      <c r="X162" s="77">
        <f t="shared" si="101"/>
        <v>0</v>
      </c>
      <c r="Y162" s="77">
        <f t="shared" si="101"/>
        <v>0</v>
      </c>
      <c r="AA162" s="76">
        <f>E162</f>
        <v>3.34</v>
      </c>
      <c r="AB162" s="77">
        <f>$AA162/(1-(SUMIF($B$61:$B$70,RIGHT($D162,1),'IND2017'!Z$148:Z$157)*$AK162))</f>
        <v>3.34</v>
      </c>
      <c r="AC162" s="77">
        <f>$AA162/(1-(SUMIF($B$61:$B$70,RIGHT($D162,1),'IND2017'!AA$148:AA$157)*$AK162))</f>
        <v>3.34</v>
      </c>
      <c r="AD162" s="77">
        <f>$AA162/(1-(SUMIF($B$61:$B$70,RIGHT($D162,1),'IND2017'!AB$148:AB$157)*$AK162))</f>
        <v>3.34</v>
      </c>
      <c r="AE162" s="77">
        <f>$AA162/(1-(SUMIF($B$61:$B$70,RIGHT($D162,1),'IND2017'!AC$148:AC$157)*$AK162))</f>
        <v>3.34</v>
      </c>
      <c r="AF162" s="77">
        <f>$AA162/(1-(SUMIF($B$61:$B$70,RIGHT($D162,1),'IND2017'!AD$148:AD$157)*$AK162))</f>
        <v>3.34</v>
      </c>
      <c r="AG162" s="77">
        <f>$AA162/(1-(SUMIF($B$61:$B$70,RIGHT($D162,1),'IND2017'!AE$148:AE$157)*$AK162))</f>
        <v>3.34</v>
      </c>
      <c r="AI162">
        <f t="shared" si="39"/>
        <v>81</v>
      </c>
      <c r="AK162">
        <f>SUMIFS('PAMS central control panel'!$D$14:$D$22,'PAMS central control panel'!$C$14:$C$22,RIGHT(LEFT($D162,3),2))</f>
        <v>0</v>
      </c>
      <c r="AV162" s="13"/>
    </row>
    <row r="163" spans="1:48">
      <c r="A163" s="45" t="s">
        <v>469</v>
      </c>
      <c r="B163" s="45" t="str">
        <f>D163&amp;RIGHT(C163,3)&amp;"-N"</f>
        <v>ICPSHGN-N</v>
      </c>
      <c r="C163" s="46" t="s">
        <v>467</v>
      </c>
      <c r="D163" s="46" t="str">
        <f>$B$5&amp;RIGHT($B145,2)&amp;$B$70</f>
        <v>ICPS</v>
      </c>
      <c r="E163" s="87">
        <f>E97</f>
        <v>0.76</v>
      </c>
      <c r="F163" s="60">
        <f>SUMIF(AFA!$C$3:$L$3,RIGHT(D163,1),AFA!$C$4:$L$4)</f>
        <v>0.15426999999999999</v>
      </c>
      <c r="G163" s="59">
        <v>100</v>
      </c>
      <c r="H163" s="60">
        <v>0</v>
      </c>
      <c r="J163" s="61">
        <v>1</v>
      </c>
      <c r="K163" s="60">
        <v>0</v>
      </c>
      <c r="L163" s="60">
        <f>K163*E163*(1-$L$77)</f>
        <v>0</v>
      </c>
      <c r="N163" s="2"/>
      <c r="O163">
        <v>1</v>
      </c>
      <c r="P163" s="196">
        <f t="shared" si="98"/>
        <v>0</v>
      </c>
      <c r="Q163" s="77">
        <f>'IND2017'!N121</f>
        <v>0</v>
      </c>
      <c r="R163" s="77">
        <f t="shared" si="99"/>
        <v>0.5</v>
      </c>
      <c r="S163" s="77">
        <f t="shared" si="99"/>
        <v>1</v>
      </c>
      <c r="T163" s="77">
        <f t="shared" si="99"/>
        <v>1</v>
      </c>
      <c r="V163" s="76">
        <f>P163</f>
        <v>0</v>
      </c>
      <c r="W163" s="77">
        <f t="shared" si="101"/>
        <v>0</v>
      </c>
      <c r="X163" s="77">
        <f t="shared" si="101"/>
        <v>0</v>
      </c>
      <c r="Y163" s="77">
        <f t="shared" si="101"/>
        <v>0</v>
      </c>
      <c r="AA163" s="76">
        <f>E163</f>
        <v>0.76</v>
      </c>
      <c r="AB163" s="77">
        <f>$AA163/(1-(SUMIF($B$61:$B$70,RIGHT($D163,1),'IND2017'!Z$148:Z$157)*$AK163))</f>
        <v>0.76</v>
      </c>
      <c r="AC163" s="77">
        <f>$AA163/(1-(SUMIF($B$61:$B$70,RIGHT($D163,1),'IND2017'!AA$148:AA$157)*$AK163))</f>
        <v>0.76</v>
      </c>
      <c r="AD163" s="77">
        <f>$AA163/(1-(SUMIF($B$61:$B$70,RIGHT($D163,1),'IND2017'!AB$148:AB$157)*$AK163))</f>
        <v>0.76</v>
      </c>
      <c r="AE163" s="77">
        <f>$AA163/(1-(SUMIF($B$61:$B$70,RIGHT($D163,1),'IND2017'!AC$148:AC$157)*$AK163))</f>
        <v>0.76</v>
      </c>
      <c r="AF163" s="77">
        <f>$AA163/(1-(SUMIF($B$61:$B$70,RIGHT($D163,1),'IND2017'!AD$148:AD$157)*$AK163))</f>
        <v>0.76</v>
      </c>
      <c r="AG163" s="77">
        <f>$AA163/(1-(SUMIF($B$61:$B$70,RIGHT($D163,1),'IND2017'!AE$148:AE$157)*$AK163))</f>
        <v>0.76</v>
      </c>
      <c r="AI163">
        <f>AI162+1</f>
        <v>82</v>
      </c>
      <c r="AK163">
        <f>SUMIFS('PAMS central control panel'!$D$14:$D$22,'PAMS central control panel'!$C$14:$C$22,RIGHT(LEFT($D163,3),2))</f>
        <v>0</v>
      </c>
      <c r="AV163" s="13"/>
    </row>
    <row r="164" spans="1:48">
      <c r="A164" s="45" t="str">
        <f>A$5&amp;"-"&amp;A$14&amp;"-"&amp;A$70&amp;" - "&amp;VLOOKUP(RIGHT(C164,3),NameConv!$E$4:$G$20,2,FALSE)&amp;" - Existing"</f>
        <v>Industry-Chemicals-boiler/process heating -  - Existing</v>
      </c>
      <c r="B164" s="45" t="str">
        <f t="shared" si="95"/>
        <v>ICPSWAS-E</v>
      </c>
      <c r="C164" s="46" t="str">
        <f>$L$6</f>
        <v>INDWAS</v>
      </c>
      <c r="D164" s="46" t="str">
        <f>$B$5&amp;RIGHT($B145,2)&amp;$B$70</f>
        <v>ICPS</v>
      </c>
      <c r="E164" s="87">
        <v>0.6</v>
      </c>
      <c r="F164" s="60">
        <f>SUMIF(AFA!$C$3:$L$3,RIGHT(D164,1),AFA!$C$4:$L$4)</f>
        <v>0.15426999999999999</v>
      </c>
      <c r="G164" s="59">
        <v>100</v>
      </c>
      <c r="H164" s="60">
        <f t="shared" si="96"/>
        <v>0</v>
      </c>
      <c r="J164" s="61">
        <v>1</v>
      </c>
      <c r="K164" s="60">
        <f>J164*INDEX($C$10:$L$19,MATCH(B145,$B$10:$B$19,0),MATCH($B$6&amp;RIGHT(C164,3),$C$6:$L$6,0))</f>
        <v>0</v>
      </c>
      <c r="L164" s="60">
        <f t="shared" si="97"/>
        <v>0</v>
      </c>
      <c r="N164" s="2"/>
      <c r="O164">
        <v>1</v>
      </c>
      <c r="P164" s="78">
        <f t="shared" si="98"/>
        <v>0</v>
      </c>
      <c r="Q164" s="77">
        <f>'IND2017'!N122</f>
        <v>0</v>
      </c>
      <c r="R164" s="77">
        <f>'IND2017'!O122</f>
        <v>0.5</v>
      </c>
      <c r="S164" s="77">
        <f>'IND2017'!P122</f>
        <v>1</v>
      </c>
      <c r="T164" s="77">
        <f>'IND2017'!Q122</f>
        <v>1</v>
      </c>
      <c r="V164" s="76">
        <f t="shared" si="100"/>
        <v>0</v>
      </c>
      <c r="W164" s="77">
        <f t="shared" si="101"/>
        <v>0</v>
      </c>
      <c r="X164" s="77">
        <f t="shared" si="101"/>
        <v>0</v>
      </c>
      <c r="Y164" s="77">
        <f t="shared" si="101"/>
        <v>0</v>
      </c>
      <c r="AA164" s="76">
        <f t="shared" si="102"/>
        <v>0.6</v>
      </c>
      <c r="AB164" s="77">
        <f>$AA164/(1-(SUMIF($B$61:$B$70,RIGHT($D164,1),'IND2017'!Z$148:Z$157)*$AK164))</f>
        <v>0.6</v>
      </c>
      <c r="AC164" s="77">
        <f>$AA164/(1-(SUMIF($B$61:$B$70,RIGHT($D164,1),'IND2017'!AA$148:AA$157)*$AK164))</f>
        <v>0.6</v>
      </c>
      <c r="AD164" s="77">
        <f>$AA164/(1-(SUMIF($B$61:$B$70,RIGHT($D164,1),'IND2017'!AB$148:AB$157)*$AK164))</f>
        <v>0.6</v>
      </c>
      <c r="AE164" s="77">
        <f>$AA164/(1-(SUMIF($B$61:$B$70,RIGHT($D164,1),'IND2017'!AC$148:AC$157)*$AK164))</f>
        <v>0.6</v>
      </c>
      <c r="AF164" s="77">
        <f>$AA164/(1-(SUMIF($B$61:$B$70,RIGHT($D164,1),'IND2017'!AD$148:AD$157)*$AK164))</f>
        <v>0.6</v>
      </c>
      <c r="AG164" s="77">
        <f>$AA164/(1-(SUMIF($B$61:$B$70,RIGHT($D164,1),'IND2017'!AE$148:AE$157)*$AK164))</f>
        <v>0.6</v>
      </c>
      <c r="AI164">
        <f>AI163+1</f>
        <v>83</v>
      </c>
      <c r="AK164">
        <f>SUMIFS('PAMS central control panel'!$D$14:$D$22,'PAMS central control panel'!$C$14:$C$22,RIGHT(LEFT($D164,3),2))</f>
        <v>0</v>
      </c>
      <c r="AV164" s="13"/>
    </row>
    <row r="165" spans="1:48">
      <c r="A165" s="45" t="str">
        <f>"\I:"&amp;A41</f>
        <v>\I:Ancillary</v>
      </c>
      <c r="B165" s="45"/>
      <c r="C165" s="46"/>
      <c r="D165" s="46"/>
      <c r="E165" s="87"/>
      <c r="F165" s="60">
        <f>SUMIF(AFA!$C$3:$L$3,RIGHT(D165,1),AFA!$C$4:$L$4)</f>
        <v>0</v>
      </c>
      <c r="G165" s="59"/>
      <c r="H165" s="60"/>
      <c r="J165" s="61"/>
      <c r="K165" s="60"/>
      <c r="L165" s="60"/>
      <c r="N165" s="2"/>
      <c r="P165" s="78"/>
      <c r="Q165" s="77"/>
      <c r="R165" s="77"/>
      <c r="S165" s="77"/>
      <c r="T165" s="77"/>
      <c r="V165" s="76"/>
      <c r="W165" s="77"/>
      <c r="X165" s="77"/>
      <c r="Y165" s="77"/>
      <c r="AA165" s="76"/>
      <c r="AB165" s="77">
        <f t="shared" ref="AB165:AG166" si="103">$AA165/(1-(SUMIF($B$61:$B$70,RIGHT($D165,1),AB$61:AB$70)*$AK165))</f>
        <v>0</v>
      </c>
      <c r="AC165" s="77">
        <f t="shared" si="103"/>
        <v>0</v>
      </c>
      <c r="AD165" s="77">
        <f t="shared" si="103"/>
        <v>0</v>
      </c>
      <c r="AE165" s="77">
        <f t="shared" si="103"/>
        <v>0</v>
      </c>
      <c r="AF165" s="77">
        <f t="shared" si="103"/>
        <v>0</v>
      </c>
      <c r="AG165" s="77">
        <f t="shared" si="103"/>
        <v>0</v>
      </c>
      <c r="AI165">
        <f>AI164+1</f>
        <v>84</v>
      </c>
      <c r="AK165">
        <f>SUMIFS('PAMS central control panel'!$D$14:$D$22,'PAMS central control panel'!$C$14:$C$22,RIGHT(LEFT($D165,3),2))</f>
        <v>0</v>
      </c>
      <c r="AV165" s="13"/>
    </row>
    <row r="166" spans="1:48" ht="15">
      <c r="A166" s="45" t="str">
        <f>A$5&amp;"-"&amp;A$14&amp;"-"&amp;A$71&amp;" - "&amp;VLOOKUP(RIGHT(C166,3),NameConv!$E$4:$G$20,2,FALSE)&amp;" - Existing"</f>
        <v>Industry-Chemicals-Ancillary -  - Existing</v>
      </c>
      <c r="B166" s="45" t="str">
        <f>D166&amp;RIGHT(C166,3)&amp;"-E"</f>
        <v>ICPTGMU-E</v>
      </c>
      <c r="C166" s="213" t="s">
        <v>470</v>
      </c>
      <c r="D166" s="46" t="str">
        <f>$B$5&amp;RIGHT($B145,2)&amp;$B$71</f>
        <v>ICPT</v>
      </c>
      <c r="E166" s="87">
        <v>1</v>
      </c>
      <c r="F166" s="60">
        <v>1</v>
      </c>
      <c r="G166" s="59">
        <v>100</v>
      </c>
      <c r="H166" s="60">
        <f>L166/F166</f>
        <v>26.6</v>
      </c>
      <c r="J166" s="61">
        <f>1-J158</f>
        <v>1</v>
      </c>
      <c r="K166" s="60">
        <f>'IND2017'!K124</f>
        <v>26.6</v>
      </c>
      <c r="L166" s="60">
        <f>K166*E166</f>
        <v>26.6</v>
      </c>
      <c r="N166" s="2"/>
      <c r="P166" s="78">
        <f>L166/(SUMIF($D$81:$D$268,$D166,$L$81:$L$268)+$P$77)</f>
        <v>1</v>
      </c>
      <c r="Q166" s="77">
        <f>P166</f>
        <v>1</v>
      </c>
      <c r="R166" s="77">
        <f>P166</f>
        <v>1</v>
      </c>
      <c r="S166" s="77">
        <f>P166</f>
        <v>1</v>
      </c>
      <c r="T166" s="77">
        <f>P166</f>
        <v>1</v>
      </c>
      <c r="V166" s="76">
        <f>P166</f>
        <v>1</v>
      </c>
      <c r="W166" s="77">
        <f>$Q166*W$75</f>
        <v>0.99</v>
      </c>
      <c r="X166" s="77">
        <f>$Q166*X$75</f>
        <v>0</v>
      </c>
      <c r="Y166" s="77">
        <f>$Q166*Y$75</f>
        <v>0</v>
      </c>
      <c r="Z166" s="77"/>
      <c r="AA166" s="76">
        <f>E166</f>
        <v>1</v>
      </c>
      <c r="AB166" s="77">
        <f t="shared" si="103"/>
        <v>1</v>
      </c>
      <c r="AC166" s="77">
        <f t="shared" si="103"/>
        <v>1</v>
      </c>
      <c r="AD166" s="77">
        <f t="shared" si="103"/>
        <v>1</v>
      </c>
      <c r="AE166" s="77">
        <f t="shared" si="103"/>
        <v>1</v>
      </c>
      <c r="AF166" s="77">
        <f t="shared" si="103"/>
        <v>1</v>
      </c>
      <c r="AG166" s="77">
        <f t="shared" si="103"/>
        <v>1</v>
      </c>
      <c r="AI166">
        <f>AI165+1</f>
        <v>85</v>
      </c>
      <c r="AK166">
        <f>SUMIFS('PAMS central control panel'!$D$14:$D$22,'PAMS central control panel'!$C$14:$C$22,RIGHT(LEFT($D166,3),2))</f>
        <v>0</v>
      </c>
      <c r="AV166" s="13"/>
    </row>
    <row r="167" spans="1:48" ht="51.95" customHeight="1" thickBot="1">
      <c r="A167" s="244" t="s">
        <v>438</v>
      </c>
      <c r="B167" s="252" t="s">
        <v>439</v>
      </c>
      <c r="C167" s="252" t="s">
        <v>440</v>
      </c>
      <c r="D167" s="252" t="s">
        <v>441</v>
      </c>
      <c r="E167" s="252" t="s">
        <v>442</v>
      </c>
      <c r="F167" s="252" t="s">
        <v>443</v>
      </c>
      <c r="G167" s="252" t="s">
        <v>444</v>
      </c>
      <c r="H167" s="252" t="s">
        <v>445</v>
      </c>
      <c r="J167" s="252" t="s">
        <v>446</v>
      </c>
      <c r="K167" s="252" t="s">
        <v>447</v>
      </c>
      <c r="L167" s="252" t="s">
        <v>448</v>
      </c>
      <c r="M167" s="252" t="s">
        <v>449</v>
      </c>
      <c r="N167" s="252" t="s">
        <v>450</v>
      </c>
      <c r="O167" s="2"/>
      <c r="P167" s="74" t="str">
        <f>""</f>
        <v/>
      </c>
      <c r="V167" s="74" t="str">
        <f>""</f>
        <v/>
      </c>
      <c r="AA167" s="74" t="str">
        <f>""</f>
        <v/>
      </c>
      <c r="AI167">
        <f t="shared" ref="AI167:AI229" si="104">AI166+1</f>
        <v>86</v>
      </c>
      <c r="AK167">
        <f>SUMIFS('PAMS central control panel'!$D$14:$D$22,'PAMS central control panel'!$C$14:$C$22,RIGHT(LEFT($D167,3),2))</f>
        <v>0</v>
      </c>
      <c r="AV167" s="13"/>
    </row>
    <row r="168" spans="1:48">
      <c r="A168" s="12" t="s">
        <v>457</v>
      </c>
      <c r="B168" s="69" t="str">
        <f>+B15</f>
        <v>NF</v>
      </c>
      <c r="C168" s="54"/>
      <c r="D168" s="54"/>
      <c r="E168" s="55" t="s">
        <v>458</v>
      </c>
      <c r="F168" s="55" t="s">
        <v>459</v>
      </c>
      <c r="G168" s="30" t="s">
        <v>460</v>
      </c>
      <c r="H168" s="31" t="s">
        <v>461</v>
      </c>
      <c r="J168" s="30" t="s">
        <v>462</v>
      </c>
      <c r="K168" s="30" t="s">
        <v>463</v>
      </c>
      <c r="L168" s="30" t="s">
        <v>463</v>
      </c>
      <c r="M168" s="2"/>
      <c r="N168" s="2"/>
      <c r="O168" s="2"/>
      <c r="P168" s="74" t="str">
        <f>""</f>
        <v/>
      </c>
      <c r="V168" s="74" t="str">
        <f>""</f>
        <v/>
      </c>
      <c r="AA168" s="74" t="str">
        <f>""</f>
        <v/>
      </c>
      <c r="AI168">
        <f t="shared" si="104"/>
        <v>87</v>
      </c>
      <c r="AK168">
        <f>SUMIFS('PAMS central control panel'!$D$14:$D$22,'PAMS central control panel'!$C$14:$C$22,RIGHT(LEFT($D168,3),2))</f>
        <v>0</v>
      </c>
      <c r="AV168" s="13"/>
    </row>
    <row r="169" spans="1:48">
      <c r="A169" s="12" t="s">
        <v>465</v>
      </c>
      <c r="B169" s="45"/>
      <c r="C169" s="56">
        <v>1</v>
      </c>
      <c r="D169" s="56">
        <f>C169+1</f>
        <v>2</v>
      </c>
      <c r="E169" s="56">
        <f>D169+1</f>
        <v>3</v>
      </c>
      <c r="F169" s="56">
        <f>E169+1</f>
        <v>4</v>
      </c>
      <c r="G169" s="56">
        <f>F169+1</f>
        <v>5</v>
      </c>
      <c r="H169" s="56">
        <f>G169+1</f>
        <v>6</v>
      </c>
      <c r="J169" s="57"/>
      <c r="K169" s="43"/>
      <c r="L169" s="43"/>
      <c r="M169" s="2"/>
      <c r="N169" s="2"/>
      <c r="O169" s="2"/>
      <c r="P169" s="74" t="str">
        <f>""</f>
        <v/>
      </c>
      <c r="V169" s="74" t="str">
        <f>""</f>
        <v/>
      </c>
      <c r="AA169" s="74" t="str">
        <f>""</f>
        <v/>
      </c>
      <c r="AI169">
        <f t="shared" si="104"/>
        <v>88</v>
      </c>
      <c r="AK169">
        <f>SUMIFS('PAMS central control panel'!$D$14:$D$22,'PAMS central control panel'!$C$14:$C$22,RIGHT(LEFT($D169,3),2))</f>
        <v>0</v>
      </c>
      <c r="AV169" s="13"/>
    </row>
    <row r="170" spans="1:48">
      <c r="A170" s="45" t="str">
        <f t="shared" ref="A170:A178" si="105">A$5&amp;"-"&amp;A$15&amp;"-"&amp;A31&amp;" - Electricity"</f>
        <v>Industry-Precious &amp; Non-Ferrous metals-Elec Heating - Electricity</v>
      </c>
      <c r="B170" s="45" t="str">
        <f>D170&amp;RIGHT(C170,3)&amp;"-E"</f>
        <v>INFKELC-E</v>
      </c>
      <c r="C170" s="46" t="str">
        <f t="shared" ref="C170:C178" si="106">$P$14</f>
        <v>INFELC</v>
      </c>
      <c r="D170" s="46" t="str">
        <f>$B$5&amp;RIGHT($B168,2)&amp;$B$61</f>
        <v>INFK</v>
      </c>
      <c r="E170" s="58">
        <v>1</v>
      </c>
      <c r="F170" s="60">
        <f>SUMIF(AFA!$C$3:$L$3,RIGHT(D170,1),AFA!$C$4:$L$4)</f>
        <v>0.11433</v>
      </c>
      <c r="G170" s="59">
        <v>100</v>
      </c>
      <c r="H170" s="60">
        <f>L170/F170</f>
        <v>5.8418252611169184</v>
      </c>
      <c r="J170" s="61">
        <v>1</v>
      </c>
      <c r="K170" s="60">
        <f t="shared" ref="K170:K178" si="107">J170*SUMIF($C$60:$K$60,$B$168,$C61:$K61)</f>
        <v>0.67125214281758516</v>
      </c>
      <c r="L170" s="60">
        <f t="shared" ref="L170:L178" si="108">K170*E170*(1-$L$77)</f>
        <v>0.66789588210349726</v>
      </c>
      <c r="M170" s="2"/>
      <c r="N170" s="2">
        <v>1</v>
      </c>
      <c r="O170" s="2"/>
      <c r="P170" s="74" t="str">
        <f>""</f>
        <v/>
      </c>
      <c r="V170" s="74" t="str">
        <f>""</f>
        <v/>
      </c>
      <c r="AA170" s="76">
        <f t="shared" ref="AA170:AA178" si="109">E170</f>
        <v>1</v>
      </c>
      <c r="AB170" s="77">
        <f>$AA170/(1-(SUMIF($B$61:$B$70,RIGHT($D170,1),'IND2017'!Z$171:Z$180)*$AK170))</f>
        <v>1</v>
      </c>
      <c r="AC170" s="77">
        <f>$AA170/(1-(SUMIF($B$61:$B$70,RIGHT($D170,1),'IND2017'!AA$171:AA$180)*$AK170))</f>
        <v>1</v>
      </c>
      <c r="AD170" s="77">
        <f>$AA170/(1-(SUMIF($B$61:$B$70,RIGHT($D170,1),'IND2017'!AB$171:AB$180)*$AK170))</f>
        <v>1</v>
      </c>
      <c r="AE170" s="77">
        <f>$AA170/(1-(SUMIF($B$61:$B$70,RIGHT($D170,1),'IND2017'!AC$171:AC$180)*$AK170))</f>
        <v>1</v>
      </c>
      <c r="AF170" s="77">
        <f>$AA170/(1-(SUMIF($B$61:$B$70,RIGHT($D170,1),'IND2017'!AD$171:AD$180)*$AK170))</f>
        <v>1</v>
      </c>
      <c r="AG170" s="77">
        <f>$AA170/(1-(SUMIF($B$61:$B$70,RIGHT($D170,1),'IND2017'!AE$171:AE$180)*$AK170))</f>
        <v>1</v>
      </c>
      <c r="AI170">
        <f t="shared" si="104"/>
        <v>89</v>
      </c>
      <c r="AK170">
        <f>SUMIFS('PAMS central control panel'!$D$14:$D$22,'PAMS central control panel'!$C$14:$C$22,RIGHT(LEFT($D170,3),2))</f>
        <v>0</v>
      </c>
      <c r="AV170" s="13"/>
    </row>
    <row r="171" spans="1:48">
      <c r="A171" s="45" t="str">
        <f t="shared" si="105"/>
        <v>Industry-Precious &amp; Non-Ferrous metals-Compressed air - Electricity</v>
      </c>
      <c r="B171" s="45" t="str">
        <f>D171&amp;RIGHT(C171,3)&amp;"-E"</f>
        <v>INFAELC-E</v>
      </c>
      <c r="C171" s="46" t="str">
        <f t="shared" si="106"/>
        <v>INFELC</v>
      </c>
      <c r="D171" s="46" t="str">
        <f>$B$5&amp;RIGHT($B168,2)&amp;$B$62</f>
        <v>INFA</v>
      </c>
      <c r="E171" s="58">
        <v>0.05</v>
      </c>
      <c r="F171" s="60">
        <f>SUMIF(AFA!$C$3:$L$3,RIGHT(D171,1),AFA!$C$4:$L$4)</f>
        <v>0.11584999999999999</v>
      </c>
      <c r="G171" s="59">
        <v>100</v>
      </c>
      <c r="H171" s="60">
        <f t="shared" ref="H171:H178" si="110">L171/F171</f>
        <v>0</v>
      </c>
      <c r="J171" s="61">
        <v>1</v>
      </c>
      <c r="K171" s="60">
        <f t="shared" si="107"/>
        <v>0</v>
      </c>
      <c r="L171" s="60">
        <f t="shared" si="108"/>
        <v>0</v>
      </c>
      <c r="N171" s="2"/>
      <c r="P171" s="74" t="str">
        <f>""</f>
        <v/>
      </c>
      <c r="V171" s="74" t="str">
        <f>""</f>
        <v/>
      </c>
      <c r="AA171" s="76">
        <f t="shared" si="109"/>
        <v>0.05</v>
      </c>
      <c r="AB171" s="77">
        <f>$AA171/(1-(SUMIF($B$61:$B$70,RIGHT($D171,1),'IND2017'!Z$171:Z$180)*$AK171))</f>
        <v>0.05</v>
      </c>
      <c r="AC171" s="77">
        <f>$AA171/(1-(SUMIF($B$61:$B$70,RIGHT($D171,1),'IND2017'!AA$171:AA$180)*$AK171))</f>
        <v>0.05</v>
      </c>
      <c r="AD171" s="77">
        <f>$AA171/(1-(SUMIF($B$61:$B$70,RIGHT($D171,1),'IND2017'!AB$171:AB$180)*$AK171))</f>
        <v>0.05</v>
      </c>
      <c r="AE171" s="77">
        <f>$AA171/(1-(SUMIF($B$61:$B$70,RIGHT($D171,1),'IND2017'!AC$171:AC$180)*$AK171))</f>
        <v>0.05</v>
      </c>
      <c r="AF171" s="77">
        <f>$AA171/(1-(SUMIF($B$61:$B$70,RIGHT($D171,1),'IND2017'!AD$171:AD$180)*$AK171))</f>
        <v>0.05</v>
      </c>
      <c r="AG171" s="77">
        <f>$AA171/(1-(SUMIF($B$61:$B$70,RIGHT($D171,1),'IND2017'!AE$171:AE$180)*$AK171))</f>
        <v>0.05</v>
      </c>
      <c r="AI171">
        <f t="shared" si="104"/>
        <v>90</v>
      </c>
      <c r="AK171">
        <f>SUMIFS('PAMS central control panel'!$D$14:$D$22,'PAMS central control panel'!$C$14:$C$22,RIGHT(LEFT($D171,3),2))</f>
        <v>0</v>
      </c>
      <c r="AV171" s="13"/>
    </row>
    <row r="172" spans="1:48">
      <c r="A172" s="45" t="str">
        <f t="shared" si="105"/>
        <v>Industry-Precious &amp; Non-Ferrous metals-Lighting - Electricity</v>
      </c>
      <c r="B172" s="45" t="str">
        <f t="shared" ref="B172:B178" si="111">D172&amp;RIGHT(C172,3)&amp;"-E"</f>
        <v>INFLELC-E</v>
      </c>
      <c r="C172" s="46" t="str">
        <f t="shared" si="106"/>
        <v>INFELC</v>
      </c>
      <c r="D172" s="46" t="str">
        <f>$B$5&amp;RIGHT($B168,2)&amp;$B$63</f>
        <v>INFL</v>
      </c>
      <c r="E172" s="58">
        <v>0.3</v>
      </c>
      <c r="F172" s="60">
        <f>SUMIF(AFA!$C$3:$L$3,RIGHT(D172,1),AFA!$C$4:$L$4)</f>
        <v>0.12454999999999999</v>
      </c>
      <c r="G172" s="59">
        <v>100</v>
      </c>
      <c r="H172" s="60">
        <f t="shared" si="110"/>
        <v>1.608741586760732</v>
      </c>
      <c r="J172" s="61">
        <v>1</v>
      </c>
      <c r="K172" s="60">
        <f t="shared" si="107"/>
        <v>0.67125214281758516</v>
      </c>
      <c r="L172" s="60">
        <f t="shared" si="108"/>
        <v>0.20036876463104916</v>
      </c>
      <c r="N172" s="2"/>
      <c r="P172" s="74" t="str">
        <f>""</f>
        <v/>
      </c>
      <c r="V172" s="74" t="str">
        <f>""</f>
        <v/>
      </c>
      <c r="AA172" s="76">
        <f t="shared" si="109"/>
        <v>0.3</v>
      </c>
      <c r="AB172" s="77">
        <f>$AA172/(1-(SUMIF($B$61:$B$70,RIGHT($D172,1),'IND2017'!Z$171:Z$180)*$AK172))</f>
        <v>0.3</v>
      </c>
      <c r="AC172" s="77">
        <f>$AA172/(1-(SUMIF($B$61:$B$70,RIGHT($D172,1),'IND2017'!AA$171:AA$180)*$AK172))</f>
        <v>0.3</v>
      </c>
      <c r="AD172" s="77">
        <f>$AA172/(1-(SUMIF($B$61:$B$70,RIGHT($D172,1),'IND2017'!AB$171:AB$180)*$AK172))</f>
        <v>0.3</v>
      </c>
      <c r="AE172" s="77">
        <f>$AA172/(1-(SUMIF($B$61:$B$70,RIGHT($D172,1),'IND2017'!AC$171:AC$180)*$AK172))</f>
        <v>0.3</v>
      </c>
      <c r="AF172" s="77">
        <f>$AA172/(1-(SUMIF($B$61:$B$70,RIGHT($D172,1),'IND2017'!AD$171:AD$180)*$AK172))</f>
        <v>0.3</v>
      </c>
      <c r="AG172" s="77">
        <f>$AA172/(1-(SUMIF($B$61:$B$70,RIGHT($D172,1),'IND2017'!AE$171:AE$180)*$AK172))</f>
        <v>0.3</v>
      </c>
      <c r="AI172">
        <f t="shared" si="104"/>
        <v>91</v>
      </c>
      <c r="AK172">
        <f>SUMIFS('PAMS central control panel'!$D$14:$D$22,'PAMS central control panel'!$C$14:$C$22,RIGHT(LEFT($D172,3),2))</f>
        <v>0</v>
      </c>
      <c r="AV172" s="13"/>
    </row>
    <row r="173" spans="1:48">
      <c r="A173" s="45" t="str">
        <f t="shared" si="105"/>
        <v>Industry-Precious &amp; Non-Ferrous metals-Cooling - Electricity</v>
      </c>
      <c r="B173" s="45" t="str">
        <f t="shared" si="111"/>
        <v>INFCELC-E</v>
      </c>
      <c r="C173" s="46" t="str">
        <f t="shared" si="106"/>
        <v>INFELC</v>
      </c>
      <c r="D173" s="46" t="str">
        <f>$B$5&amp;RIGHT($B168,2)&amp;$B$64</f>
        <v>INFC</v>
      </c>
      <c r="E173" s="58">
        <v>2</v>
      </c>
      <c r="F173" s="60">
        <f>SUMIF(AFA!$C$3:$L$3,RIGHT(D173,1),AFA!$C$4:$L$4)</f>
        <v>0.12956000000000001</v>
      </c>
      <c r="G173" s="59">
        <v>100</v>
      </c>
      <c r="H173" s="60">
        <f t="shared" si="110"/>
        <v>0</v>
      </c>
      <c r="J173" s="61">
        <v>1</v>
      </c>
      <c r="K173" s="60">
        <f t="shared" si="107"/>
        <v>0</v>
      </c>
      <c r="L173" s="60">
        <f t="shared" si="108"/>
        <v>0</v>
      </c>
      <c r="N173" s="2"/>
      <c r="P173" s="74" t="str">
        <f>""</f>
        <v/>
      </c>
      <c r="V173" s="74" t="str">
        <f>""</f>
        <v/>
      </c>
      <c r="AA173" s="76">
        <f t="shared" si="109"/>
        <v>2</v>
      </c>
      <c r="AB173" s="77">
        <f>$AA173/(1-(SUMIF($B$61:$B$70,RIGHT($D173,1),'IND2017'!Z$171:Z$180)*$AK173))</f>
        <v>2</v>
      </c>
      <c r="AC173" s="77">
        <f>$AA173/(1-(SUMIF($B$61:$B$70,RIGHT($D173,1),'IND2017'!AA$171:AA$180)*$AK173))</f>
        <v>2</v>
      </c>
      <c r="AD173" s="77">
        <f>$AA173/(1-(SUMIF($B$61:$B$70,RIGHT($D173,1),'IND2017'!AB$171:AB$180)*$AK173))</f>
        <v>2</v>
      </c>
      <c r="AE173" s="77">
        <f>$AA173/(1-(SUMIF($B$61:$B$70,RIGHT($D173,1),'IND2017'!AC$171:AC$180)*$AK173))</f>
        <v>2</v>
      </c>
      <c r="AF173" s="77">
        <f>$AA173/(1-(SUMIF($B$61:$B$70,RIGHT($D173,1),'IND2017'!AD$171:AD$180)*$AK173))</f>
        <v>2</v>
      </c>
      <c r="AG173" s="77">
        <f>$AA173/(1-(SUMIF($B$61:$B$70,RIGHT($D173,1),'IND2017'!AE$171:AE$180)*$AK173))</f>
        <v>2</v>
      </c>
      <c r="AI173">
        <f t="shared" si="104"/>
        <v>92</v>
      </c>
      <c r="AK173">
        <f>SUMIFS('PAMS central control panel'!$D$14:$D$22,'PAMS central control panel'!$C$14:$C$22,RIGHT(LEFT($D173,3),2))</f>
        <v>0</v>
      </c>
      <c r="AV173" s="13"/>
    </row>
    <row r="174" spans="1:48">
      <c r="A174" s="45" t="str">
        <f t="shared" si="105"/>
        <v>Industry-Precious &amp; Non-Ferrous metals-HVAC - Electricity</v>
      </c>
      <c r="B174" s="45" t="str">
        <f t="shared" si="111"/>
        <v>INFHELC-E</v>
      </c>
      <c r="C174" s="46" t="str">
        <f t="shared" si="106"/>
        <v>INFELC</v>
      </c>
      <c r="D174" s="46" t="str">
        <f>$B$5&amp;RIGHT($B168,2)&amp;$B$65</f>
        <v>INFH</v>
      </c>
      <c r="E174" s="58">
        <v>0.9</v>
      </c>
      <c r="F174" s="60">
        <f>SUMIF(AFA!$C$3:$L$3,RIGHT(D174,1),AFA!$C$4:$L$4)</f>
        <v>0.13161</v>
      </c>
      <c r="G174" s="59">
        <v>100</v>
      </c>
      <c r="H174" s="60">
        <f t="shared" si="110"/>
        <v>4.5673299437212025</v>
      </c>
      <c r="J174" s="61">
        <v>1</v>
      </c>
      <c r="K174" s="60">
        <f t="shared" si="107"/>
        <v>0.67125214281758516</v>
      </c>
      <c r="L174" s="60">
        <f t="shared" si="108"/>
        <v>0.60110629389314751</v>
      </c>
      <c r="N174" s="2"/>
      <c r="P174" s="74" t="str">
        <f>""</f>
        <v/>
      </c>
      <c r="V174" s="74" t="str">
        <f>""</f>
        <v/>
      </c>
      <c r="AA174" s="76">
        <f t="shared" si="109"/>
        <v>0.9</v>
      </c>
      <c r="AB174" s="77">
        <f>$AA174/(1-(SUMIF($B$61:$B$70,RIGHT($D174,1),'IND2017'!Z$171:Z$180)*$AK174))</f>
        <v>0.9</v>
      </c>
      <c r="AC174" s="77">
        <f>$AA174/(1-(SUMIF($B$61:$B$70,RIGHT($D174,1),'IND2017'!AA$171:AA$180)*$AK174))</f>
        <v>0.9</v>
      </c>
      <c r="AD174" s="77">
        <f>$AA174/(1-(SUMIF($B$61:$B$70,RIGHT($D174,1),'IND2017'!AB$171:AB$180)*$AK174))</f>
        <v>0.9</v>
      </c>
      <c r="AE174" s="77">
        <f>$AA174/(1-(SUMIF($B$61:$B$70,RIGHT($D174,1),'IND2017'!AC$171:AC$180)*$AK174))</f>
        <v>0.9</v>
      </c>
      <c r="AF174" s="77">
        <f>$AA174/(1-(SUMIF($B$61:$B$70,RIGHT($D174,1),'IND2017'!AD$171:AD$180)*$AK174))</f>
        <v>0.9</v>
      </c>
      <c r="AG174" s="77">
        <f>$AA174/(1-(SUMIF($B$61:$B$70,RIGHT($D174,1),'IND2017'!AE$171:AE$180)*$AK174))</f>
        <v>0.9</v>
      </c>
      <c r="AI174">
        <f t="shared" si="104"/>
        <v>93</v>
      </c>
      <c r="AK174">
        <f>SUMIFS('PAMS central control panel'!$D$14:$D$22,'PAMS central control panel'!$C$14:$C$22,RIGHT(LEFT($D174,3),2))</f>
        <v>0</v>
      </c>
      <c r="AV174" s="13"/>
    </row>
    <row r="175" spans="1:48">
      <c r="A175" s="45" t="str">
        <f t="shared" si="105"/>
        <v>Industry-Precious &amp; Non-Ferrous metals-Pumping - Electricity</v>
      </c>
      <c r="B175" s="45" t="str">
        <f t="shared" si="111"/>
        <v>INFPELC-E</v>
      </c>
      <c r="C175" s="46" t="str">
        <f t="shared" si="106"/>
        <v>INFELC</v>
      </c>
      <c r="D175" s="46" t="str">
        <f>$B$5&amp;RIGHT($B168,2)&amp;$B$66</f>
        <v>INFP</v>
      </c>
      <c r="E175" s="58">
        <v>0.8</v>
      </c>
      <c r="F175" s="60">
        <f>SUMIF(AFA!$C$3:$L$3,RIGHT(D175,1),AFA!$C$4:$L$4)</f>
        <v>0.12116</v>
      </c>
      <c r="G175" s="59">
        <v>100</v>
      </c>
      <c r="H175" s="60">
        <f t="shared" si="110"/>
        <v>0</v>
      </c>
      <c r="J175" s="61">
        <v>1</v>
      </c>
      <c r="K175" s="60">
        <f t="shared" si="107"/>
        <v>0</v>
      </c>
      <c r="L175" s="60">
        <f t="shared" si="108"/>
        <v>0</v>
      </c>
      <c r="N175" s="2"/>
      <c r="P175" s="74" t="str">
        <f>""</f>
        <v/>
      </c>
      <c r="V175" s="74" t="str">
        <f>""</f>
        <v/>
      </c>
      <c r="AA175" s="76">
        <f t="shared" si="109"/>
        <v>0.8</v>
      </c>
      <c r="AB175" s="77">
        <f>$AA175/(1-(SUMIF($B$61:$B$70,RIGHT($D175,1),'IND2017'!Z$171:Z$180)*$AK175))</f>
        <v>0.8</v>
      </c>
      <c r="AC175" s="77">
        <f>$AA175/(1-(SUMIF($B$61:$B$70,RIGHT($D175,1),'IND2017'!AA$171:AA$180)*$AK175))</f>
        <v>0.8</v>
      </c>
      <c r="AD175" s="77">
        <f>$AA175/(1-(SUMIF($B$61:$B$70,RIGHT($D175,1),'IND2017'!AB$171:AB$180)*$AK175))</f>
        <v>0.8</v>
      </c>
      <c r="AE175" s="77">
        <f>$AA175/(1-(SUMIF($B$61:$B$70,RIGHT($D175,1),'IND2017'!AC$171:AC$180)*$AK175))</f>
        <v>0.8</v>
      </c>
      <c r="AF175" s="77">
        <f>$AA175/(1-(SUMIF($B$61:$B$70,RIGHT($D175,1),'IND2017'!AD$171:AD$180)*$AK175))</f>
        <v>0.8</v>
      </c>
      <c r="AG175" s="77">
        <f>$AA175/(1-(SUMIF($B$61:$B$70,RIGHT($D175,1),'IND2017'!AE$171:AE$180)*$AK175))</f>
        <v>0.8</v>
      </c>
      <c r="AI175">
        <f t="shared" si="104"/>
        <v>94</v>
      </c>
      <c r="AK175">
        <f>SUMIFS('PAMS central control panel'!$D$14:$D$22,'PAMS central control panel'!$C$14:$C$22,RIGHT(LEFT($D175,3),2))</f>
        <v>0</v>
      </c>
      <c r="AV175" s="13"/>
    </row>
    <row r="176" spans="1:48">
      <c r="A176" s="45" t="str">
        <f t="shared" si="105"/>
        <v>Industry-Precious &amp; Non-Ferrous metals-Fans - Electricity</v>
      </c>
      <c r="B176" s="45" t="str">
        <f t="shared" si="111"/>
        <v>INFFELC-E</v>
      </c>
      <c r="C176" s="46" t="str">
        <f t="shared" si="106"/>
        <v>INFELC</v>
      </c>
      <c r="D176" s="46" t="str">
        <f>$B$5&amp;RIGHT($B168,2)&amp;$B$67</f>
        <v>INFF</v>
      </c>
      <c r="E176" s="58">
        <v>0.8</v>
      </c>
      <c r="F176" s="60">
        <f>SUMIF(AFA!$C$3:$L$3,RIGHT(D176,1),AFA!$C$4:$L$4)</f>
        <v>0.10936999999999999</v>
      </c>
      <c r="G176" s="59">
        <v>100</v>
      </c>
      <c r="H176" s="60">
        <f t="shared" si="110"/>
        <v>0</v>
      </c>
      <c r="J176" s="61">
        <v>1</v>
      </c>
      <c r="K176" s="60">
        <f t="shared" si="107"/>
        <v>0</v>
      </c>
      <c r="L176" s="60">
        <f t="shared" si="108"/>
        <v>0</v>
      </c>
      <c r="N176" s="2"/>
      <c r="P176" s="74" t="str">
        <f>""</f>
        <v/>
      </c>
      <c r="V176" s="74" t="str">
        <f>""</f>
        <v/>
      </c>
      <c r="AA176" s="76">
        <f t="shared" si="109"/>
        <v>0.8</v>
      </c>
      <c r="AB176" s="77">
        <f>$AA176/(1-(SUMIF($B$61:$B$70,RIGHT($D176,1),'IND2017'!Z$171:Z$180)*$AK176))</f>
        <v>0.8</v>
      </c>
      <c r="AC176" s="77">
        <f>$AA176/(1-(SUMIF($B$61:$B$70,RIGHT($D176,1),'IND2017'!AA$171:AA$180)*$AK176))</f>
        <v>0.8</v>
      </c>
      <c r="AD176" s="77">
        <f>$AA176/(1-(SUMIF($B$61:$B$70,RIGHT($D176,1),'IND2017'!AB$171:AB$180)*$AK176))</f>
        <v>0.8</v>
      </c>
      <c r="AE176" s="77">
        <f>$AA176/(1-(SUMIF($B$61:$B$70,RIGHT($D176,1),'IND2017'!AC$171:AC$180)*$AK176))</f>
        <v>0.8</v>
      </c>
      <c r="AF176" s="77">
        <f>$AA176/(1-(SUMIF($B$61:$B$70,RIGHT($D176,1),'IND2017'!AD$171:AD$180)*$AK176))</f>
        <v>0.8</v>
      </c>
      <c r="AG176" s="77">
        <f>$AA176/(1-(SUMIF($B$61:$B$70,RIGHT($D176,1),'IND2017'!AE$171:AE$180)*$AK176))</f>
        <v>0.8</v>
      </c>
      <c r="AI176">
        <f t="shared" si="104"/>
        <v>95</v>
      </c>
      <c r="AK176">
        <f>SUMIFS('PAMS central control panel'!$D$14:$D$22,'PAMS central control panel'!$C$14:$C$22,RIGHT(LEFT($D176,3),2))</f>
        <v>0</v>
      </c>
      <c r="AV176" s="13"/>
    </row>
    <row r="177" spans="1:48">
      <c r="A177" s="45" t="str">
        <f t="shared" si="105"/>
        <v>Industry-Precious &amp; Non-Ferrous metals-Other motive - Electricity</v>
      </c>
      <c r="B177" s="45" t="str">
        <f t="shared" si="111"/>
        <v>INFOELC-E</v>
      </c>
      <c r="C177" s="46" t="str">
        <f t="shared" si="106"/>
        <v>INFELC</v>
      </c>
      <c r="D177" s="46" t="str">
        <f>$B$5&amp;RIGHT($B168,2)&amp;$B$68</f>
        <v>INFO</v>
      </c>
      <c r="E177" s="58">
        <v>0.8</v>
      </c>
      <c r="F177" s="60">
        <f>SUMIF(AFA!$C$3:$L$3,RIGHT(D177,1),AFA!$C$4:$L$4)</f>
        <v>0.13081999999999999</v>
      </c>
      <c r="G177" s="59">
        <v>100</v>
      </c>
      <c r="H177" s="60">
        <f t="shared" si="110"/>
        <v>28.590559087139471</v>
      </c>
      <c r="J177" s="61">
        <v>1</v>
      </c>
      <c r="K177" s="60">
        <f t="shared" si="107"/>
        <v>4.6987649997230969</v>
      </c>
      <c r="L177" s="60">
        <f t="shared" si="108"/>
        <v>3.7402169397795855</v>
      </c>
      <c r="N177" s="2"/>
      <c r="P177" s="74" t="str">
        <f>""</f>
        <v/>
      </c>
      <c r="V177" s="74" t="str">
        <f>""</f>
        <v/>
      </c>
      <c r="AA177" s="76">
        <f t="shared" si="109"/>
        <v>0.8</v>
      </c>
      <c r="AB177" s="77">
        <f>$AA177/(1-(SUMIF($B$61:$B$70,RIGHT($D177,1),'IND2017'!Z$171:Z$180)*$AK177))</f>
        <v>0.8</v>
      </c>
      <c r="AC177" s="77">
        <f>$AA177/(1-(SUMIF($B$61:$B$70,RIGHT($D177,1),'IND2017'!AA$171:AA$180)*$AK177))</f>
        <v>0.8</v>
      </c>
      <c r="AD177" s="77">
        <f>$AA177/(1-(SUMIF($B$61:$B$70,RIGHT($D177,1),'IND2017'!AB$171:AB$180)*$AK177))</f>
        <v>0.8</v>
      </c>
      <c r="AE177" s="77">
        <f>$AA177/(1-(SUMIF($B$61:$B$70,RIGHT($D177,1),'IND2017'!AC$171:AC$180)*$AK177))</f>
        <v>0.8</v>
      </c>
      <c r="AF177" s="77">
        <f>$AA177/(1-(SUMIF($B$61:$B$70,RIGHT($D177,1),'IND2017'!AD$171:AD$180)*$AK177))</f>
        <v>0.8</v>
      </c>
      <c r="AG177" s="77">
        <f>$AA177/(1-(SUMIF($B$61:$B$70,RIGHT($D177,1),'IND2017'!AE$171:AE$180)*$AK177))</f>
        <v>0.8</v>
      </c>
      <c r="AI177">
        <f t="shared" si="104"/>
        <v>96</v>
      </c>
      <c r="AK177">
        <f>SUMIFS('PAMS central control panel'!$D$14:$D$22,'PAMS central control panel'!$C$14:$C$22,RIGHT(LEFT($D177,3),2))</f>
        <v>0</v>
      </c>
      <c r="AV177" s="13"/>
    </row>
    <row r="178" spans="1:48">
      <c r="A178" s="45" t="str">
        <f t="shared" si="105"/>
        <v>Industry-Precious &amp; Non-Ferrous metals-Electrochemical - Electricity</v>
      </c>
      <c r="B178" s="45" t="str">
        <f t="shared" si="111"/>
        <v>INFEELC-E</v>
      </c>
      <c r="C178" s="46" t="str">
        <f t="shared" si="106"/>
        <v>INFELC</v>
      </c>
      <c r="D178" s="46" t="str">
        <f>$B$5&amp;RIGHT($B168,2)&amp;$B$69</f>
        <v>INFE</v>
      </c>
      <c r="E178" s="58">
        <v>0.76</v>
      </c>
      <c r="F178" s="60">
        <f>SUMIF(AFA!$C$3:$L$3,RIGHT(D178,1),AFA!$C$4:$L$4)</f>
        <v>0.13233</v>
      </c>
      <c r="G178" s="59">
        <v>100</v>
      </c>
      <c r="H178" s="60">
        <f t="shared" si="110"/>
        <v>345.22843146587485</v>
      </c>
      <c r="J178" s="61">
        <v>1</v>
      </c>
      <c r="K178" s="60">
        <f t="shared" si="107"/>
        <v>60.412692853582669</v>
      </c>
      <c r="L178" s="60">
        <f t="shared" si="108"/>
        <v>45.684078335879221</v>
      </c>
      <c r="N178" s="2"/>
      <c r="P178" s="74" t="str">
        <f>""</f>
        <v/>
      </c>
      <c r="V178" s="74" t="str">
        <f>""</f>
        <v/>
      </c>
      <c r="AA178" s="76">
        <f t="shared" si="109"/>
        <v>0.76</v>
      </c>
      <c r="AB178" s="77">
        <f>$AA178/(1-(SUMIF($B$61:$B$70,RIGHT($D178,1),'IND2017'!Z$171:Z$180)*$AK178))</f>
        <v>0.76</v>
      </c>
      <c r="AC178" s="77">
        <f>$AA178/(1-(SUMIF($B$61:$B$70,RIGHT($D178,1),'IND2017'!AA$171:AA$180)*$AK178))</f>
        <v>0.76</v>
      </c>
      <c r="AD178" s="77">
        <f>$AA178/(1-(SUMIF($B$61:$B$70,RIGHT($D178,1),'IND2017'!AB$171:AB$180)*$AK178))</f>
        <v>0.76</v>
      </c>
      <c r="AE178" s="77">
        <f>$AA178/(1-(SUMIF($B$61:$B$70,RIGHT($D178,1),'IND2017'!AC$171:AC$180)*$AK178))</f>
        <v>0.76</v>
      </c>
      <c r="AF178" s="77">
        <f>$AA178/(1-(SUMIF($B$61:$B$70,RIGHT($D178,1),'IND2017'!AD$171:AD$180)*$AK178))</f>
        <v>0.76</v>
      </c>
      <c r="AG178" s="77">
        <f>$AA178/(1-(SUMIF($B$61:$B$70,RIGHT($D178,1),'IND2017'!AE$171:AE$180)*$AK178))</f>
        <v>0.76</v>
      </c>
      <c r="AI178">
        <f t="shared" si="104"/>
        <v>97</v>
      </c>
      <c r="AK178">
        <f>SUMIFS('PAMS central control panel'!$D$14:$D$22,'PAMS central control panel'!$C$14:$C$22,RIGHT(LEFT($D178,3),2))</f>
        <v>0</v>
      </c>
      <c r="AV178" s="13"/>
    </row>
    <row r="179" spans="1:48">
      <c r="A179" s="45" t="str">
        <f>"\I:"&amp;A70</f>
        <v>\I:boiler/process heating</v>
      </c>
      <c r="B179" s="45"/>
      <c r="C179" s="46"/>
      <c r="D179" s="46" t="s">
        <v>336</v>
      </c>
      <c r="E179" s="58"/>
      <c r="F179" s="60">
        <f>SUMIF(AFA!$C$3:$L$3,RIGHT(D179,1),AFA!$C$4:$L$4)</f>
        <v>0</v>
      </c>
      <c r="G179" s="59"/>
      <c r="H179" s="60"/>
      <c r="J179" s="61"/>
      <c r="K179" s="60"/>
      <c r="L179" s="60"/>
      <c r="N179" s="2"/>
      <c r="P179" s="74" t="str">
        <f>""</f>
        <v/>
      </c>
      <c r="V179" s="74" t="str">
        <f>""</f>
        <v/>
      </c>
      <c r="AA179" s="74" t="str">
        <f>""</f>
        <v/>
      </c>
      <c r="AB179" s="77"/>
      <c r="AC179" s="77"/>
      <c r="AD179" s="77"/>
      <c r="AE179" s="77"/>
      <c r="AF179" s="77"/>
      <c r="AG179" s="77"/>
      <c r="AI179">
        <f t="shared" si="104"/>
        <v>98</v>
      </c>
      <c r="AK179">
        <f>SUMIFS('PAMS central control panel'!$D$14:$D$22,'PAMS central control panel'!$C$14:$C$22,RIGHT(LEFT($D179,3),2))</f>
        <v>0</v>
      </c>
      <c r="AV179" s="13"/>
    </row>
    <row r="180" spans="1:48">
      <c r="A180" s="45" t="str">
        <f>A$5&amp;"-"&amp;A$15&amp;"-"&amp;A$70&amp;" - "&amp;VLOOKUP(RIGHT(C180,3),NameConv!$E$4:$G$20,2,FALSE)&amp;" - Existing"</f>
        <v>Industry-Precious &amp; Non-Ferrous metals-boiler/process heating -  - Existing</v>
      </c>
      <c r="B180" s="45" t="str">
        <f t="shared" ref="B180:B185" si="112">D180&amp;RIGHT(C180,3)&amp;"-E"</f>
        <v>INFSCOA-E</v>
      </c>
      <c r="C180" s="46" t="str">
        <f>+$C$6</f>
        <v>INDCOA</v>
      </c>
      <c r="D180" s="46" t="str">
        <f>$B$5&amp;RIGHT($B168,2)&amp;$B$70</f>
        <v>INFS</v>
      </c>
      <c r="E180" s="58">
        <v>0.64</v>
      </c>
      <c r="F180" s="60">
        <f>SUMIF(AFA!$C$3:$L$3,RIGHT(D180,1),AFA!$C$4:$L$4)</f>
        <v>0.15426999999999999</v>
      </c>
      <c r="G180" s="59">
        <v>100</v>
      </c>
      <c r="H180" s="60">
        <f t="shared" ref="H180:H185" si="113">L180/F180</f>
        <v>4.9164906203409613</v>
      </c>
      <c r="J180" s="61">
        <v>1</v>
      </c>
      <c r="K180" s="60">
        <f>J180*INDEX($C$10:$L$19,MATCH(B168,$B$10:$B$19,0),MATCH($B$6&amp;RIGHT(C180,3),$C$6:$L$6,0))</f>
        <v>1.19106</v>
      </c>
      <c r="L180" s="60">
        <f t="shared" ref="L180:L185" si="114">K180*E180*(1-$L$77)</f>
        <v>0.758467008</v>
      </c>
      <c r="N180" s="2"/>
      <c r="P180" s="78">
        <f t="shared" ref="P180:P185" si="115">L180/(SUMIF($D$81:$D$268,$D180,$L$81:$L$268)+$P$77)</f>
        <v>0.30486765417309775</v>
      </c>
      <c r="Q180" s="77">
        <f>'IND2017'!N138</f>
        <v>0.15100025110906504</v>
      </c>
      <c r="R180" s="77">
        <f t="shared" ref="R180:T184" si="116">MIN(1,$P180+R$75)</f>
        <v>0.80486765417309769</v>
      </c>
      <c r="S180" s="77">
        <f t="shared" si="116"/>
        <v>1</v>
      </c>
      <c r="T180" s="77">
        <f t="shared" si="116"/>
        <v>1</v>
      </c>
      <c r="V180" s="76">
        <f t="shared" ref="V180:V185" si="117">P180</f>
        <v>0.30486765417309775</v>
      </c>
      <c r="W180" s="77">
        <f t="shared" ref="W180:Y185" si="118">$Q180*W$75</f>
        <v>0.14949024859797438</v>
      </c>
      <c r="X180" s="77">
        <f t="shared" si="118"/>
        <v>0</v>
      </c>
      <c r="Y180" s="77">
        <f t="shared" si="118"/>
        <v>0</v>
      </c>
      <c r="AA180" s="76">
        <f t="shared" ref="AA180:AA185" si="119">E180</f>
        <v>0.64</v>
      </c>
      <c r="AB180" s="77">
        <f>$AA180/(1-(SUMIF($B$61:$B$70,RIGHT($D180,1),'IND2017'!Z$171:Z$180)*$AK180))</f>
        <v>0.64</v>
      </c>
      <c r="AC180" s="77">
        <f>$AA180/(1-(SUMIF($B$61:$B$70,RIGHT($D180,1),'IND2017'!AA$171:AA$180)*$AK180))</f>
        <v>0.64</v>
      </c>
      <c r="AD180" s="77">
        <f>$AA180/(1-(SUMIF($B$61:$B$70,RIGHT($D180,1),'IND2017'!AB$171:AB$180)*$AK180))</f>
        <v>0.64</v>
      </c>
      <c r="AE180" s="77">
        <f>$AA180/(1-(SUMIF($B$61:$B$70,RIGHT($D180,1),'IND2017'!AC$171:AC$180)*$AK180))</f>
        <v>0.64</v>
      </c>
      <c r="AF180" s="77">
        <f>$AA180/(1-(SUMIF($B$61:$B$70,RIGHT($D180,1),'IND2017'!AD$171:AD$180)*$AK180))</f>
        <v>0.64</v>
      </c>
      <c r="AG180" s="77">
        <f>$AA180/(1-(SUMIF($B$61:$B$70,RIGHT($D180,1),'IND2017'!AE$171:AE$180)*$AK180))</f>
        <v>0.64</v>
      </c>
      <c r="AI180">
        <f t="shared" si="104"/>
        <v>99</v>
      </c>
      <c r="AK180">
        <f>SUMIFS('PAMS central control panel'!$D$14:$D$22,'PAMS central control panel'!$C$14:$C$22,RIGHT(LEFT($D180,3),2))</f>
        <v>0</v>
      </c>
      <c r="AV180" s="13"/>
    </row>
    <row r="181" spans="1:48">
      <c r="A181" s="45" t="str">
        <f>A$5&amp;"-"&amp;A$15&amp;"-"&amp;A$70&amp;" - "&amp;VLOOKUP(RIGHT(C181,3),NameConv!$E$4:$G$20,2,FALSE)&amp;" - Existing"</f>
        <v>Industry-Precious &amp; Non-Ferrous metals-boiler/process heating -  - Existing</v>
      </c>
      <c r="B181" s="45" t="str">
        <f t="shared" si="112"/>
        <v>INFSGAS-E</v>
      </c>
      <c r="C181" s="46" t="str">
        <f>"I"&amp;B168&amp;"GAS"</f>
        <v>INFGAS</v>
      </c>
      <c r="D181" s="46" t="str">
        <f>$B$5&amp;RIGHT($B168,2)&amp;$B$70</f>
        <v>INFS</v>
      </c>
      <c r="E181" s="58">
        <v>0.72</v>
      </c>
      <c r="F181" s="60">
        <f>SUMIF(AFA!$C$3:$L$3,RIGHT(D181,1),AFA!$C$4:$L$4)</f>
        <v>0.15426999999999999</v>
      </c>
      <c r="G181" s="59">
        <v>100</v>
      </c>
      <c r="H181" s="60">
        <f t="shared" si="113"/>
        <v>11.210148441044922</v>
      </c>
      <c r="J181" s="61">
        <v>1</v>
      </c>
      <c r="K181" s="60">
        <f>J181*INDEX($C$10:$L$19,MATCH(B168,$B$10:$B$19,0),MATCH($B$6&amp;RIGHT(C181,3),$C$6:$L$6,0))</f>
        <v>2.4140000000000001</v>
      </c>
      <c r="L181" s="60">
        <f t="shared" si="114"/>
        <v>1.7293896</v>
      </c>
      <c r="N181" s="2"/>
      <c r="P181" s="78">
        <f t="shared" si="115"/>
        <v>0.6951323458269022</v>
      </c>
      <c r="Q181" s="77">
        <f>'IND2017'!N139</f>
        <v>0.84899974889093499</v>
      </c>
      <c r="R181" s="77">
        <f t="shared" si="116"/>
        <v>1</v>
      </c>
      <c r="S181" s="77">
        <f t="shared" si="116"/>
        <v>1</v>
      </c>
      <c r="T181" s="77">
        <f t="shared" si="116"/>
        <v>1</v>
      </c>
      <c r="V181" s="76">
        <f t="shared" si="117"/>
        <v>0.6951323458269022</v>
      </c>
      <c r="W181" s="77">
        <f t="shared" si="118"/>
        <v>0.84050975140202566</v>
      </c>
      <c r="X181" s="77">
        <f t="shared" si="118"/>
        <v>0</v>
      </c>
      <c r="Y181" s="77">
        <f t="shared" si="118"/>
        <v>0</v>
      </c>
      <c r="AA181" s="76">
        <f t="shared" si="119"/>
        <v>0.72</v>
      </c>
      <c r="AB181" s="77">
        <f>$AA181/(1-(SUMIF($B$61:$B$70,RIGHT($D181,1),'IND2017'!Z$171:Z$180)*$AK181))</f>
        <v>0.72</v>
      </c>
      <c r="AC181" s="77">
        <f>$AA181/(1-(SUMIF($B$61:$B$70,RIGHT($D181,1),'IND2017'!AA$171:AA$180)*$AK181))</f>
        <v>0.72</v>
      </c>
      <c r="AD181" s="77">
        <f>$AA181/(1-(SUMIF($B$61:$B$70,RIGHT($D181,1),'IND2017'!AB$171:AB$180)*$AK181))</f>
        <v>0.72</v>
      </c>
      <c r="AE181" s="77">
        <f>$AA181/(1-(SUMIF($B$61:$B$70,RIGHT($D181,1),'IND2017'!AC$171:AC$180)*$AK181))</f>
        <v>0.72</v>
      </c>
      <c r="AF181" s="77">
        <f>$AA181/(1-(SUMIF($B$61:$B$70,RIGHT($D181,1),'IND2017'!AD$171:AD$180)*$AK181))</f>
        <v>0.72</v>
      </c>
      <c r="AG181" s="77">
        <f>$AA181/(1-(SUMIF($B$61:$B$70,RIGHT($D181,1),'IND2017'!AE$171:AE$180)*$AK181))</f>
        <v>0.72</v>
      </c>
      <c r="AI181">
        <f t="shared" si="104"/>
        <v>100</v>
      </c>
      <c r="AK181">
        <f>SUMIFS('PAMS central control panel'!$D$14:$D$22,'PAMS central control panel'!$C$14:$C$22,RIGHT(LEFT($D181,3),2))</f>
        <v>0</v>
      </c>
      <c r="AV181" s="13"/>
    </row>
    <row r="182" spans="1:48">
      <c r="A182" s="45" t="str">
        <f>A$5&amp;"-"&amp;A$15&amp;"-"&amp;A$70&amp;" - "&amp;VLOOKUP(RIGHT(C182,3),NameConv!$E$4:$G$20,2,FALSE)&amp;" - Existing"</f>
        <v>Industry-Precious &amp; Non-Ferrous metals-boiler/process heating -  - Existing</v>
      </c>
      <c r="B182" s="45" t="str">
        <f t="shared" si="112"/>
        <v>INFSOHF-E</v>
      </c>
      <c r="C182" s="46" t="str">
        <f>+$H$6</f>
        <v>INDOHF</v>
      </c>
      <c r="D182" s="46" t="str">
        <f>$B$5&amp;RIGHT($B168,2)&amp;$B$70</f>
        <v>INFS</v>
      </c>
      <c r="E182" s="58">
        <v>0.68</v>
      </c>
      <c r="F182" s="60">
        <f>SUMIF(AFA!$C$3:$L$3,RIGHT(D182,1),AFA!$C$4:$L$4)</f>
        <v>0.15426999999999999</v>
      </c>
      <c r="G182" s="59">
        <v>100</v>
      </c>
      <c r="H182" s="60">
        <f t="shared" si="113"/>
        <v>0</v>
      </c>
      <c r="J182" s="61">
        <v>1</v>
      </c>
      <c r="K182" s="60">
        <f>J182*INDEX($C$10:$L$19,MATCH(B168,$B$10:$B$19,0),MATCH($B$6&amp;RIGHT(C182,3),$C$6:$L$6,0))</f>
        <v>0</v>
      </c>
      <c r="L182" s="60">
        <f t="shared" si="114"/>
        <v>0</v>
      </c>
      <c r="N182" s="2"/>
      <c r="P182" s="78">
        <f t="shared" si="115"/>
        <v>0</v>
      </c>
      <c r="Q182" s="77">
        <f>'IND2017'!N140</f>
        <v>0</v>
      </c>
      <c r="R182" s="77">
        <f t="shared" si="116"/>
        <v>0.5</v>
      </c>
      <c r="S182" s="77">
        <f t="shared" si="116"/>
        <v>1</v>
      </c>
      <c r="T182" s="77">
        <f t="shared" si="116"/>
        <v>1</v>
      </c>
      <c r="V182" s="76">
        <f t="shared" si="117"/>
        <v>0</v>
      </c>
      <c r="W182" s="77">
        <f t="shared" si="118"/>
        <v>0</v>
      </c>
      <c r="X182" s="77">
        <f t="shared" si="118"/>
        <v>0</v>
      </c>
      <c r="Y182" s="77">
        <f t="shared" si="118"/>
        <v>0</v>
      </c>
      <c r="AA182" s="76">
        <f t="shared" si="119"/>
        <v>0.68</v>
      </c>
      <c r="AB182" s="77">
        <f>$AA182/(1-(SUMIF($B$61:$B$70,RIGHT($D182,1),'IND2017'!Z$171:Z$180)*$AK182))</f>
        <v>0.68</v>
      </c>
      <c r="AC182" s="77">
        <f>$AA182/(1-(SUMIF($B$61:$B$70,RIGHT($D182,1),'IND2017'!AA$171:AA$180)*$AK182))</f>
        <v>0.68</v>
      </c>
      <c r="AD182" s="77">
        <f>$AA182/(1-(SUMIF($B$61:$B$70,RIGHT($D182,1),'IND2017'!AB$171:AB$180)*$AK182))</f>
        <v>0.68</v>
      </c>
      <c r="AE182" s="77">
        <f>$AA182/(1-(SUMIF($B$61:$B$70,RIGHT($D182,1),'IND2017'!AC$171:AC$180)*$AK182))</f>
        <v>0.68</v>
      </c>
      <c r="AF182" s="77">
        <f>$AA182/(1-(SUMIF($B$61:$B$70,RIGHT($D182,1),'IND2017'!AD$171:AD$180)*$AK182))</f>
        <v>0.68</v>
      </c>
      <c r="AG182" s="77">
        <f>$AA182/(1-(SUMIF($B$61:$B$70,RIGHT($D182,1),'IND2017'!AE$171:AE$180)*$AK182))</f>
        <v>0.68</v>
      </c>
      <c r="AI182">
        <f t="shared" si="104"/>
        <v>101</v>
      </c>
      <c r="AK182">
        <f>SUMIFS('PAMS central control panel'!$D$14:$D$22,'PAMS central control panel'!$C$14:$C$22,RIGHT(LEFT($D182,3),2))</f>
        <v>0</v>
      </c>
      <c r="AV182" s="13"/>
    </row>
    <row r="183" spans="1:48">
      <c r="A183" s="45" t="str">
        <f>A$5&amp;"-"&amp;A$15&amp;"-"&amp;A$70&amp;" - "&amp;VLOOKUP(RIGHT(C183,3),NameConv!$E$4:$G$20,2,FALSE)&amp;" - Existing"</f>
        <v>Industry-Precious &amp; Non-Ferrous metals-boiler/process heating -  - Existing</v>
      </c>
      <c r="B183" s="45" t="str">
        <f t="shared" si="112"/>
        <v>INFSOLP-E</v>
      </c>
      <c r="C183" s="46" t="str">
        <f>+$I$6</f>
        <v>INDOLP</v>
      </c>
      <c r="D183" s="46" t="str">
        <f>$B$5&amp;RIGHT($B168,2)&amp;$B$70</f>
        <v>INFS</v>
      </c>
      <c r="E183" s="58">
        <v>0.72</v>
      </c>
      <c r="F183" s="60">
        <f>SUMIF(AFA!$C$3:$L$3,RIGHT(D183,1),AFA!$C$4:$L$4)</f>
        <v>0.15426999999999999</v>
      </c>
      <c r="G183" s="59">
        <v>100</v>
      </c>
      <c r="H183" s="60">
        <f t="shared" si="113"/>
        <v>0</v>
      </c>
      <c r="J183" s="61">
        <v>1</v>
      </c>
      <c r="K183" s="60">
        <f>J183*INDEX($C$10:$L$19,MATCH(B168,$B$10:$B$19,0),MATCH($B$6&amp;RIGHT(C183,3),$C$6:$L$6,0))</f>
        <v>0</v>
      </c>
      <c r="L183" s="60">
        <f t="shared" si="114"/>
        <v>0</v>
      </c>
      <c r="N183" s="2"/>
      <c r="P183" s="78">
        <f t="shared" si="115"/>
        <v>0</v>
      </c>
      <c r="Q183" s="77">
        <f>'IND2017'!N141</f>
        <v>0</v>
      </c>
      <c r="R183" s="77">
        <f t="shared" si="116"/>
        <v>0.5</v>
      </c>
      <c r="S183" s="77">
        <f t="shared" si="116"/>
        <v>1</v>
      </c>
      <c r="T183" s="77">
        <f t="shared" si="116"/>
        <v>1</v>
      </c>
      <c r="V183" s="76">
        <f t="shared" si="117"/>
        <v>0</v>
      </c>
      <c r="W183" s="77">
        <f t="shared" si="118"/>
        <v>0</v>
      </c>
      <c r="X183" s="77">
        <f t="shared" si="118"/>
        <v>0</v>
      </c>
      <c r="Y183" s="77">
        <f t="shared" si="118"/>
        <v>0</v>
      </c>
      <c r="AA183" s="76">
        <f t="shared" si="119"/>
        <v>0.72</v>
      </c>
      <c r="AB183" s="77">
        <f>$AA183/(1-(SUMIF($B$61:$B$70,RIGHT($D183,1),'IND2017'!Z$171:Z$180)*$AK183))</f>
        <v>0.72</v>
      </c>
      <c r="AC183" s="77">
        <f>$AA183/(1-(SUMIF($B$61:$B$70,RIGHT($D183,1),'IND2017'!AA$171:AA$180)*$AK183))</f>
        <v>0.72</v>
      </c>
      <c r="AD183" s="77">
        <f>$AA183/(1-(SUMIF($B$61:$B$70,RIGHT($D183,1),'IND2017'!AB$171:AB$180)*$AK183))</f>
        <v>0.72</v>
      </c>
      <c r="AE183" s="77">
        <f>$AA183/(1-(SUMIF($B$61:$B$70,RIGHT($D183,1),'IND2017'!AC$171:AC$180)*$AK183))</f>
        <v>0.72</v>
      </c>
      <c r="AF183" s="77">
        <f>$AA183/(1-(SUMIF($B$61:$B$70,RIGHT($D183,1),'IND2017'!AD$171:AD$180)*$AK183))</f>
        <v>0.72</v>
      </c>
      <c r="AG183" s="77">
        <f>$AA183/(1-(SUMIF($B$61:$B$70,RIGHT($D183,1),'IND2017'!AE$171:AE$180)*$AK183))</f>
        <v>0.72</v>
      </c>
      <c r="AI183">
        <f t="shared" si="104"/>
        <v>102</v>
      </c>
      <c r="AK183">
        <f>SUMIFS('PAMS central control panel'!$D$14:$D$22,'PAMS central control panel'!$C$14:$C$22,RIGHT(LEFT($D183,3),2))</f>
        <v>0</v>
      </c>
      <c r="AV183" s="13"/>
    </row>
    <row r="184" spans="1:48">
      <c r="A184" s="45" t="str">
        <f>A$5&amp;"-"&amp;A$15&amp;"-"&amp;A$70&amp;" - "&amp;VLOOKUP(RIGHT(C184,3),NameConv!$E$4:$G$20,2,FALSE)&amp;" - Existing"</f>
        <v>Industry-Precious &amp; Non-Ferrous metals-boiler/process heating -  - Existing</v>
      </c>
      <c r="B184" s="45" t="str">
        <f t="shared" si="112"/>
        <v>INFSELC-E</v>
      </c>
      <c r="C184" s="46" t="str">
        <f>$P$14</f>
        <v>INFELC</v>
      </c>
      <c r="D184" s="46" t="str">
        <f>$B$5&amp;RIGHT($B168,2)&amp;$B$70</f>
        <v>INFS</v>
      </c>
      <c r="E184" s="58">
        <v>0.76</v>
      </c>
      <c r="F184" s="60">
        <f>SUMIF(AFA!$C$3:$L$3,RIGHT(D184,1),AFA!$C$4:$L$4)</f>
        <v>0.15426999999999999</v>
      </c>
      <c r="G184" s="59">
        <v>100</v>
      </c>
      <c r="H184" s="60">
        <f t="shared" si="113"/>
        <v>0</v>
      </c>
      <c r="J184" s="61">
        <v>1</v>
      </c>
      <c r="K184" s="60">
        <f>J184*INDEX($C$70:$J$70,MATCH($B168,$C$60:$J$60,0))</f>
        <v>0</v>
      </c>
      <c r="L184" s="60">
        <f t="shared" si="114"/>
        <v>0</v>
      </c>
      <c r="N184" s="2"/>
      <c r="P184" s="78">
        <f t="shared" si="115"/>
        <v>0</v>
      </c>
      <c r="Q184" s="77">
        <f>'IND2017'!N142</f>
        <v>0</v>
      </c>
      <c r="R184" s="77">
        <f t="shared" si="116"/>
        <v>0.5</v>
      </c>
      <c r="S184" s="77">
        <f t="shared" si="116"/>
        <v>1</v>
      </c>
      <c r="T184" s="77">
        <f t="shared" si="116"/>
        <v>1</v>
      </c>
      <c r="V184" s="76">
        <f t="shared" si="117"/>
        <v>0</v>
      </c>
      <c r="W184" s="77">
        <f t="shared" si="118"/>
        <v>0</v>
      </c>
      <c r="X184" s="77">
        <f t="shared" si="118"/>
        <v>0</v>
      </c>
      <c r="Y184" s="77">
        <f t="shared" si="118"/>
        <v>0</v>
      </c>
      <c r="AA184" s="76">
        <f t="shared" si="119"/>
        <v>0.76</v>
      </c>
      <c r="AB184" s="77">
        <f>$AA184/(1-(SUMIF($B$61:$B$70,RIGHT($D184,1),'IND2017'!Z$171:Z$180)*$AK184))</f>
        <v>0.76</v>
      </c>
      <c r="AC184" s="77">
        <f>$AA184/(1-(SUMIF($B$61:$B$70,RIGHT($D184,1),'IND2017'!AA$171:AA$180)*$AK184))</f>
        <v>0.76</v>
      </c>
      <c r="AD184" s="77">
        <f>$AA184/(1-(SUMIF($B$61:$B$70,RIGHT($D184,1),'IND2017'!AB$171:AB$180)*$AK184))</f>
        <v>0.76</v>
      </c>
      <c r="AE184" s="77">
        <f>$AA184/(1-(SUMIF($B$61:$B$70,RIGHT($D184,1),'IND2017'!AC$171:AC$180)*$AK184))</f>
        <v>0.76</v>
      </c>
      <c r="AF184" s="77">
        <f>$AA184/(1-(SUMIF($B$61:$B$70,RIGHT($D184,1),'IND2017'!AD$171:AD$180)*$AK184))</f>
        <v>0.76</v>
      </c>
      <c r="AG184" s="77">
        <f>$AA184/(1-(SUMIF($B$61:$B$70,RIGHT($D184,1),'IND2017'!AE$171:AE$180)*$AK184))</f>
        <v>0.76</v>
      </c>
      <c r="AI184">
        <f t="shared" si="104"/>
        <v>103</v>
      </c>
      <c r="AK184">
        <f>SUMIFS('PAMS central control panel'!$D$14:$D$22,'PAMS central control panel'!$C$14:$C$22,RIGHT(LEFT($D184,3),2))</f>
        <v>0</v>
      </c>
      <c r="AV184" s="13"/>
    </row>
    <row r="185" spans="1:48">
      <c r="A185" s="45" t="str">
        <f>A$5&amp;"-"&amp;A$15&amp;"-"&amp;A$70&amp;" - "&amp;VLOOKUP(RIGHT(C185,3),NameConv!$E$4:$G$20,2,FALSE)&amp;" - Existing"</f>
        <v>Industry-Precious &amp; Non-Ferrous metals-boiler/process heating -  - Existing</v>
      </c>
      <c r="B185" s="45" t="str">
        <f t="shared" si="112"/>
        <v>INFSWAS-E</v>
      </c>
      <c r="C185" s="46" t="str">
        <f>$L$6</f>
        <v>INDWAS</v>
      </c>
      <c r="D185" s="46" t="str">
        <f>$B$5&amp;RIGHT($B168,2)&amp;$B$70</f>
        <v>INFS</v>
      </c>
      <c r="E185" s="58">
        <v>0.6</v>
      </c>
      <c r="F185" s="60">
        <f>SUMIF(AFA!$C$3:$L$3,RIGHT(D185,1),AFA!$C$4:$L$4)</f>
        <v>0.15426999999999999</v>
      </c>
      <c r="G185" s="59">
        <v>100</v>
      </c>
      <c r="H185" s="60">
        <f t="shared" si="113"/>
        <v>0</v>
      </c>
      <c r="J185" s="61">
        <v>1</v>
      </c>
      <c r="K185" s="60">
        <f>J185*INDEX($C$10:$L$19,MATCH(B168,$B$10:$B$19,0),MATCH($B$6&amp;RIGHT(C185,3),$C$6:$L$6,0))</f>
        <v>0</v>
      </c>
      <c r="L185" s="60">
        <f t="shared" si="114"/>
        <v>0</v>
      </c>
      <c r="N185" s="2"/>
      <c r="P185" s="78">
        <f t="shared" si="115"/>
        <v>0</v>
      </c>
      <c r="Q185" s="77">
        <f>'IND2017'!N143</f>
        <v>0</v>
      </c>
      <c r="R185" s="77">
        <f>'IND2017'!O143</f>
        <v>0.5</v>
      </c>
      <c r="S185" s="77">
        <f>'IND2017'!P143</f>
        <v>1</v>
      </c>
      <c r="T185" s="77">
        <f>'IND2017'!Q143</f>
        <v>1</v>
      </c>
      <c r="V185" s="76">
        <f t="shared" si="117"/>
        <v>0</v>
      </c>
      <c r="W185" s="77">
        <f t="shared" si="118"/>
        <v>0</v>
      </c>
      <c r="X185" s="77">
        <f t="shared" si="118"/>
        <v>0</v>
      </c>
      <c r="Y185" s="77">
        <f t="shared" si="118"/>
        <v>0</v>
      </c>
      <c r="AA185" s="76">
        <f t="shared" si="119"/>
        <v>0.6</v>
      </c>
      <c r="AB185" s="77">
        <f>$AA185/(1-(SUMIF($B$61:$B$70,RIGHT($D185,1),'IND2017'!Z$171:Z$180)*$AK185))</f>
        <v>0.6</v>
      </c>
      <c r="AC185" s="77">
        <f>$AA185/(1-(SUMIF($B$61:$B$70,RIGHT($D185,1),'IND2017'!AA$171:AA$180)*$AK185))</f>
        <v>0.6</v>
      </c>
      <c r="AD185" s="77">
        <f>$AA185/(1-(SUMIF($B$61:$B$70,RIGHT($D185,1),'IND2017'!AB$171:AB$180)*$AK185))</f>
        <v>0.6</v>
      </c>
      <c r="AE185" s="77">
        <f>$AA185/(1-(SUMIF($B$61:$B$70,RIGHT($D185,1),'IND2017'!AC$171:AC$180)*$AK185))</f>
        <v>0.6</v>
      </c>
      <c r="AF185" s="77">
        <f>$AA185/(1-(SUMIF($B$61:$B$70,RIGHT($D185,1),'IND2017'!AD$171:AD$180)*$AK185))</f>
        <v>0.6</v>
      </c>
      <c r="AG185" s="77">
        <f>$AA185/(1-(SUMIF($B$61:$B$70,RIGHT($D185,1),'IND2017'!AE$171:AE$180)*$AK185))</f>
        <v>0.6</v>
      </c>
      <c r="AI185">
        <f t="shared" si="104"/>
        <v>104</v>
      </c>
      <c r="AK185">
        <f>SUMIFS('PAMS central control panel'!$D$14:$D$22,'PAMS central control panel'!$C$14:$C$22,RIGHT(LEFT($D185,3),2))</f>
        <v>0</v>
      </c>
      <c r="AV185" s="13"/>
    </row>
    <row r="186" spans="1:48" ht="51.95" customHeight="1" thickBot="1">
      <c r="A186" s="244" t="s">
        <v>438</v>
      </c>
      <c r="B186" s="252" t="s">
        <v>439</v>
      </c>
      <c r="C186" s="252" t="s">
        <v>440</v>
      </c>
      <c r="D186" s="252" t="s">
        <v>441</v>
      </c>
      <c r="E186" s="252" t="s">
        <v>442</v>
      </c>
      <c r="F186" s="252" t="s">
        <v>443</v>
      </c>
      <c r="G186" s="252" t="s">
        <v>444</v>
      </c>
      <c r="H186" s="252" t="s">
        <v>445</v>
      </c>
      <c r="J186" s="252" t="s">
        <v>446</v>
      </c>
      <c r="K186" s="252" t="s">
        <v>447</v>
      </c>
      <c r="L186" s="252" t="s">
        <v>448</v>
      </c>
      <c r="M186" s="252" t="s">
        <v>449</v>
      </c>
      <c r="N186" s="252" t="s">
        <v>450</v>
      </c>
      <c r="O186" s="2"/>
      <c r="P186" s="74" t="str">
        <f>""</f>
        <v/>
      </c>
      <c r="V186" s="74" t="str">
        <f>""</f>
        <v/>
      </c>
      <c r="AA186" s="74" t="str">
        <f>""</f>
        <v/>
      </c>
      <c r="AI186">
        <f t="shared" si="104"/>
        <v>105</v>
      </c>
      <c r="AK186">
        <f>SUMIFS('PAMS central control panel'!$D$14:$D$22,'PAMS central control panel'!$C$14:$C$22,RIGHT(LEFT($D186,3),2))</f>
        <v>0</v>
      </c>
      <c r="AV186" s="13"/>
    </row>
    <row r="187" spans="1:48">
      <c r="A187" s="12" t="s">
        <v>457</v>
      </c>
      <c r="B187" s="69" t="str">
        <f>+B16</f>
        <v>NM</v>
      </c>
      <c r="C187" s="54"/>
      <c r="D187" s="54"/>
      <c r="E187" s="55" t="s">
        <v>458</v>
      </c>
      <c r="F187" s="55" t="s">
        <v>459</v>
      </c>
      <c r="G187" s="30" t="s">
        <v>460</v>
      </c>
      <c r="H187" s="31" t="s">
        <v>461</v>
      </c>
      <c r="J187" s="30" t="s">
        <v>462</v>
      </c>
      <c r="K187" s="30" t="s">
        <v>463</v>
      </c>
      <c r="L187" s="30" t="s">
        <v>463</v>
      </c>
      <c r="M187" s="2"/>
      <c r="N187" s="2"/>
      <c r="O187" s="2"/>
      <c r="P187" s="74" t="str">
        <f>""</f>
        <v/>
      </c>
      <c r="V187" s="74" t="str">
        <f>""</f>
        <v/>
      </c>
      <c r="AA187" s="74" t="str">
        <f>""</f>
        <v/>
      </c>
      <c r="AI187">
        <f t="shared" si="104"/>
        <v>106</v>
      </c>
      <c r="AK187">
        <f>SUMIFS('PAMS central control panel'!$D$14:$D$22,'PAMS central control panel'!$C$14:$C$22,RIGHT(LEFT($D187,3),2))</f>
        <v>0</v>
      </c>
      <c r="AV187" s="13"/>
    </row>
    <row r="188" spans="1:48">
      <c r="A188" s="12" t="s">
        <v>465</v>
      </c>
      <c r="B188" s="45"/>
      <c r="C188" s="56">
        <v>1</v>
      </c>
      <c r="D188" s="56">
        <f>C188+1</f>
        <v>2</v>
      </c>
      <c r="E188" s="56">
        <f>D188+1</f>
        <v>3</v>
      </c>
      <c r="F188" s="56">
        <f>E188+1</f>
        <v>4</v>
      </c>
      <c r="G188" s="56">
        <f>F188+1</f>
        <v>5</v>
      </c>
      <c r="H188" s="56">
        <f>G188+1</f>
        <v>6</v>
      </c>
      <c r="J188" s="57"/>
      <c r="K188" s="43"/>
      <c r="L188" s="43"/>
      <c r="M188" s="2"/>
      <c r="N188" s="2"/>
      <c r="O188" s="2"/>
      <c r="P188" s="74" t="str">
        <f>""</f>
        <v/>
      </c>
      <c r="V188" s="74" t="str">
        <f>""</f>
        <v/>
      </c>
      <c r="AA188" s="74" t="str">
        <f>""</f>
        <v/>
      </c>
      <c r="AI188">
        <f t="shared" si="104"/>
        <v>107</v>
      </c>
      <c r="AK188">
        <f>SUMIFS('PAMS central control panel'!$D$14:$D$22,'PAMS central control panel'!$C$14:$C$22,RIGHT(LEFT($D188,3),2))</f>
        <v>0</v>
      </c>
      <c r="AV188" s="13"/>
    </row>
    <row r="189" spans="1:48">
      <c r="A189" s="45" t="str">
        <f t="shared" ref="A189:A197" si="120">A$5&amp;"-"&amp;A$16&amp;"-"&amp;A31&amp;" - Electricity"</f>
        <v>Industry-N.M.M Products-Elec Heating - Electricity</v>
      </c>
      <c r="B189" s="45" t="str">
        <f>D189&amp;RIGHT(C189,3)&amp;"-E"</f>
        <v>INMKELC-E</v>
      </c>
      <c r="C189" s="46" t="str">
        <f t="shared" ref="C189:C197" si="121">$P$15</f>
        <v>INMELC</v>
      </c>
      <c r="D189" s="46" t="str">
        <f>$B$5&amp;RIGHT($B187,2)&amp;$B$61</f>
        <v>INMK</v>
      </c>
      <c r="E189" s="58">
        <v>1</v>
      </c>
      <c r="F189" s="60">
        <f>SUMIF(AFA!$C$3:$L$3,RIGHT(D189,1),AFA!$C$4:$L$4)</f>
        <v>0.11433</v>
      </c>
      <c r="G189" s="59">
        <v>100</v>
      </c>
      <c r="H189" s="60">
        <f>L189/F189</f>
        <v>6.8444507231516019</v>
      </c>
      <c r="J189" s="61">
        <v>1</v>
      </c>
      <c r="K189" s="60">
        <f t="shared" ref="K189:K197" si="122">J189*SUMIF($C$60:$K$60,$B$187,$C61:$K61)</f>
        <v>0.78645834289238459</v>
      </c>
      <c r="L189" s="60">
        <f t="shared" ref="L189:L197" si="123">K189*E189*(1-$L$77)</f>
        <v>0.78252605117792262</v>
      </c>
      <c r="M189" s="2"/>
      <c r="N189" s="2">
        <v>1</v>
      </c>
      <c r="O189" s="2"/>
      <c r="P189" s="74" t="str">
        <f>""</f>
        <v/>
      </c>
      <c r="V189" s="74" t="str">
        <f>""</f>
        <v/>
      </c>
      <c r="AA189" s="76">
        <f t="shared" ref="AA189:AA197" si="124">E189</f>
        <v>1</v>
      </c>
      <c r="AB189" s="77">
        <f t="shared" ref="AB189:AG197" si="125">$AA189/(1-(SUMIF($B$61:$B$70,RIGHT($D189,1),AB$61:AB$70)*$AK189))</f>
        <v>1</v>
      </c>
      <c r="AC189" s="77">
        <f t="shared" si="125"/>
        <v>1</v>
      </c>
      <c r="AD189" s="77">
        <f t="shared" si="125"/>
        <v>1</v>
      </c>
      <c r="AE189" s="77">
        <f t="shared" si="125"/>
        <v>1</v>
      </c>
      <c r="AF189" s="77">
        <f t="shared" si="125"/>
        <v>1</v>
      </c>
      <c r="AG189" s="77">
        <f t="shared" si="125"/>
        <v>1</v>
      </c>
      <c r="AI189">
        <f t="shared" si="104"/>
        <v>108</v>
      </c>
      <c r="AK189">
        <f>SUMIFS('PAMS central control panel'!$D$14:$D$22,'PAMS central control panel'!$C$14:$C$22,RIGHT(LEFT($D189,3),2))</f>
        <v>0</v>
      </c>
      <c r="AV189" s="13"/>
    </row>
    <row r="190" spans="1:48">
      <c r="A190" s="45" t="str">
        <f t="shared" si="120"/>
        <v>Industry-N.M.M Products-Compressed air - Electricity</v>
      </c>
      <c r="B190" s="45" t="str">
        <f>D190&amp;RIGHT(C190,3)&amp;"-E"</f>
        <v>INMAELC-E</v>
      </c>
      <c r="C190" s="46" t="str">
        <f t="shared" si="121"/>
        <v>INMELC</v>
      </c>
      <c r="D190" s="46" t="str">
        <f>$B$5&amp;RIGHT($B187,2)&amp;$B$62</f>
        <v>INMA</v>
      </c>
      <c r="E190" s="58">
        <v>0.05</v>
      </c>
      <c r="F190" s="60">
        <f>SUMIF(AFA!$C$3:$L$3,RIGHT(D190,1),AFA!$C$4:$L$4)</f>
        <v>0.11584999999999999</v>
      </c>
      <c r="G190" s="59">
        <v>100</v>
      </c>
      <c r="H190" s="60">
        <f t="shared" ref="H190:H197" si="126">L190/F190</f>
        <v>0.19089224569463878</v>
      </c>
      <c r="J190" s="61">
        <v>1</v>
      </c>
      <c r="K190" s="60">
        <f t="shared" si="122"/>
        <v>0.44451993293917391</v>
      </c>
      <c r="L190" s="60">
        <f t="shared" si="123"/>
        <v>2.2114866663723903E-2</v>
      </c>
      <c r="N190" s="2"/>
      <c r="P190" s="74" t="str">
        <f>""</f>
        <v/>
      </c>
      <c r="V190" s="74" t="str">
        <f>""</f>
        <v/>
      </c>
      <c r="AA190" s="76">
        <f t="shared" si="124"/>
        <v>0.05</v>
      </c>
      <c r="AB190" s="77">
        <f t="shared" si="125"/>
        <v>0.05</v>
      </c>
      <c r="AC190" s="77">
        <f t="shared" si="125"/>
        <v>0.05</v>
      </c>
      <c r="AD190" s="77">
        <f t="shared" si="125"/>
        <v>0.05</v>
      </c>
      <c r="AE190" s="77">
        <f t="shared" si="125"/>
        <v>0.05</v>
      </c>
      <c r="AF190" s="77">
        <f t="shared" si="125"/>
        <v>0.05</v>
      </c>
      <c r="AG190" s="77">
        <f t="shared" si="125"/>
        <v>0.05</v>
      </c>
      <c r="AI190">
        <f t="shared" si="104"/>
        <v>109</v>
      </c>
      <c r="AK190">
        <f>SUMIFS('PAMS central control panel'!$D$14:$D$22,'PAMS central control panel'!$C$14:$C$22,RIGHT(LEFT($D190,3),2))</f>
        <v>0</v>
      </c>
      <c r="AV190" s="13"/>
    </row>
    <row r="191" spans="1:48">
      <c r="A191" s="45" t="str">
        <f t="shared" si="120"/>
        <v>Industry-N.M.M Products-Lighting - Electricity</v>
      </c>
      <c r="B191" s="45" t="str">
        <f t="shared" ref="B191:B197" si="127">D191&amp;RIGHT(C191,3)&amp;"-E"</f>
        <v>INMLELC-E</v>
      </c>
      <c r="C191" s="46" t="str">
        <f t="shared" si="121"/>
        <v>INMELC</v>
      </c>
      <c r="D191" s="46" t="str">
        <f>$B$5&amp;RIGHT($B187,2)&amp;$B$63</f>
        <v>INML</v>
      </c>
      <c r="E191" s="58">
        <v>0.3</v>
      </c>
      <c r="F191" s="60">
        <f>SUMIF(AFA!$C$3:$L$3,RIGHT(D191,1),AFA!$C$4:$L$4)</f>
        <v>0.12454999999999999</v>
      </c>
      <c r="G191" s="59">
        <v>100</v>
      </c>
      <c r="H191" s="60">
        <f t="shared" si="126"/>
        <v>0.4097495598997728</v>
      </c>
      <c r="J191" s="61">
        <v>1</v>
      </c>
      <c r="K191" s="60">
        <f t="shared" si="122"/>
        <v>0.17096920497660537</v>
      </c>
      <c r="L191" s="60">
        <f t="shared" si="123"/>
        <v>5.10343076855167E-2</v>
      </c>
      <c r="N191" s="2"/>
      <c r="P191" s="74" t="str">
        <f>""</f>
        <v/>
      </c>
      <c r="V191" s="74" t="str">
        <f>""</f>
        <v/>
      </c>
      <c r="AA191" s="76">
        <f t="shared" si="124"/>
        <v>0.3</v>
      </c>
      <c r="AB191" s="77">
        <f t="shared" si="125"/>
        <v>0.3</v>
      </c>
      <c r="AC191" s="77">
        <f t="shared" si="125"/>
        <v>0.3</v>
      </c>
      <c r="AD191" s="77">
        <f t="shared" si="125"/>
        <v>0.3</v>
      </c>
      <c r="AE191" s="77">
        <f t="shared" si="125"/>
        <v>0.3</v>
      </c>
      <c r="AF191" s="77">
        <f t="shared" si="125"/>
        <v>0.3</v>
      </c>
      <c r="AG191" s="77">
        <f t="shared" si="125"/>
        <v>0.3</v>
      </c>
      <c r="AI191">
        <f t="shared" si="104"/>
        <v>110</v>
      </c>
      <c r="AK191">
        <f>SUMIFS('PAMS central control panel'!$D$14:$D$22,'PAMS central control panel'!$C$14:$C$22,RIGHT(LEFT($D191,3),2))</f>
        <v>0</v>
      </c>
      <c r="AV191" s="13"/>
    </row>
    <row r="192" spans="1:48">
      <c r="A192" s="45" t="str">
        <f t="shared" si="120"/>
        <v>Industry-N.M.M Products-Cooling - Electricity</v>
      </c>
      <c r="B192" s="45" t="str">
        <f t="shared" si="127"/>
        <v>INMCELC-E</v>
      </c>
      <c r="C192" s="46" t="str">
        <f t="shared" si="121"/>
        <v>INMELC</v>
      </c>
      <c r="D192" s="46" t="str">
        <f>$B$5&amp;RIGHT($B187,2)&amp;$B$64</f>
        <v>INMC</v>
      </c>
      <c r="E192" s="58">
        <v>2</v>
      </c>
      <c r="F192" s="60">
        <f>SUMIF(AFA!$C$3:$L$3,RIGHT(D192,1),AFA!$C$4:$L$4)</f>
        <v>0.12956000000000001</v>
      </c>
      <c r="G192" s="59">
        <v>100</v>
      </c>
      <c r="H192" s="60">
        <f t="shared" si="126"/>
        <v>0</v>
      </c>
      <c r="J192" s="61">
        <v>1</v>
      </c>
      <c r="K192" s="60">
        <f t="shared" si="122"/>
        <v>0</v>
      </c>
      <c r="L192" s="60">
        <f t="shared" si="123"/>
        <v>0</v>
      </c>
      <c r="N192" s="2"/>
      <c r="P192" s="74" t="str">
        <f>""</f>
        <v/>
      </c>
      <c r="V192" s="74" t="str">
        <f>""</f>
        <v/>
      </c>
      <c r="AA192" s="76">
        <f t="shared" si="124"/>
        <v>2</v>
      </c>
      <c r="AB192" s="77">
        <f t="shared" si="125"/>
        <v>2</v>
      </c>
      <c r="AC192" s="77">
        <f t="shared" si="125"/>
        <v>2</v>
      </c>
      <c r="AD192" s="77">
        <f t="shared" si="125"/>
        <v>2</v>
      </c>
      <c r="AE192" s="77">
        <f t="shared" si="125"/>
        <v>2</v>
      </c>
      <c r="AF192" s="77">
        <f t="shared" si="125"/>
        <v>2</v>
      </c>
      <c r="AG192" s="77">
        <f t="shared" si="125"/>
        <v>2</v>
      </c>
      <c r="AI192">
        <f t="shared" si="104"/>
        <v>111</v>
      </c>
      <c r="AK192">
        <f>SUMIFS('PAMS central control panel'!$D$14:$D$22,'PAMS central control panel'!$C$14:$C$22,RIGHT(LEFT($D192,3),2))</f>
        <v>0</v>
      </c>
      <c r="AV192" s="13"/>
    </row>
    <row r="193" spans="1:48">
      <c r="A193" s="45" t="str">
        <f t="shared" si="120"/>
        <v>Industry-N.M.M Products-HVAC - Electricity</v>
      </c>
      <c r="B193" s="45" t="str">
        <f t="shared" si="127"/>
        <v>INMHELC-E</v>
      </c>
      <c r="C193" s="46" t="str">
        <f t="shared" si="121"/>
        <v>INMELC</v>
      </c>
      <c r="D193" s="46" t="str">
        <f>$B$5&amp;RIGHT($B187,2)&amp;$B$65</f>
        <v>INMH</v>
      </c>
      <c r="E193" s="58">
        <v>0.9</v>
      </c>
      <c r="F193" s="60">
        <f>SUMIF(AFA!$C$3:$L$3,RIGHT(D193,1),AFA!$C$4:$L$4)</f>
        <v>0.13161</v>
      </c>
      <c r="G193" s="59">
        <v>100</v>
      </c>
      <c r="H193" s="60">
        <f t="shared" si="126"/>
        <v>0.46532306984742827</v>
      </c>
      <c r="J193" s="61">
        <v>1</v>
      </c>
      <c r="K193" s="60">
        <f t="shared" si="122"/>
        <v>6.8387681990642143E-2</v>
      </c>
      <c r="L193" s="60">
        <f t="shared" si="123"/>
        <v>6.1241169222620039E-2</v>
      </c>
      <c r="N193" s="2"/>
      <c r="P193" s="74" t="str">
        <f>""</f>
        <v/>
      </c>
      <c r="V193" s="74" t="str">
        <f>""</f>
        <v/>
      </c>
      <c r="AA193" s="76">
        <f t="shared" si="124"/>
        <v>0.9</v>
      </c>
      <c r="AB193" s="77">
        <f t="shared" si="125"/>
        <v>0.9</v>
      </c>
      <c r="AC193" s="77">
        <f t="shared" si="125"/>
        <v>0.9</v>
      </c>
      <c r="AD193" s="77">
        <f t="shared" si="125"/>
        <v>0.9</v>
      </c>
      <c r="AE193" s="77">
        <f t="shared" si="125"/>
        <v>0.9</v>
      </c>
      <c r="AF193" s="77">
        <f t="shared" si="125"/>
        <v>0.9</v>
      </c>
      <c r="AG193" s="77">
        <f t="shared" si="125"/>
        <v>0.9</v>
      </c>
      <c r="AI193">
        <f t="shared" si="104"/>
        <v>112</v>
      </c>
      <c r="AK193">
        <f>SUMIFS('PAMS central control panel'!$D$14:$D$22,'PAMS central control panel'!$C$14:$C$22,RIGHT(LEFT($D193,3),2))</f>
        <v>0</v>
      </c>
      <c r="AV193" s="13"/>
    </row>
    <row r="194" spans="1:48">
      <c r="A194" s="45" t="str">
        <f t="shared" si="120"/>
        <v>Industry-N.M.M Products-Pumping - Electricity</v>
      </c>
      <c r="B194" s="45" t="str">
        <f t="shared" si="127"/>
        <v>INMPELC-E</v>
      </c>
      <c r="C194" s="46" t="str">
        <f t="shared" si="121"/>
        <v>INMELC</v>
      </c>
      <c r="D194" s="46" t="str">
        <f>$B$5&amp;RIGHT($B187,2)&amp;$B$66</f>
        <v>INMP</v>
      </c>
      <c r="E194" s="58">
        <v>0.8</v>
      </c>
      <c r="F194" s="60">
        <f>SUMIF(AFA!$C$3:$L$3,RIGHT(D194,1),AFA!$C$4:$L$4)</f>
        <v>0.12116</v>
      </c>
      <c r="G194" s="59">
        <v>100</v>
      </c>
      <c r="H194" s="60">
        <f t="shared" si="126"/>
        <v>1.9095041942418485</v>
      </c>
      <c r="J194" s="61">
        <v>1</v>
      </c>
      <c r="K194" s="60">
        <f t="shared" si="122"/>
        <v>0.29064764846022911</v>
      </c>
      <c r="L194" s="60">
        <f t="shared" si="123"/>
        <v>0.23135552817434238</v>
      </c>
      <c r="N194" s="2"/>
      <c r="P194" s="74" t="str">
        <f>""</f>
        <v/>
      </c>
      <c r="V194" s="74" t="str">
        <f>""</f>
        <v/>
      </c>
      <c r="AA194" s="76">
        <f t="shared" si="124"/>
        <v>0.8</v>
      </c>
      <c r="AB194" s="77">
        <f t="shared" si="125"/>
        <v>0.8</v>
      </c>
      <c r="AC194" s="77">
        <f t="shared" si="125"/>
        <v>0.8</v>
      </c>
      <c r="AD194" s="77">
        <f t="shared" si="125"/>
        <v>0.8</v>
      </c>
      <c r="AE194" s="77">
        <f t="shared" si="125"/>
        <v>0.8</v>
      </c>
      <c r="AF194" s="77">
        <f t="shared" si="125"/>
        <v>0.8</v>
      </c>
      <c r="AG194" s="77">
        <f t="shared" si="125"/>
        <v>0.8</v>
      </c>
      <c r="AI194">
        <f t="shared" si="104"/>
        <v>113</v>
      </c>
      <c r="AK194">
        <f>SUMIFS('PAMS central control panel'!$D$14:$D$22,'PAMS central control panel'!$C$14:$C$22,RIGHT(LEFT($D194,3),2))</f>
        <v>0</v>
      </c>
      <c r="AV194" s="13"/>
    </row>
    <row r="195" spans="1:48">
      <c r="A195" s="45" t="str">
        <f t="shared" si="120"/>
        <v>Industry-N.M.M Products-Fans - Electricity</v>
      </c>
      <c r="B195" s="45" t="str">
        <f t="shared" si="127"/>
        <v>INMFELC-E</v>
      </c>
      <c r="C195" s="46" t="str">
        <f t="shared" si="121"/>
        <v>INMELC</v>
      </c>
      <c r="D195" s="46" t="str">
        <f>$B$5&amp;RIGHT($B187,2)&amp;$B$67</f>
        <v>INMF</v>
      </c>
      <c r="E195" s="58">
        <v>0.8</v>
      </c>
      <c r="F195" s="60">
        <f>SUMIF(AFA!$C$3:$L$3,RIGHT(D195,1),AFA!$C$4:$L$4)</f>
        <v>0.10936999999999999</v>
      </c>
      <c r="G195" s="59">
        <v>100</v>
      </c>
      <c r="H195" s="60">
        <f t="shared" si="126"/>
        <v>2.2397794357728826</v>
      </c>
      <c r="J195" s="61">
        <v>1</v>
      </c>
      <c r="K195" s="60">
        <f t="shared" si="122"/>
        <v>0.3077445689578896</v>
      </c>
      <c r="L195" s="60">
        <f t="shared" si="123"/>
        <v>0.24496467689048015</v>
      </c>
      <c r="N195" s="2"/>
      <c r="P195" s="74" t="str">
        <f>""</f>
        <v/>
      </c>
      <c r="V195" s="74" t="str">
        <f>""</f>
        <v/>
      </c>
      <c r="AA195" s="76">
        <f t="shared" si="124"/>
        <v>0.8</v>
      </c>
      <c r="AB195" s="77">
        <f t="shared" si="125"/>
        <v>0.8</v>
      </c>
      <c r="AC195" s="77">
        <f t="shared" si="125"/>
        <v>0.8</v>
      </c>
      <c r="AD195" s="77">
        <f t="shared" si="125"/>
        <v>0.8</v>
      </c>
      <c r="AE195" s="77">
        <f t="shared" si="125"/>
        <v>0.8</v>
      </c>
      <c r="AF195" s="77">
        <f t="shared" si="125"/>
        <v>0.8</v>
      </c>
      <c r="AG195" s="77">
        <f t="shared" si="125"/>
        <v>0.8</v>
      </c>
      <c r="AI195">
        <f t="shared" si="104"/>
        <v>114</v>
      </c>
      <c r="AK195">
        <f>SUMIFS('PAMS central control panel'!$D$14:$D$22,'PAMS central control panel'!$C$14:$C$22,RIGHT(LEFT($D195,3),2))</f>
        <v>0</v>
      </c>
      <c r="AV195" s="13"/>
    </row>
    <row r="196" spans="1:48">
      <c r="A196" s="45" t="str">
        <f t="shared" si="120"/>
        <v>Industry-N.M.M Products-Other motive - Electricity</v>
      </c>
      <c r="B196" s="45" t="str">
        <f t="shared" si="127"/>
        <v>INMOELC-E</v>
      </c>
      <c r="C196" s="46" t="str">
        <f t="shared" si="121"/>
        <v>INMELC</v>
      </c>
      <c r="D196" s="46" t="str">
        <f>$B$5&amp;RIGHT($B187,2)&amp;$B$68</f>
        <v>INMO</v>
      </c>
      <c r="E196" s="58">
        <v>0.8</v>
      </c>
      <c r="F196" s="60">
        <f>SUMIF(AFA!$C$3:$L$3,RIGHT(D196,1),AFA!$C$4:$L$4)</f>
        <v>0.13081999999999999</v>
      </c>
      <c r="G196" s="59">
        <v>100</v>
      </c>
      <c r="H196" s="60">
        <f t="shared" si="126"/>
        <v>8.2183362526745558</v>
      </c>
      <c r="J196" s="61">
        <v>1</v>
      </c>
      <c r="K196" s="60">
        <f t="shared" si="122"/>
        <v>1.3506567193151824</v>
      </c>
      <c r="L196" s="60">
        <f t="shared" si="123"/>
        <v>1.0751227485748853</v>
      </c>
      <c r="N196" s="2"/>
      <c r="P196" s="74" t="str">
        <f>""</f>
        <v/>
      </c>
      <c r="V196" s="74" t="str">
        <f>""</f>
        <v/>
      </c>
      <c r="AA196" s="76">
        <f t="shared" si="124"/>
        <v>0.8</v>
      </c>
      <c r="AB196" s="77">
        <f t="shared" si="125"/>
        <v>0.8</v>
      </c>
      <c r="AC196" s="77">
        <f t="shared" si="125"/>
        <v>0.8</v>
      </c>
      <c r="AD196" s="77">
        <f t="shared" si="125"/>
        <v>0.8</v>
      </c>
      <c r="AE196" s="77">
        <f t="shared" si="125"/>
        <v>0.8</v>
      </c>
      <c r="AF196" s="77">
        <f t="shared" si="125"/>
        <v>0.8</v>
      </c>
      <c r="AG196" s="77">
        <f t="shared" si="125"/>
        <v>0.8</v>
      </c>
      <c r="AI196">
        <f t="shared" si="104"/>
        <v>115</v>
      </c>
      <c r="AK196">
        <f>SUMIFS('PAMS central control panel'!$D$14:$D$22,'PAMS central control panel'!$C$14:$C$22,RIGHT(LEFT($D196,3),2))</f>
        <v>0</v>
      </c>
      <c r="AV196" s="13"/>
    </row>
    <row r="197" spans="1:48">
      <c r="A197" s="45" t="str">
        <f t="shared" si="120"/>
        <v>Industry-N.M.M Products-Electrochemical - Electricity</v>
      </c>
      <c r="B197" s="45" t="str">
        <f t="shared" si="127"/>
        <v>INMEELC-E</v>
      </c>
      <c r="C197" s="46" t="str">
        <f t="shared" si="121"/>
        <v>INMELC</v>
      </c>
      <c r="D197" s="46" t="str">
        <f>$B$5&amp;RIGHT($B187,2)&amp;$B$69</f>
        <v>INME</v>
      </c>
      <c r="E197" s="58">
        <v>0.76</v>
      </c>
      <c r="F197" s="60">
        <f>SUMIF(AFA!$C$3:$L$3,RIGHT(D197,1),AFA!$C$4:$L$4)</f>
        <v>0.13233</v>
      </c>
      <c r="G197" s="59">
        <v>100</v>
      </c>
      <c r="H197" s="60">
        <f t="shared" si="126"/>
        <v>0</v>
      </c>
      <c r="J197" s="61">
        <v>1</v>
      </c>
      <c r="K197" s="60">
        <f t="shared" si="122"/>
        <v>0</v>
      </c>
      <c r="L197" s="60">
        <f t="shared" si="123"/>
        <v>0</v>
      </c>
      <c r="N197" s="2"/>
      <c r="P197" s="74" t="str">
        <f>""</f>
        <v/>
      </c>
      <c r="V197" s="74" t="str">
        <f>""</f>
        <v/>
      </c>
      <c r="AA197" s="76">
        <f t="shared" si="124"/>
        <v>0.76</v>
      </c>
      <c r="AB197" s="77">
        <f t="shared" si="125"/>
        <v>0.76</v>
      </c>
      <c r="AC197" s="77">
        <f t="shared" si="125"/>
        <v>0.76</v>
      </c>
      <c r="AD197" s="77">
        <f t="shared" si="125"/>
        <v>0.76</v>
      </c>
      <c r="AE197" s="77">
        <f t="shared" si="125"/>
        <v>0.76</v>
      </c>
      <c r="AF197" s="77">
        <f t="shared" si="125"/>
        <v>0.76</v>
      </c>
      <c r="AG197" s="77">
        <f t="shared" si="125"/>
        <v>0.76</v>
      </c>
      <c r="AI197">
        <f t="shared" si="104"/>
        <v>116</v>
      </c>
      <c r="AK197">
        <f>SUMIFS('PAMS central control panel'!$D$14:$D$22,'PAMS central control panel'!$C$14:$C$22,RIGHT(LEFT($D197,3),2))</f>
        <v>0</v>
      </c>
      <c r="AV197" s="13"/>
    </row>
    <row r="198" spans="1:48">
      <c r="A198" s="45" t="str">
        <f>"\I:"&amp;A70</f>
        <v>\I:boiler/process heating</v>
      </c>
      <c r="B198" s="45"/>
      <c r="C198" s="46"/>
      <c r="D198" s="46" t="s">
        <v>336</v>
      </c>
      <c r="E198" s="58"/>
      <c r="F198" s="60">
        <f>SUMIF(AFA!$C$3:$L$3,RIGHT(D198,1),AFA!$C$4:$L$4)</f>
        <v>0</v>
      </c>
      <c r="G198" s="59"/>
      <c r="H198" s="60"/>
      <c r="J198" s="61"/>
      <c r="K198" s="60"/>
      <c r="L198" s="60"/>
      <c r="N198" s="2"/>
      <c r="P198" s="74" t="str">
        <f>""</f>
        <v/>
      </c>
      <c r="V198" s="74" t="str">
        <f>""</f>
        <v/>
      </c>
      <c r="AA198" s="74" t="str">
        <f>""</f>
        <v/>
      </c>
      <c r="AB198" s="77"/>
      <c r="AC198" s="77"/>
      <c r="AD198" s="77"/>
      <c r="AE198" s="77"/>
      <c r="AF198" s="77"/>
      <c r="AG198" s="77"/>
      <c r="AI198">
        <f t="shared" si="104"/>
        <v>117</v>
      </c>
      <c r="AK198">
        <f>SUMIFS('PAMS central control panel'!$D$14:$D$22,'PAMS central control panel'!$C$14:$C$22,RIGHT(LEFT($D198,3),2))</f>
        <v>0</v>
      </c>
      <c r="AV198" s="13"/>
    </row>
    <row r="199" spans="1:48">
      <c r="A199" s="45" t="str">
        <f>A$5&amp;"-"&amp;A$16&amp;"-"&amp;A$70&amp;" - "&amp;VLOOKUP(RIGHT(C199,3),NameConv!$E$4:$G$20,2,FALSE)&amp;" - Existing"</f>
        <v>Industry-N.M.M Products-boiler/process heating -  - Existing</v>
      </c>
      <c r="B199" s="45" t="str">
        <f t="shared" ref="B199:B204" si="128">D199&amp;RIGHT(C199,3)&amp;"-E"</f>
        <v>INMSCOA-E</v>
      </c>
      <c r="C199" s="46" t="str">
        <f>+$C$6</f>
        <v>INDCOA</v>
      </c>
      <c r="D199" s="46" t="str">
        <f>$B$5&amp;RIGHT($B187,2)&amp;$B$70</f>
        <v>INMS</v>
      </c>
      <c r="E199" s="58">
        <v>0.64</v>
      </c>
      <c r="F199" s="60">
        <f>SUMIF(AFA!$C$3:$L$3,RIGHT(D199,1),AFA!$C$4:$L$4)</f>
        <v>0.15426999999999999</v>
      </c>
      <c r="G199" s="59">
        <v>100</v>
      </c>
      <c r="H199" s="60">
        <f t="shared" ref="H199:H204" si="129">L199/F199</f>
        <v>201.92817786996827</v>
      </c>
      <c r="J199" s="61">
        <v>1</v>
      </c>
      <c r="K199" s="60">
        <f>J199*INDEX($C$10:$L$19,MATCH(B187,$B$10:$B$19,0),MATCH($B$6&amp;RIGHT(C199,3),$C$6:$L$6,0))</f>
        <v>48.918750000000003</v>
      </c>
      <c r="L199" s="60">
        <f t="shared" ref="L199:L204" si="130">K199*E199*(1-$L$77)</f>
        <v>31.151460000000004</v>
      </c>
      <c r="N199" s="2"/>
      <c r="P199" s="78">
        <f t="shared" ref="P199:P204" si="131">L199/(SUMIF($D$81:$D$268,$D199,$L$81:$L$268)+$P$77)</f>
        <v>0.71667802990613461</v>
      </c>
      <c r="Q199" s="77" t="e">
        <f>'IND2017'!#REF!</f>
        <v>#REF!</v>
      </c>
      <c r="R199" s="77">
        <f t="shared" ref="R199:T204" si="132">MIN(1,$P199+R$75)</f>
        <v>1</v>
      </c>
      <c r="S199" s="77">
        <f t="shared" si="132"/>
        <v>1</v>
      </c>
      <c r="T199" s="77">
        <f t="shared" si="132"/>
        <v>1</v>
      </c>
      <c r="V199" s="76">
        <f t="shared" ref="V199:V204" si="133">P199</f>
        <v>0.71667802990613461</v>
      </c>
      <c r="W199" s="77" t="e">
        <f t="shared" ref="W199:Y204" si="134">$Q199*W$75</f>
        <v>#REF!</v>
      </c>
      <c r="X199" s="77" t="e">
        <f t="shared" si="134"/>
        <v>#REF!</v>
      </c>
      <c r="Y199" s="77" t="e">
        <f t="shared" si="134"/>
        <v>#REF!</v>
      </c>
      <c r="AA199" s="76">
        <f t="shared" ref="AA199:AA204" si="135">E199</f>
        <v>0.64</v>
      </c>
      <c r="AB199" s="77">
        <f t="shared" ref="AB199:AG204" si="136">$AA199/(1-(SUMIF($B$61:$B$70,RIGHT($D199,1),AB$61:AB$70)*$AK199))</f>
        <v>0.64</v>
      </c>
      <c r="AC199" s="77">
        <f t="shared" si="136"/>
        <v>0.64</v>
      </c>
      <c r="AD199" s="77">
        <f t="shared" si="136"/>
        <v>0.64</v>
      </c>
      <c r="AE199" s="77">
        <f t="shared" si="136"/>
        <v>0.64</v>
      </c>
      <c r="AF199" s="77">
        <f t="shared" si="136"/>
        <v>0.64</v>
      </c>
      <c r="AG199" s="77">
        <f t="shared" si="136"/>
        <v>0.64</v>
      </c>
      <c r="AI199">
        <f t="shared" si="104"/>
        <v>118</v>
      </c>
      <c r="AK199">
        <f>SUMIFS('PAMS central control panel'!$D$14:$D$22,'PAMS central control panel'!$C$14:$C$22,RIGHT(LEFT($D199,3),2))</f>
        <v>0</v>
      </c>
      <c r="AV199" s="13"/>
    </row>
    <row r="200" spans="1:48">
      <c r="A200" s="45" t="str">
        <f>A$5&amp;"-"&amp;A$16&amp;"-"&amp;A$70&amp;" - "&amp;VLOOKUP(RIGHT(C200,3),NameConv!$E$4:$G$20,2,FALSE)&amp;" - Existing"</f>
        <v>Industry-N.M.M Products-boiler/process heating -  - Existing</v>
      </c>
      <c r="B200" s="45" t="str">
        <f t="shared" si="128"/>
        <v>INMSGAS-E</v>
      </c>
      <c r="C200" s="46" t="str">
        <f>"I"&amp;B187&amp;"GAS"</f>
        <v>INMGAS</v>
      </c>
      <c r="D200" s="46" t="str">
        <f>$B$5&amp;RIGHT($B187,2)&amp;$B$70</f>
        <v>INMS</v>
      </c>
      <c r="E200" s="58">
        <v>0.72</v>
      </c>
      <c r="F200" s="60">
        <f>SUMIF(AFA!$C$3:$L$3,RIGHT(D200,1),AFA!$C$4:$L$4)</f>
        <v>0.15426999999999999</v>
      </c>
      <c r="G200" s="59">
        <v>100</v>
      </c>
      <c r="H200" s="60">
        <f t="shared" si="129"/>
        <v>69.661738368686116</v>
      </c>
      <c r="J200" s="61">
        <v>1</v>
      </c>
      <c r="K200" s="60">
        <f>J200*INDEX($C$10:$L$19,MATCH(B187,$B$10:$B$19,0),MATCH($B$6&amp;RIGHT(C200,3),$C$6:$L$6,0))</f>
        <v>15.000999969482422</v>
      </c>
      <c r="L200" s="60">
        <f t="shared" si="130"/>
        <v>10.746716378137206</v>
      </c>
      <c r="N200" s="2"/>
      <c r="P200" s="78">
        <f t="shared" si="131"/>
        <v>0.2472415585607661</v>
      </c>
      <c r="Q200" s="77" t="e">
        <f>'IND2017'!#REF!</f>
        <v>#REF!</v>
      </c>
      <c r="R200" s="77">
        <f t="shared" si="132"/>
        <v>0.74724155856076613</v>
      </c>
      <c r="S200" s="77">
        <f t="shared" si="132"/>
        <v>1</v>
      </c>
      <c r="T200" s="77">
        <f t="shared" si="132"/>
        <v>1</v>
      </c>
      <c r="V200" s="76">
        <f t="shared" si="133"/>
        <v>0.2472415585607661</v>
      </c>
      <c r="W200" s="77" t="e">
        <f t="shared" si="134"/>
        <v>#REF!</v>
      </c>
      <c r="X200" s="77" t="e">
        <f t="shared" si="134"/>
        <v>#REF!</v>
      </c>
      <c r="Y200" s="77" t="e">
        <f t="shared" si="134"/>
        <v>#REF!</v>
      </c>
      <c r="AA200" s="76">
        <f t="shared" si="135"/>
        <v>0.72</v>
      </c>
      <c r="AB200" s="77">
        <f t="shared" si="136"/>
        <v>0.72</v>
      </c>
      <c r="AC200" s="77">
        <f t="shared" si="136"/>
        <v>0.72</v>
      </c>
      <c r="AD200" s="77">
        <f t="shared" si="136"/>
        <v>0.72</v>
      </c>
      <c r="AE200" s="77">
        <f t="shared" si="136"/>
        <v>0.72</v>
      </c>
      <c r="AF200" s="77">
        <f t="shared" si="136"/>
        <v>0.72</v>
      </c>
      <c r="AG200" s="77">
        <f t="shared" si="136"/>
        <v>0.72</v>
      </c>
      <c r="AI200">
        <f t="shared" si="104"/>
        <v>119</v>
      </c>
      <c r="AK200">
        <f>SUMIFS('PAMS central control panel'!$D$14:$D$22,'PAMS central control panel'!$C$14:$C$22,RIGHT(LEFT($D200,3),2))</f>
        <v>0</v>
      </c>
      <c r="AV200" s="13"/>
    </row>
    <row r="201" spans="1:48">
      <c r="A201" s="45" t="str">
        <f>A$5&amp;"-"&amp;A$16&amp;"-"&amp;A$70&amp;" - "&amp;VLOOKUP(RIGHT(C201,3),NameConv!$E$4:$G$20,2,FALSE)&amp;" - Existing"</f>
        <v>Industry-N.M.M Products-boiler/process heating -  - Existing</v>
      </c>
      <c r="B201" s="45" t="str">
        <f t="shared" si="128"/>
        <v>INMSOHF-E</v>
      </c>
      <c r="C201" s="46" t="str">
        <f>+$H$6</f>
        <v>INDOHF</v>
      </c>
      <c r="D201" s="46" t="str">
        <f>$B$5&amp;RIGHT($B187,2)&amp;$B$70</f>
        <v>INMS</v>
      </c>
      <c r="E201" s="58">
        <v>0.68</v>
      </c>
      <c r="F201" s="60">
        <f>SUMIF(AFA!$C$3:$L$3,RIGHT(D201,1),AFA!$C$4:$L$4)</f>
        <v>0.15426999999999999</v>
      </c>
      <c r="G201" s="59">
        <v>100</v>
      </c>
      <c r="H201" s="60">
        <f t="shared" si="129"/>
        <v>0</v>
      </c>
      <c r="J201" s="61">
        <v>1</v>
      </c>
      <c r="K201" s="60">
        <f>J201*INDEX($C$10:$L$19,MATCH(B187,$B$10:$B$19,0),MATCH($B$6&amp;RIGHT(C201,3),$C$6:$L$6,0))</f>
        <v>0</v>
      </c>
      <c r="L201" s="60">
        <f t="shared" si="130"/>
        <v>0</v>
      </c>
      <c r="N201" s="2"/>
      <c r="P201" s="78">
        <f t="shared" si="131"/>
        <v>0</v>
      </c>
      <c r="Q201" s="77" t="e">
        <f>'IND2017'!#REF!</f>
        <v>#REF!</v>
      </c>
      <c r="R201" s="77">
        <f t="shared" si="132"/>
        <v>0.5</v>
      </c>
      <c r="S201" s="77">
        <f t="shared" si="132"/>
        <v>1</v>
      </c>
      <c r="T201" s="77">
        <f t="shared" si="132"/>
        <v>1</v>
      </c>
      <c r="V201" s="76">
        <f t="shared" si="133"/>
        <v>0</v>
      </c>
      <c r="W201" s="77" t="e">
        <f t="shared" si="134"/>
        <v>#REF!</v>
      </c>
      <c r="X201" s="77" t="e">
        <f t="shared" si="134"/>
        <v>#REF!</v>
      </c>
      <c r="Y201" s="77" t="e">
        <f t="shared" si="134"/>
        <v>#REF!</v>
      </c>
      <c r="AA201" s="76">
        <f t="shared" si="135"/>
        <v>0.68</v>
      </c>
      <c r="AB201" s="77">
        <f t="shared" si="136"/>
        <v>0.68</v>
      </c>
      <c r="AC201" s="77">
        <f t="shared" si="136"/>
        <v>0.68</v>
      </c>
      <c r="AD201" s="77">
        <f t="shared" si="136"/>
        <v>0.68</v>
      </c>
      <c r="AE201" s="77">
        <f t="shared" si="136"/>
        <v>0.68</v>
      </c>
      <c r="AF201" s="77">
        <f t="shared" si="136"/>
        <v>0.68</v>
      </c>
      <c r="AG201" s="77">
        <f t="shared" si="136"/>
        <v>0.68</v>
      </c>
      <c r="AI201">
        <f t="shared" si="104"/>
        <v>120</v>
      </c>
      <c r="AK201">
        <f>SUMIFS('PAMS central control panel'!$D$14:$D$22,'PAMS central control panel'!$C$14:$C$22,RIGHT(LEFT($D201,3),2))</f>
        <v>0</v>
      </c>
      <c r="AV201" s="13"/>
    </row>
    <row r="202" spans="1:48">
      <c r="A202" s="45" t="str">
        <f>A$5&amp;"-"&amp;A$16&amp;"-"&amp;A$70&amp;" - "&amp;VLOOKUP(RIGHT(C202,3),NameConv!$E$4:$G$20,2,FALSE)&amp;" - Existing"</f>
        <v>Industry-N.M.M Products-boiler/process heating -  - Existing</v>
      </c>
      <c r="B202" s="45" t="str">
        <f t="shared" si="128"/>
        <v>INMSOLP-E</v>
      </c>
      <c r="C202" s="46" t="str">
        <f>+$I$6</f>
        <v>INDOLP</v>
      </c>
      <c r="D202" s="46" t="str">
        <f>$B$5&amp;RIGHT($B187,2)&amp;$B$70</f>
        <v>INMS</v>
      </c>
      <c r="E202" s="58">
        <v>0.72</v>
      </c>
      <c r="F202" s="60">
        <f>SUMIF(AFA!$C$3:$L$3,RIGHT(D202,1),AFA!$C$4:$L$4)</f>
        <v>0.15426999999999999</v>
      </c>
      <c r="G202" s="59">
        <v>100</v>
      </c>
      <c r="H202" s="60">
        <f t="shared" si="129"/>
        <v>10.165864521661939</v>
      </c>
      <c r="J202" s="61">
        <v>1</v>
      </c>
      <c r="K202" s="60">
        <f>J202*INDEX($C$10:$L$19,MATCH(B187,$B$10:$B$19,0),MATCH($B$6&amp;RIGHT(C202,3),$C$6:$L$6,0))</f>
        <v>2.1891232827425839</v>
      </c>
      <c r="L202" s="60">
        <f t="shared" si="130"/>
        <v>1.5682879197567872</v>
      </c>
      <c r="N202" s="2"/>
      <c r="P202" s="78">
        <f t="shared" si="131"/>
        <v>3.6080411533099391E-2</v>
      </c>
      <c r="Q202" s="77" t="e">
        <f>'IND2017'!#REF!</f>
        <v>#REF!</v>
      </c>
      <c r="R202" s="77">
        <f t="shared" si="132"/>
        <v>0.53608041153309938</v>
      </c>
      <c r="S202" s="77">
        <f t="shared" si="132"/>
        <v>1</v>
      </c>
      <c r="T202" s="77">
        <f t="shared" si="132"/>
        <v>1</v>
      </c>
      <c r="V202" s="76">
        <f t="shared" si="133"/>
        <v>3.6080411533099391E-2</v>
      </c>
      <c r="W202" s="77" t="e">
        <f t="shared" si="134"/>
        <v>#REF!</v>
      </c>
      <c r="X202" s="77" t="e">
        <f t="shared" si="134"/>
        <v>#REF!</v>
      </c>
      <c r="Y202" s="77" t="e">
        <f t="shared" si="134"/>
        <v>#REF!</v>
      </c>
      <c r="AA202" s="76">
        <f t="shared" si="135"/>
        <v>0.72</v>
      </c>
      <c r="AB202" s="77">
        <f t="shared" si="136"/>
        <v>0.72</v>
      </c>
      <c r="AC202" s="77">
        <f t="shared" si="136"/>
        <v>0.72</v>
      </c>
      <c r="AD202" s="77">
        <f t="shared" si="136"/>
        <v>0.72</v>
      </c>
      <c r="AE202" s="77">
        <f t="shared" si="136"/>
        <v>0.72</v>
      </c>
      <c r="AF202" s="77">
        <f t="shared" si="136"/>
        <v>0.72</v>
      </c>
      <c r="AG202" s="77">
        <f t="shared" si="136"/>
        <v>0.72</v>
      </c>
      <c r="AI202">
        <f t="shared" si="104"/>
        <v>121</v>
      </c>
      <c r="AK202">
        <f>SUMIFS('PAMS central control panel'!$D$14:$D$22,'PAMS central control panel'!$C$14:$C$22,RIGHT(LEFT($D202,3),2))</f>
        <v>0</v>
      </c>
      <c r="AV202" s="13"/>
    </row>
    <row r="203" spans="1:48">
      <c r="A203" s="45" t="str">
        <f>A$5&amp;"-"&amp;A$16&amp;"-"&amp;A$70&amp;" - "&amp;VLOOKUP(RIGHT(C203,3),NameConv!$E$4:$G$20,2,FALSE)&amp;" - Existing"</f>
        <v>Industry-N.M.M Products-boiler/process heating -  - Existing</v>
      </c>
      <c r="B203" s="45" t="str">
        <f t="shared" si="128"/>
        <v>INMSELC-E</v>
      </c>
      <c r="C203" s="46" t="str">
        <f>$P$15</f>
        <v>INMELC</v>
      </c>
      <c r="D203" s="46" t="str">
        <f>$B$5&amp;RIGHT($B187,2)&amp;$B$70</f>
        <v>INMS</v>
      </c>
      <c r="E203" s="58">
        <v>0.76</v>
      </c>
      <c r="F203" s="60">
        <f>SUMIF(AFA!$C$3:$L$3,RIGHT(D203,1),AFA!$C$4:$L$4)</f>
        <v>0.15426999999999999</v>
      </c>
      <c r="G203" s="59">
        <v>100</v>
      </c>
      <c r="H203" s="60">
        <f t="shared" si="129"/>
        <v>0</v>
      </c>
      <c r="J203" s="61">
        <v>1</v>
      </c>
      <c r="K203" s="60">
        <f>J203*INDEX($C$70:$J$70,MATCH($B187,$C$60:$J$60,0))</f>
        <v>0</v>
      </c>
      <c r="L203" s="60">
        <f t="shared" si="130"/>
        <v>0</v>
      </c>
      <c r="N203" s="2"/>
      <c r="P203" s="78">
        <f t="shared" si="131"/>
        <v>0</v>
      </c>
      <c r="Q203" s="77" t="e">
        <f>'IND2017'!#REF!</f>
        <v>#REF!</v>
      </c>
      <c r="R203" s="77">
        <f t="shared" si="132"/>
        <v>0.5</v>
      </c>
      <c r="S203" s="77">
        <f t="shared" si="132"/>
        <v>1</v>
      </c>
      <c r="T203" s="77">
        <f t="shared" si="132"/>
        <v>1</v>
      </c>
      <c r="V203" s="76">
        <f t="shared" si="133"/>
        <v>0</v>
      </c>
      <c r="W203" s="77" t="e">
        <f t="shared" si="134"/>
        <v>#REF!</v>
      </c>
      <c r="X203" s="77" t="e">
        <f t="shared" si="134"/>
        <v>#REF!</v>
      </c>
      <c r="Y203" s="77" t="e">
        <f t="shared" si="134"/>
        <v>#REF!</v>
      </c>
      <c r="AA203" s="76">
        <f t="shared" si="135"/>
        <v>0.76</v>
      </c>
      <c r="AB203" s="77">
        <f t="shared" si="136"/>
        <v>0.76</v>
      </c>
      <c r="AC203" s="77">
        <f t="shared" si="136"/>
        <v>0.76</v>
      </c>
      <c r="AD203" s="77">
        <f t="shared" si="136"/>
        <v>0.76</v>
      </c>
      <c r="AE203" s="77">
        <f t="shared" si="136"/>
        <v>0.76</v>
      </c>
      <c r="AF203" s="77">
        <f t="shared" si="136"/>
        <v>0.76</v>
      </c>
      <c r="AG203" s="77">
        <f t="shared" si="136"/>
        <v>0.76</v>
      </c>
      <c r="AI203">
        <f t="shared" si="104"/>
        <v>122</v>
      </c>
      <c r="AK203">
        <f>SUMIFS('PAMS central control panel'!$D$14:$D$22,'PAMS central control panel'!$C$14:$C$22,RIGHT(LEFT($D203,3),2))</f>
        <v>0</v>
      </c>
      <c r="AV203" s="13"/>
    </row>
    <row r="204" spans="1:48">
      <c r="A204" s="45" t="str">
        <f>A$5&amp;"-"&amp;A$16&amp;"-"&amp;A$70&amp;" - "&amp;VLOOKUP(RIGHT(C204,3),NameConv!$E$4:$G$20,2,FALSE)&amp;" - Existing"</f>
        <v>Industry-N.M.M Products-boiler/process heating -  - Existing</v>
      </c>
      <c r="B204" s="45" t="str">
        <f t="shared" si="128"/>
        <v>INMSWAS-E</v>
      </c>
      <c r="C204" s="46" t="str">
        <f>$L$6</f>
        <v>INDWAS</v>
      </c>
      <c r="D204" s="46" t="str">
        <f>$B$5&amp;RIGHT($B187,2)&amp;$B$70</f>
        <v>INMS</v>
      </c>
      <c r="E204" s="58">
        <v>0.6</v>
      </c>
      <c r="F204" s="60">
        <f>SUMIF(AFA!$C$3:$L$3,RIGHT(D204,1),AFA!$C$4:$L$4)</f>
        <v>0.15426999999999999</v>
      </c>
      <c r="G204" s="59">
        <v>100</v>
      </c>
      <c r="H204" s="60">
        <f t="shared" si="129"/>
        <v>0</v>
      </c>
      <c r="J204" s="61">
        <v>1</v>
      </c>
      <c r="K204" s="60">
        <f>J204*INDEX($C$10:$L$19,MATCH(B187,$B$10:$B$19,0),MATCH($B$6&amp;RIGHT(C204,3),$C$6:$L$6,0))</f>
        <v>0</v>
      </c>
      <c r="L204" s="60">
        <f t="shared" si="130"/>
        <v>0</v>
      </c>
      <c r="N204" s="2"/>
      <c r="P204" s="78">
        <f t="shared" si="131"/>
        <v>0</v>
      </c>
      <c r="Q204" s="77" t="e">
        <f>'IND2017'!#REF!</f>
        <v>#REF!</v>
      </c>
      <c r="R204" s="77">
        <f t="shared" si="132"/>
        <v>0.5</v>
      </c>
      <c r="S204" s="77">
        <f t="shared" si="132"/>
        <v>1</v>
      </c>
      <c r="T204" s="77">
        <f t="shared" si="132"/>
        <v>1</v>
      </c>
      <c r="V204" s="76">
        <f t="shared" si="133"/>
        <v>0</v>
      </c>
      <c r="W204" s="77" t="e">
        <f t="shared" si="134"/>
        <v>#REF!</v>
      </c>
      <c r="X204" s="77" t="e">
        <f t="shared" si="134"/>
        <v>#REF!</v>
      </c>
      <c r="Y204" s="77" t="e">
        <f t="shared" si="134"/>
        <v>#REF!</v>
      </c>
      <c r="AA204" s="76">
        <f t="shared" si="135"/>
        <v>0.6</v>
      </c>
      <c r="AB204" s="77">
        <f t="shared" si="136"/>
        <v>0.6</v>
      </c>
      <c r="AC204" s="77">
        <f t="shared" si="136"/>
        <v>0.6</v>
      </c>
      <c r="AD204" s="77">
        <f t="shared" si="136"/>
        <v>0.6</v>
      </c>
      <c r="AE204" s="77">
        <f t="shared" si="136"/>
        <v>0.6</v>
      </c>
      <c r="AF204" s="77">
        <f t="shared" si="136"/>
        <v>0.6</v>
      </c>
      <c r="AG204" s="77">
        <f t="shared" si="136"/>
        <v>0.6</v>
      </c>
      <c r="AI204">
        <f t="shared" si="104"/>
        <v>123</v>
      </c>
      <c r="AK204">
        <f>SUMIFS('PAMS central control panel'!$D$14:$D$22,'PAMS central control panel'!$C$14:$C$22,RIGHT(LEFT($D204,3),2))</f>
        <v>0</v>
      </c>
      <c r="AV204" s="13"/>
    </row>
    <row r="205" spans="1:48" ht="51.95" customHeight="1" thickBot="1">
      <c r="A205" s="244" t="s">
        <v>438</v>
      </c>
      <c r="B205" s="252" t="s">
        <v>439</v>
      </c>
      <c r="C205" s="252" t="s">
        <v>440</v>
      </c>
      <c r="D205" s="252" t="s">
        <v>441</v>
      </c>
      <c r="E205" s="252" t="s">
        <v>442</v>
      </c>
      <c r="F205" s="252" t="s">
        <v>443</v>
      </c>
      <c r="G205" s="252" t="s">
        <v>444</v>
      </c>
      <c r="H205" s="252" t="s">
        <v>445</v>
      </c>
      <c r="J205" s="252" t="s">
        <v>446</v>
      </c>
      <c r="K205" s="252" t="s">
        <v>447</v>
      </c>
      <c r="L205" s="252" t="s">
        <v>448</v>
      </c>
      <c r="M205" s="252" t="s">
        <v>449</v>
      </c>
      <c r="N205" s="252" t="s">
        <v>450</v>
      </c>
      <c r="O205" s="2"/>
      <c r="P205" s="74" t="str">
        <f>""</f>
        <v/>
      </c>
      <c r="V205" s="74" t="str">
        <f>""</f>
        <v/>
      </c>
      <c r="AA205" s="74" t="str">
        <f>""</f>
        <v/>
      </c>
      <c r="AI205">
        <f t="shared" si="104"/>
        <v>124</v>
      </c>
      <c r="AK205">
        <f>SUMIFS('PAMS central control panel'!$D$14:$D$22,'PAMS central control panel'!$C$14:$C$22,RIGHT(LEFT($D205,3),2))</f>
        <v>0</v>
      </c>
      <c r="AV205" s="13"/>
    </row>
    <row r="206" spans="1:48">
      <c r="A206" s="12" t="s">
        <v>457</v>
      </c>
      <c r="B206" s="69" t="str">
        <f>+B17</f>
        <v>FB</v>
      </c>
      <c r="C206" s="54"/>
      <c r="D206" s="54"/>
      <c r="E206" s="55" t="s">
        <v>458</v>
      </c>
      <c r="F206" s="55" t="s">
        <v>459</v>
      </c>
      <c r="G206" s="30" t="s">
        <v>460</v>
      </c>
      <c r="H206" s="31" t="s">
        <v>461</v>
      </c>
      <c r="J206" s="30" t="s">
        <v>462</v>
      </c>
      <c r="K206" s="30" t="s">
        <v>463</v>
      </c>
      <c r="L206" s="30" t="s">
        <v>463</v>
      </c>
      <c r="M206" s="2"/>
      <c r="N206" s="2"/>
      <c r="O206" s="2"/>
      <c r="P206" s="74" t="str">
        <f>""</f>
        <v/>
      </c>
      <c r="V206" s="74" t="str">
        <f>""</f>
        <v/>
      </c>
      <c r="AA206" s="74" t="str">
        <f>""</f>
        <v/>
      </c>
      <c r="AI206">
        <f t="shared" si="104"/>
        <v>125</v>
      </c>
      <c r="AK206">
        <f>SUMIFS('PAMS central control panel'!$D$14:$D$22,'PAMS central control panel'!$C$14:$C$22,RIGHT(LEFT($D206,3),2))</f>
        <v>0</v>
      </c>
      <c r="AV206" s="13"/>
    </row>
    <row r="207" spans="1:48">
      <c r="A207" s="12" t="s">
        <v>465</v>
      </c>
      <c r="B207" s="45"/>
      <c r="C207" s="56">
        <v>1</v>
      </c>
      <c r="D207" s="56">
        <f>C207+1</f>
        <v>2</v>
      </c>
      <c r="E207" s="56">
        <f>D207+1</f>
        <v>3</v>
      </c>
      <c r="F207" s="56">
        <f>E207+1</f>
        <v>4</v>
      </c>
      <c r="G207" s="56">
        <f>F207+1</f>
        <v>5</v>
      </c>
      <c r="H207" s="56">
        <f>G207+1</f>
        <v>6</v>
      </c>
      <c r="J207" s="57"/>
      <c r="K207" s="43"/>
      <c r="L207" s="43"/>
      <c r="M207" s="2"/>
      <c r="N207" s="2"/>
      <c r="O207" s="2"/>
      <c r="P207" s="74" t="str">
        <f>""</f>
        <v/>
      </c>
      <c r="V207" s="74" t="str">
        <f>""</f>
        <v/>
      </c>
      <c r="AA207" s="74" t="str">
        <f>""</f>
        <v/>
      </c>
      <c r="AI207">
        <f t="shared" si="104"/>
        <v>126</v>
      </c>
      <c r="AK207">
        <f>SUMIFS('PAMS central control panel'!$D$14:$D$22,'PAMS central control panel'!$C$14:$C$22,RIGHT(LEFT($D207,3),2))</f>
        <v>0</v>
      </c>
      <c r="AV207" s="13"/>
    </row>
    <row r="208" spans="1:48">
      <c r="A208" s="45" t="str">
        <f t="shared" ref="A208:A216" si="137">A$5&amp;"-"&amp;A$17&amp;"-"&amp;A31&amp;" - Electricity"</f>
        <v>Industry-Food, Beverage &amp; Tabacco-Elec Heating - Electricity</v>
      </c>
      <c r="B208" s="45" t="str">
        <f>D208&amp;RIGHT(C208,3)&amp;"-E"</f>
        <v>IFBKELC-E</v>
      </c>
      <c r="C208" s="46" t="str">
        <f t="shared" ref="C208:C216" si="138">$P$16</f>
        <v>IFBELC</v>
      </c>
      <c r="D208" s="46" t="str">
        <f>$B$5&amp;RIGHT($B206,2)&amp;$B$61</f>
        <v>IFBK</v>
      </c>
      <c r="E208" s="58">
        <v>1</v>
      </c>
      <c r="F208" s="60">
        <f>SUMIF(AFA!$C$3:$L$3,RIGHT(D208,1),AFA!$C$4:$L$4)</f>
        <v>0.11433</v>
      </c>
      <c r="G208" s="59">
        <v>100</v>
      </c>
      <c r="H208" s="60">
        <f>L208/F208</f>
        <v>9.7752747677926646</v>
      </c>
      <c r="J208" s="61">
        <v>1</v>
      </c>
      <c r="K208" s="60">
        <f t="shared" ref="K208:K216" si="139">J208*SUMIF($C$60:$K$60,$B$206,$C61:$K61)</f>
        <v>1.1232232806047591</v>
      </c>
      <c r="L208" s="60">
        <f t="shared" ref="L208:L216" si="140">K208*E208*(1-$L$77)</f>
        <v>1.1176071642017353</v>
      </c>
      <c r="M208" s="2"/>
      <c r="N208" s="2">
        <v>1</v>
      </c>
      <c r="O208" s="2"/>
      <c r="P208" s="74" t="str">
        <f>""</f>
        <v/>
      </c>
      <c r="V208" s="74" t="str">
        <f>""</f>
        <v/>
      </c>
      <c r="AA208" s="76">
        <f t="shared" ref="AA208:AA216" si="141">E208</f>
        <v>1</v>
      </c>
      <c r="AB208" s="77">
        <f>$AA208/(1-(SUMIF($B$61:$B$70,RIGHT($D208,1),'IND2017'!Z$209:Z$218)*$AK208))</f>
        <v>1</v>
      </c>
      <c r="AC208" s="77">
        <f>$AA208/(1-(SUMIF($B$61:$B$70,RIGHT($D208,1),'IND2017'!AA$209:AA$218)*$AK208))</f>
        <v>1</v>
      </c>
      <c r="AD208" s="77">
        <f>$AA208/(1-(SUMIF($B$61:$B$70,RIGHT($D208,1),'IND2017'!AB$209:AB$218)*$AK208))</f>
        <v>1</v>
      </c>
      <c r="AE208" s="77">
        <f>$AA208/(1-(SUMIF($B$61:$B$70,RIGHT($D208,1),'IND2017'!AC$209:AC$218)*$AK208))</f>
        <v>1</v>
      </c>
      <c r="AF208" s="77">
        <f>$AA208/(1-(SUMIF($B$61:$B$70,RIGHT($D208,1),'IND2017'!AD$209:AD$218)*$AK208))</f>
        <v>1</v>
      </c>
      <c r="AG208" s="77">
        <f>$AA208/(1-(SUMIF($B$61:$B$70,RIGHT($D208,1),'IND2017'!AE$209:AE$218)*$AK208))</f>
        <v>1</v>
      </c>
      <c r="AI208">
        <f t="shared" si="104"/>
        <v>127</v>
      </c>
      <c r="AK208">
        <f>SUMIFS('PAMS central control panel'!$D$14:$D$22,'PAMS central control panel'!$C$14:$C$22,RIGHT(LEFT($D208,3),2))</f>
        <v>0</v>
      </c>
      <c r="AV208" s="13"/>
    </row>
    <row r="209" spans="1:48">
      <c r="A209" s="45" t="str">
        <f t="shared" si="137"/>
        <v>Industry-Food, Beverage &amp; Tabacco-Compressed air - Electricity</v>
      </c>
      <c r="B209" s="45" t="str">
        <f>D209&amp;RIGHT(C209,3)&amp;"-E"</f>
        <v>IFBAELC-E</v>
      </c>
      <c r="C209" s="46" t="str">
        <f t="shared" si="138"/>
        <v>IFBELC</v>
      </c>
      <c r="D209" s="46" t="str">
        <f>$B$5&amp;RIGHT($B206,2)&amp;$B$62</f>
        <v>IFBA</v>
      </c>
      <c r="E209" s="58">
        <v>0.05</v>
      </c>
      <c r="F209" s="60">
        <f>SUMIF(AFA!$C$3:$L$3,RIGHT(D209,1),AFA!$C$4:$L$4)</f>
        <v>0.11584999999999999</v>
      </c>
      <c r="G209" s="59">
        <v>100</v>
      </c>
      <c r="H209" s="60">
        <f t="shared" ref="H209:H216" si="142">L209/F209</f>
        <v>0.27562911750458974</v>
      </c>
      <c r="J209" s="61">
        <v>1</v>
      </c>
      <c r="K209" s="60">
        <f t="shared" si="139"/>
        <v>0.64184187463129083</v>
      </c>
      <c r="L209" s="60">
        <f t="shared" si="140"/>
        <v>3.1931633262906718E-2</v>
      </c>
      <c r="N209" s="2"/>
      <c r="P209" s="74" t="str">
        <f>""</f>
        <v/>
      </c>
      <c r="V209" s="74" t="str">
        <f>""</f>
        <v/>
      </c>
      <c r="AA209" s="76">
        <f t="shared" si="141"/>
        <v>0.05</v>
      </c>
      <c r="AB209" s="77">
        <f>$AA209/(1-(SUMIF($B$61:$B$70,RIGHT($D209,1),'IND2017'!Z$209:Z$218)*$AK209))</f>
        <v>0.05</v>
      </c>
      <c r="AC209" s="77">
        <f>$AA209/(1-(SUMIF($B$61:$B$70,RIGHT($D209,1),'IND2017'!AA$209:AA$218)*$AK209))</f>
        <v>0.05</v>
      </c>
      <c r="AD209" s="77">
        <f>$AA209/(1-(SUMIF($B$61:$B$70,RIGHT($D209,1),'IND2017'!AB$209:AB$218)*$AK209))</f>
        <v>0.05</v>
      </c>
      <c r="AE209" s="77">
        <f>$AA209/(1-(SUMIF($B$61:$B$70,RIGHT($D209,1),'IND2017'!AC$209:AC$218)*$AK209))</f>
        <v>0.05</v>
      </c>
      <c r="AF209" s="77">
        <f>$AA209/(1-(SUMIF($B$61:$B$70,RIGHT($D209,1),'IND2017'!AD$209:AD$218)*$AK209))</f>
        <v>0.05</v>
      </c>
      <c r="AG209" s="77">
        <f>$AA209/(1-(SUMIF($B$61:$B$70,RIGHT($D209,1),'IND2017'!AE$209:AE$218)*$AK209))</f>
        <v>0.05</v>
      </c>
      <c r="AI209">
        <f t="shared" si="104"/>
        <v>128</v>
      </c>
      <c r="AK209">
        <f>SUMIFS('PAMS central control panel'!$D$14:$D$22,'PAMS central control panel'!$C$14:$C$22,RIGHT(LEFT($D209,3),2))</f>
        <v>0</v>
      </c>
      <c r="AV209" s="13"/>
    </row>
    <row r="210" spans="1:48">
      <c r="A210" s="45" t="str">
        <f t="shared" si="137"/>
        <v>Industry-Food, Beverage &amp; Tabacco-Lighting - Electricity</v>
      </c>
      <c r="B210" s="45" t="str">
        <f t="shared" ref="B210:B216" si="143">D210&amp;RIGHT(C210,3)&amp;"-E"</f>
        <v>IFBLELC-E</v>
      </c>
      <c r="C210" s="46" t="str">
        <f t="shared" si="138"/>
        <v>IFBELC</v>
      </c>
      <c r="D210" s="46" t="str">
        <f>$B$5&amp;RIGHT($B206,2)&amp;$B$63</f>
        <v>IFBL</v>
      </c>
      <c r="E210" s="58">
        <v>0.3</v>
      </c>
      <c r="F210" s="60">
        <f>SUMIF(AFA!$C$3:$L$3,RIGHT(D210,1),AFA!$C$4:$L$4)</f>
        <v>0.12454999999999999</v>
      </c>
      <c r="G210" s="59">
        <v>100</v>
      </c>
      <c r="H210" s="60">
        <f t="shared" si="142"/>
        <v>1.9228201483083132</v>
      </c>
      <c r="J210" s="61">
        <v>1</v>
      </c>
      <c r="K210" s="60">
        <f t="shared" si="139"/>
        <v>0.80230234328911354</v>
      </c>
      <c r="L210" s="60">
        <f t="shared" si="140"/>
        <v>0.23948724947180039</v>
      </c>
      <c r="N210" s="2"/>
      <c r="P210" s="74" t="str">
        <f>""</f>
        <v/>
      </c>
      <c r="V210" s="74" t="str">
        <f>""</f>
        <v/>
      </c>
      <c r="AA210" s="76">
        <f t="shared" si="141"/>
        <v>0.3</v>
      </c>
      <c r="AB210" s="77">
        <f>$AA210/(1-(SUMIF($B$61:$B$70,RIGHT($D210,1),'IND2017'!Z$209:Z$218)*$AK210))</f>
        <v>0.3</v>
      </c>
      <c r="AC210" s="77">
        <f>$AA210/(1-(SUMIF($B$61:$B$70,RIGHT($D210,1),'IND2017'!AA$209:AA$218)*$AK210))</f>
        <v>0.3</v>
      </c>
      <c r="AD210" s="77">
        <f>$AA210/(1-(SUMIF($B$61:$B$70,RIGHT($D210,1),'IND2017'!AB$209:AB$218)*$AK210))</f>
        <v>0.3</v>
      </c>
      <c r="AE210" s="77">
        <f>$AA210/(1-(SUMIF($B$61:$B$70,RIGHT($D210,1),'IND2017'!AC$209:AC$218)*$AK210))</f>
        <v>0.3</v>
      </c>
      <c r="AF210" s="77">
        <f>$AA210/(1-(SUMIF($B$61:$B$70,RIGHT($D210,1),'IND2017'!AD$209:AD$218)*$AK210))</f>
        <v>0.3</v>
      </c>
      <c r="AG210" s="77">
        <f>$AA210/(1-(SUMIF($B$61:$B$70,RIGHT($D210,1),'IND2017'!AE$209:AE$218)*$AK210))</f>
        <v>0.3</v>
      </c>
      <c r="AI210">
        <f t="shared" si="104"/>
        <v>129</v>
      </c>
      <c r="AK210">
        <f>SUMIFS('PAMS central control panel'!$D$14:$D$22,'PAMS central control panel'!$C$14:$C$22,RIGHT(LEFT($D210,3),2))</f>
        <v>0</v>
      </c>
      <c r="AV210" s="13"/>
    </row>
    <row r="211" spans="1:48">
      <c r="A211" s="45" t="str">
        <f t="shared" si="137"/>
        <v>Industry-Food, Beverage &amp; Tabacco-Cooling - Electricity</v>
      </c>
      <c r="B211" s="45" t="str">
        <f t="shared" si="143"/>
        <v>IFBCELC-E</v>
      </c>
      <c r="C211" s="46" t="str">
        <f t="shared" si="138"/>
        <v>IFBELC</v>
      </c>
      <c r="D211" s="46" t="str">
        <f>$B$5&amp;RIGHT($B206,2)&amp;$B$64</f>
        <v>IFBC</v>
      </c>
      <c r="E211" s="58">
        <v>2</v>
      </c>
      <c r="F211" s="60">
        <f>SUMIF(AFA!$C$3:$L$3,RIGHT(D211,1),AFA!$C$4:$L$4)</f>
        <v>0.12956000000000001</v>
      </c>
      <c r="G211" s="59">
        <v>100</v>
      </c>
      <c r="H211" s="60">
        <f t="shared" si="142"/>
        <v>56.686289367617668</v>
      </c>
      <c r="J211" s="61">
        <v>1</v>
      </c>
      <c r="K211" s="60">
        <f t="shared" si="139"/>
        <v>3.6905907791299222</v>
      </c>
      <c r="L211" s="60">
        <f t="shared" si="140"/>
        <v>7.3442756504685454</v>
      </c>
      <c r="N211" s="2"/>
      <c r="P211" s="74" t="str">
        <f>""</f>
        <v/>
      </c>
      <c r="V211" s="74" t="str">
        <f>""</f>
        <v/>
      </c>
      <c r="AA211" s="76">
        <f t="shared" si="141"/>
        <v>2</v>
      </c>
      <c r="AB211" s="77">
        <f>$AA211/(1-(SUMIF($B$61:$B$70,RIGHT($D211,1),'IND2017'!Z$209:Z$218)*$AK211))</f>
        <v>2</v>
      </c>
      <c r="AC211" s="77">
        <f>$AA211/(1-(SUMIF($B$61:$B$70,RIGHT($D211,1),'IND2017'!AA$209:AA$218)*$AK211))</f>
        <v>2</v>
      </c>
      <c r="AD211" s="77">
        <f>$AA211/(1-(SUMIF($B$61:$B$70,RIGHT($D211,1),'IND2017'!AB$209:AB$218)*$AK211))</f>
        <v>2</v>
      </c>
      <c r="AE211" s="77">
        <f>$AA211/(1-(SUMIF($B$61:$B$70,RIGHT($D211,1),'IND2017'!AC$209:AC$218)*$AK211))</f>
        <v>2</v>
      </c>
      <c r="AF211" s="77">
        <f>$AA211/(1-(SUMIF($B$61:$B$70,RIGHT($D211,1),'IND2017'!AD$209:AD$218)*$AK211))</f>
        <v>2</v>
      </c>
      <c r="AG211" s="77">
        <f>$AA211/(1-(SUMIF($B$61:$B$70,RIGHT($D211,1),'IND2017'!AE$209:AE$218)*$AK211))</f>
        <v>2</v>
      </c>
      <c r="AI211">
        <f t="shared" si="104"/>
        <v>130</v>
      </c>
      <c r="AK211">
        <f>SUMIFS('PAMS central control panel'!$D$14:$D$22,'PAMS central control panel'!$C$14:$C$22,RIGHT(LEFT($D211,3),2))</f>
        <v>0</v>
      </c>
      <c r="AV211" s="13"/>
    </row>
    <row r="212" spans="1:48">
      <c r="A212" s="45" t="str">
        <f t="shared" si="137"/>
        <v>Industry-Food, Beverage &amp; Tabacco-HVAC - Electricity</v>
      </c>
      <c r="B212" s="45" t="str">
        <f t="shared" si="143"/>
        <v>IFBHELC-E</v>
      </c>
      <c r="C212" s="46" t="str">
        <f t="shared" si="138"/>
        <v>IFBELC</v>
      </c>
      <c r="D212" s="46" t="str">
        <f>$B$5&amp;RIGHT($B206,2)&amp;$B$65</f>
        <v>IFBH</v>
      </c>
      <c r="E212" s="58">
        <v>0.9</v>
      </c>
      <c r="F212" s="60">
        <f>SUMIF(AFA!$C$3:$L$3,RIGHT(D212,1),AFA!$C$4:$L$4)</f>
        <v>0.13161</v>
      </c>
      <c r="G212" s="59">
        <v>100</v>
      </c>
      <c r="H212" s="60">
        <f t="shared" si="142"/>
        <v>6.5508251508128659</v>
      </c>
      <c r="J212" s="61">
        <v>1</v>
      </c>
      <c r="K212" s="60">
        <f t="shared" si="139"/>
        <v>0.96276281194693614</v>
      </c>
      <c r="L212" s="60">
        <f t="shared" si="140"/>
        <v>0.86215409809848131</v>
      </c>
      <c r="N212" s="2"/>
      <c r="P212" s="74" t="str">
        <f>""</f>
        <v/>
      </c>
      <c r="V212" s="74" t="str">
        <f>""</f>
        <v/>
      </c>
      <c r="AA212" s="76">
        <f t="shared" si="141"/>
        <v>0.9</v>
      </c>
      <c r="AB212" s="77">
        <f>$AA212/(1-(SUMIF($B$61:$B$70,RIGHT($D212,1),'IND2017'!Z$209:Z$218)*$AK212))</f>
        <v>0.9</v>
      </c>
      <c r="AC212" s="77">
        <f>$AA212/(1-(SUMIF($B$61:$B$70,RIGHT($D212,1),'IND2017'!AA$209:AA$218)*$AK212))</f>
        <v>0.9</v>
      </c>
      <c r="AD212" s="77">
        <f>$AA212/(1-(SUMIF($B$61:$B$70,RIGHT($D212,1),'IND2017'!AB$209:AB$218)*$AK212))</f>
        <v>0.9</v>
      </c>
      <c r="AE212" s="77">
        <f>$AA212/(1-(SUMIF($B$61:$B$70,RIGHT($D212,1),'IND2017'!AC$209:AC$218)*$AK212))</f>
        <v>0.9</v>
      </c>
      <c r="AF212" s="77">
        <f>$AA212/(1-(SUMIF($B$61:$B$70,RIGHT($D212,1),'IND2017'!AD$209:AD$218)*$AK212))</f>
        <v>0.9</v>
      </c>
      <c r="AG212" s="77">
        <f>$AA212/(1-(SUMIF($B$61:$B$70,RIGHT($D212,1),'IND2017'!AE$209:AE$218)*$AK212))</f>
        <v>0.9</v>
      </c>
      <c r="AI212">
        <f t="shared" si="104"/>
        <v>131</v>
      </c>
      <c r="AK212">
        <f>SUMIFS('PAMS central control panel'!$D$14:$D$22,'PAMS central control panel'!$C$14:$C$22,RIGHT(LEFT($D212,3),2))</f>
        <v>0</v>
      </c>
      <c r="AV212" s="13"/>
    </row>
    <row r="213" spans="1:48">
      <c r="A213" s="45" t="str">
        <f t="shared" si="137"/>
        <v>Industry-Food, Beverage &amp; Tabacco-Pumping - Electricity</v>
      </c>
      <c r="B213" s="45" t="str">
        <f t="shared" si="143"/>
        <v>IFBPELC-E</v>
      </c>
      <c r="C213" s="46" t="str">
        <f t="shared" si="138"/>
        <v>IFBELC</v>
      </c>
      <c r="D213" s="46" t="str">
        <f>$B$5&amp;RIGHT($B206,2)&amp;$B$66</f>
        <v>IFBP</v>
      </c>
      <c r="E213" s="58">
        <v>0.8</v>
      </c>
      <c r="F213" s="60">
        <f>SUMIF(AFA!$C$3:$L$3,RIGHT(D213,1),AFA!$C$4:$L$4)</f>
        <v>0.12116</v>
      </c>
      <c r="G213" s="59">
        <v>100</v>
      </c>
      <c r="H213" s="60">
        <f t="shared" si="142"/>
        <v>29.517521669243585</v>
      </c>
      <c r="J213" s="61">
        <v>1</v>
      </c>
      <c r="K213" s="60">
        <f t="shared" si="139"/>
        <v>4.4928931224190363</v>
      </c>
      <c r="L213" s="60">
        <f t="shared" si="140"/>
        <v>3.576342925445553</v>
      </c>
      <c r="N213" s="2"/>
      <c r="P213" s="74" t="str">
        <f>""</f>
        <v/>
      </c>
      <c r="V213" s="74" t="str">
        <f>""</f>
        <v/>
      </c>
      <c r="AA213" s="76">
        <f t="shared" si="141"/>
        <v>0.8</v>
      </c>
      <c r="AB213" s="77">
        <f>$AA213/(1-(SUMIF($B$61:$B$70,RIGHT($D213,1),'IND2017'!Z$209:Z$218)*$AK213))</f>
        <v>0.8</v>
      </c>
      <c r="AC213" s="77">
        <f>$AA213/(1-(SUMIF($B$61:$B$70,RIGHT($D213,1),'IND2017'!AA$209:AA$218)*$AK213))</f>
        <v>0.8</v>
      </c>
      <c r="AD213" s="77">
        <f>$AA213/(1-(SUMIF($B$61:$B$70,RIGHT($D213,1),'IND2017'!AB$209:AB$218)*$AK213))</f>
        <v>0.8</v>
      </c>
      <c r="AE213" s="77">
        <f>$AA213/(1-(SUMIF($B$61:$B$70,RIGHT($D213,1),'IND2017'!AC$209:AC$218)*$AK213))</f>
        <v>0.8</v>
      </c>
      <c r="AF213" s="77">
        <f>$AA213/(1-(SUMIF($B$61:$B$70,RIGHT($D213,1),'IND2017'!AD$209:AD$218)*$AK213))</f>
        <v>0.8</v>
      </c>
      <c r="AG213" s="77">
        <f>$AA213/(1-(SUMIF($B$61:$B$70,RIGHT($D213,1),'IND2017'!AE$209:AE$218)*$AK213))</f>
        <v>0.8</v>
      </c>
      <c r="AI213">
        <f t="shared" si="104"/>
        <v>132</v>
      </c>
      <c r="AK213">
        <f>SUMIFS('PAMS central control panel'!$D$14:$D$22,'PAMS central control panel'!$C$14:$C$22,RIGHT(LEFT($D213,3),2))</f>
        <v>0</v>
      </c>
      <c r="AV213" s="13"/>
    </row>
    <row r="214" spans="1:48">
      <c r="A214" s="45" t="str">
        <f t="shared" si="137"/>
        <v>Industry-Food, Beverage &amp; Tabacco-Fans - Electricity</v>
      </c>
      <c r="B214" s="45" t="str">
        <f t="shared" si="143"/>
        <v>IFBFELC-E</v>
      </c>
      <c r="C214" s="46" t="str">
        <f t="shared" si="138"/>
        <v>IFBELC</v>
      </c>
      <c r="D214" s="46" t="str">
        <f>$B$5&amp;RIGHT($B206,2)&amp;$B$67</f>
        <v>IFBF</v>
      </c>
      <c r="E214" s="58">
        <v>0.8</v>
      </c>
      <c r="F214" s="60">
        <f>SUMIF(AFA!$C$3:$L$3,RIGHT(D214,1),AFA!$C$4:$L$4)</f>
        <v>0.10936999999999999</v>
      </c>
      <c r="G214" s="59">
        <v>100</v>
      </c>
      <c r="H214" s="60">
        <f t="shared" si="142"/>
        <v>4.6713553278459132</v>
      </c>
      <c r="J214" s="61">
        <v>1</v>
      </c>
      <c r="K214" s="60">
        <f t="shared" si="139"/>
        <v>0.64184187463129083</v>
      </c>
      <c r="L214" s="60">
        <f t="shared" si="140"/>
        <v>0.51090613220650749</v>
      </c>
      <c r="N214" s="2"/>
      <c r="P214" s="74" t="str">
        <f>""</f>
        <v/>
      </c>
      <c r="V214" s="74" t="str">
        <f>""</f>
        <v/>
      </c>
      <c r="AA214" s="76">
        <f t="shared" si="141"/>
        <v>0.8</v>
      </c>
      <c r="AB214" s="77">
        <f>$AA214/(1-(SUMIF($B$61:$B$70,RIGHT($D214,1),'IND2017'!Z$209:Z$218)*$AK214))</f>
        <v>0.8</v>
      </c>
      <c r="AC214" s="77">
        <f>$AA214/(1-(SUMIF($B$61:$B$70,RIGHT($D214,1),'IND2017'!AA$209:AA$218)*$AK214))</f>
        <v>0.8</v>
      </c>
      <c r="AD214" s="77">
        <f>$AA214/(1-(SUMIF($B$61:$B$70,RIGHT($D214,1),'IND2017'!AB$209:AB$218)*$AK214))</f>
        <v>0.8</v>
      </c>
      <c r="AE214" s="77">
        <f>$AA214/(1-(SUMIF($B$61:$B$70,RIGHT($D214,1),'IND2017'!AC$209:AC$218)*$AK214))</f>
        <v>0.8</v>
      </c>
      <c r="AF214" s="77">
        <f>$AA214/(1-(SUMIF($B$61:$B$70,RIGHT($D214,1),'IND2017'!AD$209:AD$218)*$AK214))</f>
        <v>0.8</v>
      </c>
      <c r="AG214" s="77">
        <f>$AA214/(1-(SUMIF($B$61:$B$70,RIGHT($D214,1),'IND2017'!AE$209:AE$218)*$AK214))</f>
        <v>0.8</v>
      </c>
      <c r="AI214">
        <f t="shared" si="104"/>
        <v>133</v>
      </c>
      <c r="AK214">
        <f>SUMIFS('PAMS central control panel'!$D$14:$D$22,'PAMS central control panel'!$C$14:$C$22,RIGHT(LEFT($D214,3),2))</f>
        <v>0</v>
      </c>
      <c r="AV214" s="13"/>
    </row>
    <row r="215" spans="1:48">
      <c r="A215" s="45" t="str">
        <f t="shared" si="137"/>
        <v>Industry-Food, Beverage &amp; Tabacco-Other motive - Electricity</v>
      </c>
      <c r="B215" s="45" t="str">
        <f t="shared" si="143"/>
        <v>IFBOELC-E</v>
      </c>
      <c r="C215" s="46" t="str">
        <f t="shared" si="138"/>
        <v>IFBELC</v>
      </c>
      <c r="D215" s="46" t="str">
        <f>$B$5&amp;RIGHT($B206,2)&amp;$B$68</f>
        <v>IFBO</v>
      </c>
      <c r="E215" s="58">
        <v>0.8</v>
      </c>
      <c r="F215" s="60">
        <f>SUMIF(AFA!$C$3:$L$3,RIGHT(D215,1),AFA!$C$4:$L$4)</f>
        <v>0.13081999999999999</v>
      </c>
      <c r="G215" s="59">
        <v>100</v>
      </c>
      <c r="H215" s="60">
        <f t="shared" si="142"/>
        <v>20.503418392326587</v>
      </c>
      <c r="J215" s="61">
        <v>1</v>
      </c>
      <c r="K215" s="60">
        <f t="shared" si="139"/>
        <v>3.3696698418142765</v>
      </c>
      <c r="L215" s="60">
        <f t="shared" si="140"/>
        <v>2.6822571940841642</v>
      </c>
      <c r="N215" s="2"/>
      <c r="P215" s="74" t="str">
        <f>""</f>
        <v/>
      </c>
      <c r="V215" s="74" t="str">
        <f>""</f>
        <v/>
      </c>
      <c r="AA215" s="76">
        <f t="shared" si="141"/>
        <v>0.8</v>
      </c>
      <c r="AB215" s="77">
        <f>$AA215/(1-(SUMIF($B$61:$B$70,RIGHT($D215,1),'IND2017'!Z$209:Z$218)*$AK215))</f>
        <v>0.8</v>
      </c>
      <c r="AC215" s="77">
        <f>$AA215/(1-(SUMIF($B$61:$B$70,RIGHT($D215,1),'IND2017'!AA$209:AA$218)*$AK215))</f>
        <v>0.8</v>
      </c>
      <c r="AD215" s="77">
        <f>$AA215/(1-(SUMIF($B$61:$B$70,RIGHT($D215,1),'IND2017'!AB$209:AB$218)*$AK215))</f>
        <v>0.8</v>
      </c>
      <c r="AE215" s="77">
        <f>$AA215/(1-(SUMIF($B$61:$B$70,RIGHT($D215,1),'IND2017'!AC$209:AC$218)*$AK215))</f>
        <v>0.8</v>
      </c>
      <c r="AF215" s="77">
        <f>$AA215/(1-(SUMIF($B$61:$B$70,RIGHT($D215,1),'IND2017'!AD$209:AD$218)*$AK215))</f>
        <v>0.8</v>
      </c>
      <c r="AG215" s="77">
        <f>$AA215/(1-(SUMIF($B$61:$B$70,RIGHT($D215,1),'IND2017'!AE$209:AE$218)*$AK215))</f>
        <v>0.8</v>
      </c>
      <c r="AI215">
        <f t="shared" si="104"/>
        <v>134</v>
      </c>
      <c r="AK215">
        <f>SUMIFS('PAMS central control panel'!$D$14:$D$22,'PAMS central control panel'!$C$14:$C$22,RIGHT(LEFT($D215,3),2))</f>
        <v>0</v>
      </c>
      <c r="AV215" s="13"/>
    </row>
    <row r="216" spans="1:48">
      <c r="A216" s="45" t="str">
        <f t="shared" si="137"/>
        <v>Industry-Food, Beverage &amp; Tabacco-Electrochemical - Electricity</v>
      </c>
      <c r="B216" s="45" t="str">
        <f t="shared" si="143"/>
        <v>IFBEELC-E</v>
      </c>
      <c r="C216" s="46" t="str">
        <f t="shared" si="138"/>
        <v>IFBELC</v>
      </c>
      <c r="D216" s="46" t="str">
        <f>$B$5&amp;RIGHT($B206,2)&amp;$B$69</f>
        <v>IFBE</v>
      </c>
      <c r="E216" s="58">
        <v>0.76</v>
      </c>
      <c r="F216" s="60">
        <f>SUMIF(AFA!$C$3:$L$3,RIGHT(D216,1),AFA!$C$4:$L$4)</f>
        <v>0.13233</v>
      </c>
      <c r="G216" s="59">
        <v>100</v>
      </c>
      <c r="H216" s="60">
        <f t="shared" si="142"/>
        <v>0</v>
      </c>
      <c r="J216" s="61">
        <v>1</v>
      </c>
      <c r="K216" s="60">
        <f t="shared" si="139"/>
        <v>0</v>
      </c>
      <c r="L216" s="60">
        <f t="shared" si="140"/>
        <v>0</v>
      </c>
      <c r="N216" s="2"/>
      <c r="P216" s="74" t="str">
        <f>""</f>
        <v/>
      </c>
      <c r="V216" s="74" t="str">
        <f>""</f>
        <v/>
      </c>
      <c r="AA216" s="76">
        <f t="shared" si="141"/>
        <v>0.76</v>
      </c>
      <c r="AB216" s="77">
        <f>$AA216/(1-(SUMIF($B$61:$B$70,RIGHT($D216,1),'IND2017'!Z$209:Z$218)*$AK216))</f>
        <v>0.76</v>
      </c>
      <c r="AC216" s="77">
        <f>$AA216/(1-(SUMIF($B$61:$B$70,RIGHT($D216,1),'IND2017'!AA$209:AA$218)*$AK216))</f>
        <v>0.76</v>
      </c>
      <c r="AD216" s="77">
        <f>$AA216/(1-(SUMIF($B$61:$B$70,RIGHT($D216,1),'IND2017'!AB$209:AB$218)*$AK216))</f>
        <v>0.76</v>
      </c>
      <c r="AE216" s="77">
        <f>$AA216/(1-(SUMIF($B$61:$B$70,RIGHT($D216,1),'IND2017'!AC$209:AC$218)*$AK216))</f>
        <v>0.76</v>
      </c>
      <c r="AF216" s="77">
        <f>$AA216/(1-(SUMIF($B$61:$B$70,RIGHT($D216,1),'IND2017'!AD$209:AD$218)*$AK216))</f>
        <v>0.76</v>
      </c>
      <c r="AG216" s="77">
        <f>$AA216/(1-(SUMIF($B$61:$B$70,RIGHT($D216,1),'IND2017'!AE$209:AE$218)*$AK216))</f>
        <v>0.76</v>
      </c>
      <c r="AI216">
        <f t="shared" si="104"/>
        <v>135</v>
      </c>
      <c r="AK216">
        <f>SUMIFS('PAMS central control panel'!$D$14:$D$22,'PAMS central control panel'!$C$14:$C$22,RIGHT(LEFT($D216,3),2))</f>
        <v>0</v>
      </c>
      <c r="AV216" s="13"/>
    </row>
    <row r="217" spans="1:48">
      <c r="A217" s="45" t="str">
        <f>"\I:"&amp;A70</f>
        <v>\I:boiler/process heating</v>
      </c>
      <c r="B217" s="45"/>
      <c r="C217" s="46"/>
      <c r="D217" s="46" t="s">
        <v>336</v>
      </c>
      <c r="E217" s="58"/>
      <c r="F217" s="60">
        <f>SUMIF(AFA!$C$3:$L$3,RIGHT(D217,1),AFA!$C$4:$L$4)</f>
        <v>0</v>
      </c>
      <c r="G217" s="59"/>
      <c r="H217" s="60"/>
      <c r="J217" s="61"/>
      <c r="K217" s="60"/>
      <c r="L217" s="60"/>
      <c r="N217" s="2"/>
      <c r="P217" s="74" t="str">
        <f>""</f>
        <v/>
      </c>
      <c r="V217" s="74" t="str">
        <f>""</f>
        <v/>
      </c>
      <c r="AA217" s="74" t="str">
        <f>""</f>
        <v/>
      </c>
      <c r="AB217" s="77"/>
      <c r="AC217" s="77"/>
      <c r="AD217" s="77"/>
      <c r="AE217" s="77"/>
      <c r="AF217" s="77"/>
      <c r="AG217" s="77"/>
      <c r="AI217">
        <f t="shared" si="104"/>
        <v>136</v>
      </c>
      <c r="AK217">
        <f>SUMIFS('PAMS central control panel'!$D$14:$D$22,'PAMS central control panel'!$C$14:$C$22,RIGHT(LEFT($D217,3),2))</f>
        <v>0</v>
      </c>
      <c r="AV217" s="13"/>
    </row>
    <row r="218" spans="1:48">
      <c r="A218" s="45" t="str">
        <f>A$5&amp;"-"&amp;A$17&amp;"-"&amp;A$70&amp;" - "&amp;VLOOKUP(RIGHT(C218,3),NameConv!$E$4:$G$23,2,FALSE)&amp;" - Existing"</f>
        <v>Industry-Food, Beverage &amp; Tabacco-boiler/process heating -  - Existing</v>
      </c>
      <c r="B218" s="45" t="str">
        <f t="shared" ref="B218:B226" si="144">D218&amp;RIGHT(C218,3)&amp;"-E"</f>
        <v>IFBSCOA-E</v>
      </c>
      <c r="C218" s="46" t="str">
        <f>+$C$6</f>
        <v>INDCOA</v>
      </c>
      <c r="D218" s="46" t="str">
        <f t="shared" ref="D218:D226" si="145">$B$5&amp;RIGHT($B$206,2)&amp;$B$70</f>
        <v>IFBS</v>
      </c>
      <c r="E218" s="58">
        <v>0.64</v>
      </c>
      <c r="F218" s="60">
        <f>SUMIF(AFA!$C$3:$L$3,RIGHT(D218,1),AFA!$C$4:$L$4)</f>
        <v>0.15426999999999999</v>
      </c>
      <c r="G218" s="59">
        <v>100</v>
      </c>
      <c r="H218" s="60">
        <f t="shared" ref="H218:H226" si="146">L218/F218</f>
        <v>107.62402955856619</v>
      </c>
      <c r="J218" s="61">
        <v>1</v>
      </c>
      <c r="K218" s="60">
        <f>J218*INDEX($C$10:$L$19,MATCH(B206,$B$10:$B$19,0),MATCH($B$6&amp;RIGHT(C218,3),$C$6:$L$6,0))</f>
        <v>26.072800000000004</v>
      </c>
      <c r="L218" s="60">
        <f t="shared" ref="L218:L226" si="147">K218*E218*(1-$L$77)</f>
        <v>16.603159040000005</v>
      </c>
      <c r="N218" s="2"/>
      <c r="P218" s="78">
        <f t="shared" ref="P218:P226" si="148">L218/SUMIF($D$81:$D$268,$D218,$L$81:$L$268)</f>
        <v>0.81300906908702075</v>
      </c>
      <c r="Q218" s="77">
        <f>'IND2017'!N157</f>
        <v>0.25685398787785141</v>
      </c>
      <c r="R218" s="77">
        <f t="shared" ref="R218:T224" si="149">MIN(1,$P218+R$75)</f>
        <v>1</v>
      </c>
      <c r="S218" s="77">
        <f t="shared" si="149"/>
        <v>1</v>
      </c>
      <c r="T218" s="77">
        <f t="shared" si="149"/>
        <v>1</v>
      </c>
      <c r="V218" s="76">
        <f t="shared" ref="V218:V226" si="150">P218</f>
        <v>0.81300906908702075</v>
      </c>
      <c r="W218" s="77">
        <f t="shared" ref="W218:Y226" si="151">$Q218*W$75</f>
        <v>0.25428544799907288</v>
      </c>
      <c r="X218" s="77">
        <f t="shared" si="151"/>
        <v>0</v>
      </c>
      <c r="Y218" s="77">
        <f t="shared" si="151"/>
        <v>0</v>
      </c>
      <c r="AA218" s="76">
        <f t="shared" ref="AA218:AA224" si="152">E218</f>
        <v>0.64</v>
      </c>
      <c r="AB218" s="77">
        <f>$AA218/(1-(SUMIF($B$61:$B$70,RIGHT($D218,1),'IND2017'!Z$209:Z$218)*$AK218))</f>
        <v>0.64</v>
      </c>
      <c r="AC218" s="77">
        <f>$AA218/(1-(SUMIF($B$61:$B$70,RIGHT($D218,1),'IND2017'!AA$209:AA$218)*$AK218))</f>
        <v>0.64</v>
      </c>
      <c r="AD218" s="77">
        <f>$AA218/(1-(SUMIF($B$61:$B$70,RIGHT($D218,1),'IND2017'!AB$209:AB$218)*$AK218))</f>
        <v>0.64</v>
      </c>
      <c r="AE218" s="77">
        <f>$AA218/(1-(SUMIF($B$61:$B$70,RIGHT($D218,1),'IND2017'!AC$209:AC$218)*$AK218))</f>
        <v>0.64</v>
      </c>
      <c r="AF218" s="77">
        <f>$AA218/(1-(SUMIF($B$61:$B$70,RIGHT($D218,1),'IND2017'!AD$209:AD$218)*$AK218))</f>
        <v>0.64</v>
      </c>
      <c r="AG218" s="77">
        <f>$AA218/(1-(SUMIF($B$61:$B$70,RIGHT($D218,1),'IND2017'!AE$209:AE$218)*$AK218))</f>
        <v>0.64</v>
      </c>
      <c r="AI218">
        <f t="shared" si="104"/>
        <v>137</v>
      </c>
      <c r="AK218">
        <f>SUMIFS('PAMS central control panel'!$D$14:$D$22,'PAMS central control panel'!$C$14:$C$22,RIGHT(LEFT($D218,3),2))</f>
        <v>0</v>
      </c>
      <c r="AV218" s="13"/>
    </row>
    <row r="219" spans="1:48">
      <c r="A219" s="45" t="str">
        <f>A$5&amp;"-"&amp;A$17&amp;"-"&amp;A$70&amp;" - "&amp;VLOOKUP(RIGHT(C219,3),NameConv!$E$4:$G$23,2,FALSE)&amp;" - Existing"</f>
        <v>Industry-Food, Beverage &amp; Tabacco-boiler/process heating -  - Existing</v>
      </c>
      <c r="B219" s="45" t="str">
        <f t="shared" si="144"/>
        <v>IFBSGAS-E</v>
      </c>
      <c r="C219" s="46" t="str">
        <f>"I"&amp;B206&amp;"GAS"</f>
        <v>IFBGAS</v>
      </c>
      <c r="D219" s="46" t="str">
        <f t="shared" si="145"/>
        <v>IFBS</v>
      </c>
      <c r="E219" s="58">
        <v>0.72</v>
      </c>
      <c r="F219" s="60">
        <f>SUMIF(AFA!$C$3:$L$3,RIGHT(D219,1),AFA!$C$4:$L$4)</f>
        <v>0.15426999999999999</v>
      </c>
      <c r="G219" s="59">
        <v>100</v>
      </c>
      <c r="H219" s="60">
        <f t="shared" si="146"/>
        <v>14.103239774421466</v>
      </c>
      <c r="J219" s="61">
        <v>1</v>
      </c>
      <c r="K219" s="60">
        <f>J219*INDEX($C$10:$L$19,MATCH(B206,$B$10:$B$19,0),MATCH($B$6&amp;RIGHT(C219,3),$C$6:$L$6,0))</f>
        <v>3.0369999999999999</v>
      </c>
      <c r="L219" s="60">
        <f t="shared" si="147"/>
        <v>2.1757067999999995</v>
      </c>
      <c r="N219" s="2"/>
      <c r="P219" s="78">
        <f t="shared" si="148"/>
        <v>0.10653812059577188</v>
      </c>
      <c r="Q219" s="77">
        <f>'IND2017'!N158</f>
        <v>0.13080354784669287</v>
      </c>
      <c r="R219" s="77">
        <f t="shared" si="149"/>
        <v>0.60653812059577183</v>
      </c>
      <c r="S219" s="77">
        <f t="shared" si="149"/>
        <v>1</v>
      </c>
      <c r="T219" s="77">
        <f t="shared" si="149"/>
        <v>1</v>
      </c>
      <c r="V219" s="76">
        <f t="shared" si="150"/>
        <v>0.10653812059577188</v>
      </c>
      <c r="W219" s="77">
        <f t="shared" si="151"/>
        <v>0.12949551236822596</v>
      </c>
      <c r="X219" s="77">
        <f t="shared" si="151"/>
        <v>0</v>
      </c>
      <c r="Y219" s="77">
        <f t="shared" si="151"/>
        <v>0</v>
      </c>
      <c r="AA219" s="76">
        <f t="shared" si="152"/>
        <v>0.72</v>
      </c>
      <c r="AB219" s="77">
        <f>$AA219/(1-(SUMIF($B$61:$B$70,RIGHT($D219,1),'IND2017'!Z$209:Z$218)*$AK219))</f>
        <v>0.72</v>
      </c>
      <c r="AC219" s="77">
        <f>$AA219/(1-(SUMIF($B$61:$B$70,RIGHT($D219,1),'IND2017'!AA$209:AA$218)*$AK219))</f>
        <v>0.72</v>
      </c>
      <c r="AD219" s="77">
        <f>$AA219/(1-(SUMIF($B$61:$B$70,RIGHT($D219,1),'IND2017'!AB$209:AB$218)*$AK219))</f>
        <v>0.72</v>
      </c>
      <c r="AE219" s="77">
        <f>$AA219/(1-(SUMIF($B$61:$B$70,RIGHT($D219,1),'IND2017'!AC$209:AC$218)*$AK219))</f>
        <v>0.72</v>
      </c>
      <c r="AF219" s="77">
        <f>$AA219/(1-(SUMIF($B$61:$B$70,RIGHT($D219,1),'IND2017'!AD$209:AD$218)*$AK219))</f>
        <v>0.72</v>
      </c>
      <c r="AG219" s="77">
        <f>$AA219/(1-(SUMIF($B$61:$B$70,RIGHT($D219,1),'IND2017'!AE$209:AE$218)*$AK219))</f>
        <v>0.72</v>
      </c>
      <c r="AI219">
        <f t="shared" si="104"/>
        <v>138</v>
      </c>
      <c r="AK219">
        <f>SUMIFS('PAMS central control panel'!$D$14:$D$22,'PAMS central control panel'!$C$14:$C$22,RIGHT(LEFT($D219,3),2))</f>
        <v>0</v>
      </c>
      <c r="AV219" s="13"/>
    </row>
    <row r="220" spans="1:48">
      <c r="A220" s="45" t="str">
        <f>A$5&amp;"-"&amp;A$17&amp;"-"&amp;A$70&amp;" - "&amp;VLOOKUP(RIGHT(C220,3),NameConv!$E$4:$G$23,2,FALSE)&amp;" - Existing"</f>
        <v>Industry-Food, Beverage &amp; Tabacco-boiler/process heating -  - Existing</v>
      </c>
      <c r="B220" s="45" t="str">
        <f t="shared" si="144"/>
        <v>IFBSOHF-E</v>
      </c>
      <c r="C220" s="46" t="str">
        <f>+$H$6</f>
        <v>INDOHF</v>
      </c>
      <c r="D220" s="46" t="str">
        <f t="shared" si="145"/>
        <v>IFBS</v>
      </c>
      <c r="E220" s="58">
        <v>0.68</v>
      </c>
      <c r="F220" s="60">
        <f>SUMIF(AFA!$C$3:$L$3,RIGHT(D220,1),AFA!$C$4:$L$4)</f>
        <v>0.15426999999999999</v>
      </c>
      <c r="G220" s="59">
        <v>100</v>
      </c>
      <c r="H220" s="60">
        <f t="shared" si="146"/>
        <v>0</v>
      </c>
      <c r="J220" s="61">
        <v>1</v>
      </c>
      <c r="K220" s="60">
        <f>J220*INDEX($C$10:$L$19,MATCH(B206,$B$10:$B$19,0),MATCH($B$6&amp;RIGHT(C220,3),$C$6:$L$6,0))</f>
        <v>0</v>
      </c>
      <c r="L220" s="60">
        <f t="shared" si="147"/>
        <v>0</v>
      </c>
      <c r="N220" s="2"/>
      <c r="P220" s="78">
        <f t="shared" si="148"/>
        <v>0</v>
      </c>
      <c r="Q220" s="77">
        <f>'IND2017'!N159</f>
        <v>0</v>
      </c>
      <c r="R220" s="77">
        <f t="shared" si="149"/>
        <v>0.5</v>
      </c>
      <c r="S220" s="77">
        <f t="shared" si="149"/>
        <v>1</v>
      </c>
      <c r="T220" s="77">
        <f t="shared" si="149"/>
        <v>1</v>
      </c>
      <c r="V220" s="76">
        <f t="shared" si="150"/>
        <v>0</v>
      </c>
      <c r="W220" s="77">
        <f t="shared" si="151"/>
        <v>0</v>
      </c>
      <c r="X220" s="77">
        <f t="shared" si="151"/>
        <v>0</v>
      </c>
      <c r="Y220" s="77">
        <f t="shared" si="151"/>
        <v>0</v>
      </c>
      <c r="AA220" s="76">
        <f t="shared" si="152"/>
        <v>0.68</v>
      </c>
      <c r="AB220" s="77">
        <f>$AA220/(1-(SUMIF($B$61:$B$70,RIGHT($D220,1),'IND2017'!Z$209:Z$218)*$AK220))</f>
        <v>0.68</v>
      </c>
      <c r="AC220" s="77">
        <f>$AA220/(1-(SUMIF($B$61:$B$70,RIGHT($D220,1),'IND2017'!AA$209:AA$218)*$AK220))</f>
        <v>0.68</v>
      </c>
      <c r="AD220" s="77">
        <f>$AA220/(1-(SUMIF($B$61:$B$70,RIGHT($D220,1),'IND2017'!AB$209:AB$218)*$AK220))</f>
        <v>0.68</v>
      </c>
      <c r="AE220" s="77">
        <f>$AA220/(1-(SUMIF($B$61:$B$70,RIGHT($D220,1),'IND2017'!AC$209:AC$218)*$AK220))</f>
        <v>0.68</v>
      </c>
      <c r="AF220" s="77">
        <f>$AA220/(1-(SUMIF($B$61:$B$70,RIGHT($D220,1),'IND2017'!AD$209:AD$218)*$AK220))</f>
        <v>0.68</v>
      </c>
      <c r="AG220" s="77">
        <f>$AA220/(1-(SUMIF($B$61:$B$70,RIGHT($D220,1),'IND2017'!AE$209:AE$218)*$AK220))</f>
        <v>0.68</v>
      </c>
      <c r="AI220">
        <f t="shared" si="104"/>
        <v>139</v>
      </c>
      <c r="AK220">
        <f>SUMIFS('PAMS central control panel'!$D$14:$D$22,'PAMS central control panel'!$C$14:$C$22,RIGHT(LEFT($D220,3),2))</f>
        <v>0</v>
      </c>
      <c r="AV220" s="13"/>
    </row>
    <row r="221" spans="1:48">
      <c r="A221" s="45" t="str">
        <f>A$5&amp;"-"&amp;A$17&amp;"-"&amp;A$70&amp;" - "&amp;VLOOKUP(RIGHT(C221,3),NameConv!$E$4:$G$23,2,FALSE)&amp;" - Existing"</f>
        <v>Industry-Food, Beverage &amp; Tabacco-boiler/process heating -  - Existing</v>
      </c>
      <c r="B221" s="45" t="str">
        <f t="shared" si="144"/>
        <v>IFBSOLP-E</v>
      </c>
      <c r="C221" s="46" t="str">
        <f>+$I$6</f>
        <v>INDOLP</v>
      </c>
      <c r="D221" s="46" t="str">
        <f t="shared" si="145"/>
        <v>IFBS</v>
      </c>
      <c r="E221" s="58">
        <v>0.72</v>
      </c>
      <c r="F221" s="60">
        <f>SUMIF(AFA!$C$3:$L$3,RIGHT(D221,1),AFA!$C$4:$L$4)</f>
        <v>0.15426999999999999</v>
      </c>
      <c r="G221" s="59">
        <v>100</v>
      </c>
      <c r="H221" s="60">
        <f t="shared" si="146"/>
        <v>9.077045307708822</v>
      </c>
      <c r="J221" s="61">
        <v>1</v>
      </c>
      <c r="K221" s="60">
        <f>J221*INDEX($C$10:$L$19,MATCH(B206,$B$10:$B$19,0),MATCH($B$6&amp;RIGHT(C221,3),$C$6:$L$6,0))</f>
        <v>1.9546563087943047</v>
      </c>
      <c r="L221" s="60">
        <f t="shared" si="147"/>
        <v>1.4003157796202399</v>
      </c>
      <c r="N221" s="2"/>
      <c r="P221" s="78">
        <f t="shared" si="148"/>
        <v>6.8569446674222587E-2</v>
      </c>
      <c r="Q221" s="77">
        <f>'IND2017'!N160</f>
        <v>0</v>
      </c>
      <c r="R221" s="77">
        <f t="shared" si="149"/>
        <v>0.5685694466742226</v>
      </c>
      <c r="S221" s="77">
        <f t="shared" si="149"/>
        <v>1</v>
      </c>
      <c r="T221" s="77">
        <f t="shared" si="149"/>
        <v>1</v>
      </c>
      <c r="V221" s="76">
        <f t="shared" si="150"/>
        <v>6.8569446674222587E-2</v>
      </c>
      <c r="W221" s="77">
        <f t="shared" si="151"/>
        <v>0</v>
      </c>
      <c r="X221" s="77">
        <f t="shared" si="151"/>
        <v>0</v>
      </c>
      <c r="Y221" s="77">
        <f t="shared" si="151"/>
        <v>0</v>
      </c>
      <c r="AA221" s="76">
        <f t="shared" si="152"/>
        <v>0.72</v>
      </c>
      <c r="AB221" s="77">
        <f>$AA221/(1-(SUMIF($B$61:$B$70,RIGHT($D221,1),'IND2017'!Z$209:Z$218)*$AK221))</f>
        <v>0.72</v>
      </c>
      <c r="AC221" s="77">
        <f>$AA221/(1-(SUMIF($B$61:$B$70,RIGHT($D221,1),'IND2017'!AA$209:AA$218)*$AK221))</f>
        <v>0.72</v>
      </c>
      <c r="AD221" s="77">
        <f>$AA221/(1-(SUMIF($B$61:$B$70,RIGHT($D221,1),'IND2017'!AB$209:AB$218)*$AK221))</f>
        <v>0.72</v>
      </c>
      <c r="AE221" s="77">
        <f>$AA221/(1-(SUMIF($B$61:$B$70,RIGHT($D221,1),'IND2017'!AC$209:AC$218)*$AK221))</f>
        <v>0.72</v>
      </c>
      <c r="AF221" s="77">
        <f>$AA221/(1-(SUMIF($B$61:$B$70,RIGHT($D221,1),'IND2017'!AD$209:AD$218)*$AK221))</f>
        <v>0.72</v>
      </c>
      <c r="AG221" s="77">
        <f>$AA221/(1-(SUMIF($B$61:$B$70,RIGHT($D221,1),'IND2017'!AE$209:AE$218)*$AK221))</f>
        <v>0.72</v>
      </c>
      <c r="AI221">
        <f t="shared" si="104"/>
        <v>140</v>
      </c>
      <c r="AK221">
        <f>SUMIFS('PAMS central control panel'!$D$14:$D$22,'PAMS central control panel'!$C$14:$C$22,RIGHT(LEFT($D221,3),2))</f>
        <v>0</v>
      </c>
      <c r="AV221" s="13"/>
    </row>
    <row r="222" spans="1:48">
      <c r="A222" s="45" t="str">
        <f>A$5&amp;"-"&amp;A$17&amp;"-"&amp;A$70&amp;" - "&amp;VLOOKUP(RIGHT(C222,3),NameConv!$E$4:$G$23,2,FALSE)&amp;" - Existing"</f>
        <v>Industry-Food, Beverage &amp; Tabacco-boiler/process heating -  - Existing</v>
      </c>
      <c r="B222" s="45" t="str">
        <f t="shared" si="144"/>
        <v>IFBSELC-E</v>
      </c>
      <c r="C222" s="46" t="str">
        <f>$P$16</f>
        <v>IFBELC</v>
      </c>
      <c r="D222" s="46" t="str">
        <f t="shared" si="145"/>
        <v>IFBS</v>
      </c>
      <c r="E222" s="58">
        <v>0.76</v>
      </c>
      <c r="F222" s="60">
        <f>SUMIF(AFA!$C$3:$L$3,RIGHT(D222,1),AFA!$C$4:$L$4)</f>
        <v>0.15426999999999999</v>
      </c>
      <c r="G222" s="59">
        <v>100</v>
      </c>
      <c r="H222" s="60">
        <f t="shared" si="146"/>
        <v>1.5730888234789078</v>
      </c>
      <c r="J222" s="61">
        <v>1</v>
      </c>
      <c r="K222" s="60">
        <f>J222*INDEX($C$70:$J$70,MATCH($B206,$C$60:$J$60,0))</f>
        <v>0.32092093731564542</v>
      </c>
      <c r="L222" s="60">
        <f t="shared" si="147"/>
        <v>0.24268041279809108</v>
      </c>
      <c r="N222" s="2"/>
      <c r="P222" s="78">
        <f t="shared" si="148"/>
        <v>1.1883363642984769E-2</v>
      </c>
      <c r="Q222" s="77">
        <f>'IND2017'!N161</f>
        <v>5.6054215606750127E-3</v>
      </c>
      <c r="R222" s="77">
        <f t="shared" si="149"/>
        <v>0.51188336364298481</v>
      </c>
      <c r="S222" s="77">
        <f t="shared" si="149"/>
        <v>1</v>
      </c>
      <c r="T222" s="77">
        <f t="shared" si="149"/>
        <v>1</v>
      </c>
      <c r="V222" s="76">
        <f t="shared" si="150"/>
        <v>1.1883363642984769E-2</v>
      </c>
      <c r="W222" s="77">
        <f t="shared" si="151"/>
        <v>5.5493673450682625E-3</v>
      </c>
      <c r="X222" s="77">
        <f t="shared" si="151"/>
        <v>0</v>
      </c>
      <c r="Y222" s="77">
        <f t="shared" si="151"/>
        <v>0</v>
      </c>
      <c r="AA222" s="76">
        <f t="shared" si="152"/>
        <v>0.76</v>
      </c>
      <c r="AB222" s="77">
        <f>$AA222/(1-(SUMIF($B$61:$B$70,RIGHT($D222,1),'IND2017'!Z$209:Z$218)*$AK222))</f>
        <v>0.76</v>
      </c>
      <c r="AC222" s="77">
        <f>$AA222/(1-(SUMIF($B$61:$B$70,RIGHT($D222,1),'IND2017'!AA$209:AA$218)*$AK222))</f>
        <v>0.76</v>
      </c>
      <c r="AD222" s="77">
        <f>$AA222/(1-(SUMIF($B$61:$B$70,RIGHT($D222,1),'IND2017'!AB$209:AB$218)*$AK222))</f>
        <v>0.76</v>
      </c>
      <c r="AE222" s="77">
        <f>$AA222/(1-(SUMIF($B$61:$B$70,RIGHT($D222,1),'IND2017'!AC$209:AC$218)*$AK222))</f>
        <v>0.76</v>
      </c>
      <c r="AF222" s="77">
        <f>$AA222/(1-(SUMIF($B$61:$B$70,RIGHT($D222,1),'IND2017'!AD$209:AD$218)*$AK222))</f>
        <v>0.76</v>
      </c>
      <c r="AG222" s="77">
        <f>$AA222/(1-(SUMIF($B$61:$B$70,RIGHT($D222,1),'IND2017'!AE$209:AE$218)*$AK222))</f>
        <v>0.76</v>
      </c>
      <c r="AI222">
        <f t="shared" si="104"/>
        <v>141</v>
      </c>
      <c r="AK222">
        <f>SUMIFS('PAMS central control panel'!$D$14:$D$22,'PAMS central control panel'!$C$14:$C$22,RIGHT(LEFT($D222,3),2))</f>
        <v>0</v>
      </c>
      <c r="AV222" s="13"/>
    </row>
    <row r="223" spans="1:48" ht="15">
      <c r="A223" s="45" t="str">
        <f>A$5&amp;"-"&amp;A$17&amp;"-"&amp;A$70&amp;" - "&amp;VLOOKUP(RIGHT(C223,3),NameConv!$E$4:$G$23,2,FALSE)&amp;" - Heat Pump New"</f>
        <v>Industry-Food, Beverage &amp; Tabacco-boiler/process heating -  - Heat Pump New</v>
      </c>
      <c r="B223" s="45" t="str">
        <f>D223&amp;RIGHT(C223,3)&amp;"-N"</f>
        <v>IFBSELC-N</v>
      </c>
      <c r="C223" s="46" t="str">
        <f>$P$16</f>
        <v>IFBELC</v>
      </c>
      <c r="D223" s="46" t="str">
        <f t="shared" si="145"/>
        <v>IFBS</v>
      </c>
      <c r="E223" s="58">
        <f>E162</f>
        <v>3.34</v>
      </c>
      <c r="F223" s="60">
        <f>SUMIF(AFA!$C$3:$L$3,RIGHT(D223,1),AFA!$C$4:$L$4)</f>
        <v>0.15426999999999999</v>
      </c>
      <c r="G223" s="59">
        <v>100</v>
      </c>
      <c r="H223" s="60">
        <v>0</v>
      </c>
      <c r="J223" s="61">
        <v>1</v>
      </c>
      <c r="K223" s="60">
        <v>0</v>
      </c>
      <c r="L223" s="60">
        <f>K223*E223*(1-$L$77)</f>
        <v>0</v>
      </c>
      <c r="N223" s="2"/>
      <c r="P223" s="78">
        <f t="shared" si="148"/>
        <v>0</v>
      </c>
      <c r="Q223" s="77">
        <f>'IND2017'!N162</f>
        <v>0</v>
      </c>
      <c r="R223" s="216">
        <v>0.02</v>
      </c>
      <c r="S223" s="216">
        <v>0.6</v>
      </c>
      <c r="T223" s="216">
        <v>0.6</v>
      </c>
      <c r="V223" s="76">
        <f>P223</f>
        <v>0</v>
      </c>
      <c r="W223" s="77">
        <f t="shared" si="151"/>
        <v>0</v>
      </c>
      <c r="X223" s="77">
        <f t="shared" si="151"/>
        <v>0</v>
      </c>
      <c r="Y223" s="77">
        <f t="shared" si="151"/>
        <v>0</v>
      </c>
      <c r="AA223" s="76">
        <f t="shared" si="152"/>
        <v>3.34</v>
      </c>
      <c r="AB223" s="77">
        <f>$AA223/(1-(SUMIF($B$61:$B$70,RIGHT($D223,1),'IND2017'!Z$209:Z$218)*$AK223))</f>
        <v>3.34</v>
      </c>
      <c r="AC223" s="77">
        <f>$AA223/(1-(SUMIF($B$61:$B$70,RIGHT($D223,1),'IND2017'!AA$209:AA$218)*$AK223))</f>
        <v>3.34</v>
      </c>
      <c r="AD223" s="77">
        <f>$AA223/(1-(SUMIF($B$61:$B$70,RIGHT($D223,1),'IND2017'!AB$209:AB$218)*$AK223))</f>
        <v>3.34</v>
      </c>
      <c r="AE223" s="77">
        <f>$AA223/(1-(SUMIF($B$61:$B$70,RIGHT($D223,1),'IND2017'!AC$209:AC$218)*$AK223))</f>
        <v>3.34</v>
      </c>
      <c r="AF223" s="77">
        <f>$AA223/(1-(SUMIF($B$61:$B$70,RIGHT($D223,1),'IND2017'!AD$209:AD$218)*$AK223))</f>
        <v>3.34</v>
      </c>
      <c r="AG223" s="77">
        <f>$AA223/(1-(SUMIF($B$61:$B$70,RIGHT($D223,1),'IND2017'!AE$209:AE$218)*$AK223))</f>
        <v>3.34</v>
      </c>
      <c r="AI223">
        <f t="shared" si="104"/>
        <v>142</v>
      </c>
      <c r="AK223">
        <f>SUMIFS('PAMS central control panel'!$D$14:$D$22,'PAMS central control panel'!$C$14:$C$22,RIGHT(LEFT($D223,3),2))</f>
        <v>0</v>
      </c>
      <c r="AV223" s="13"/>
    </row>
    <row r="224" spans="1:48">
      <c r="A224" s="45" t="s">
        <v>471</v>
      </c>
      <c r="B224" s="45" t="str">
        <f>D224&amp;RIGHT(C224,3)&amp;"-N"</f>
        <v>IFBSHGN-N</v>
      </c>
      <c r="C224" s="46" t="s">
        <v>467</v>
      </c>
      <c r="D224" s="46" t="str">
        <f t="shared" si="145"/>
        <v>IFBS</v>
      </c>
      <c r="E224" s="58">
        <f>E163</f>
        <v>0.76</v>
      </c>
      <c r="F224" s="60">
        <f>SUMIF(AFA!$C$3:$L$3,RIGHT(D224,1),AFA!$C$4:$L$4)</f>
        <v>0.15426999999999999</v>
      </c>
      <c r="G224" s="59">
        <v>100</v>
      </c>
      <c r="H224" s="60">
        <v>0</v>
      </c>
      <c r="J224" s="61">
        <v>1</v>
      </c>
      <c r="K224" s="60">
        <v>0</v>
      </c>
      <c r="L224" s="60">
        <f>K224*E224*(1-$L$77)</f>
        <v>0</v>
      </c>
      <c r="N224" s="2"/>
      <c r="P224" s="78">
        <f t="shared" si="148"/>
        <v>0</v>
      </c>
      <c r="Q224" s="77">
        <f>'IND2017'!N163</f>
        <v>0</v>
      </c>
      <c r="R224" s="77">
        <f t="shared" si="149"/>
        <v>0.5</v>
      </c>
      <c r="S224" s="77">
        <f t="shared" si="149"/>
        <v>1</v>
      </c>
      <c r="T224" s="77">
        <f t="shared" si="149"/>
        <v>1</v>
      </c>
      <c r="V224" s="76">
        <f>P224</f>
        <v>0</v>
      </c>
      <c r="W224" s="77">
        <f t="shared" si="151"/>
        <v>0</v>
      </c>
      <c r="X224" s="77">
        <f t="shared" si="151"/>
        <v>0</v>
      </c>
      <c r="Y224" s="77">
        <f t="shared" si="151"/>
        <v>0</v>
      </c>
      <c r="AA224" s="76">
        <f t="shared" si="152"/>
        <v>0.76</v>
      </c>
      <c r="AB224" s="77">
        <f>$AA224/(1-(SUMIF($B$61:$B$70,RIGHT($D224,1),'IND2017'!Z$209:Z$218)*$AK224))</f>
        <v>0.76</v>
      </c>
      <c r="AC224" s="77">
        <f>$AA224/(1-(SUMIF($B$61:$B$70,RIGHT($D224,1),'IND2017'!AA$209:AA$218)*$AK224))</f>
        <v>0.76</v>
      </c>
      <c r="AD224" s="77">
        <f>$AA224/(1-(SUMIF($B$61:$B$70,RIGHT($D224,1),'IND2017'!AB$209:AB$218)*$AK224))</f>
        <v>0.76</v>
      </c>
      <c r="AE224" s="77">
        <f>$AA224/(1-(SUMIF($B$61:$B$70,RIGHT($D224,1),'IND2017'!AC$209:AC$218)*$AK224))</f>
        <v>0.76</v>
      </c>
      <c r="AF224" s="77">
        <f>$AA224/(1-(SUMIF($B$61:$B$70,RIGHT($D224,1),'IND2017'!AD$209:AD$218)*$AK224))</f>
        <v>0.76</v>
      </c>
      <c r="AG224" s="77">
        <f>$AA224/(1-(SUMIF($B$61:$B$70,RIGHT($D224,1),'IND2017'!AE$209:AE$218)*$AK224))</f>
        <v>0.76</v>
      </c>
      <c r="AI224">
        <f t="shared" si="104"/>
        <v>143</v>
      </c>
      <c r="AK224">
        <f>SUMIFS('PAMS central control panel'!$D$14:$D$22,'PAMS central control panel'!$C$14:$C$22,RIGHT(LEFT($D224,3),2))</f>
        <v>0</v>
      </c>
      <c r="AV224" s="13"/>
    </row>
    <row r="225" spans="1:48">
      <c r="A225" s="45" t="str">
        <f>A$5&amp;"-"&amp;A$17&amp;"-"&amp;A$70&amp;" - "&amp;VLOOKUP(RIGHT(C225,3),NameConv!$E$4:$G$23,2,FALSE)&amp;" - Existing"</f>
        <v>Industry-Food, Beverage &amp; Tabacco-boiler/process heating -  - Existing</v>
      </c>
      <c r="B225" s="45" t="str">
        <f t="shared" si="144"/>
        <v>IFBSBIB-E</v>
      </c>
      <c r="C225" s="46" t="str">
        <f>$K$6</f>
        <v>INDBIB</v>
      </c>
      <c r="D225" s="46" t="str">
        <f t="shared" si="145"/>
        <v>IFBS</v>
      </c>
      <c r="E225" s="58">
        <v>0.6</v>
      </c>
      <c r="F225" s="60">
        <f>SUMIF(AFA!$C$3:$L$3,RIGHT(D225,1),AFA!$C$4:$L$4)</f>
        <v>0.15426999999999999</v>
      </c>
      <c r="G225" s="59">
        <v>100</v>
      </c>
      <c r="H225" s="60">
        <f t="shared" si="146"/>
        <v>0</v>
      </c>
      <c r="J225" s="61">
        <v>1</v>
      </c>
      <c r="K225" s="60">
        <f>J225*INDEX($C$10:$L$19,MATCH(B206,$B$10:$B$19,0),MATCH($B$6&amp;RIGHT(C225,3),$C$6:$L$6,0))</f>
        <v>0</v>
      </c>
      <c r="L225" s="60">
        <f t="shared" si="147"/>
        <v>0</v>
      </c>
      <c r="N225" s="2"/>
      <c r="P225" s="78">
        <f t="shared" si="148"/>
        <v>0</v>
      </c>
      <c r="Q225" s="77">
        <f>'IND2017'!N164</f>
        <v>0.60673704271478068</v>
      </c>
      <c r="R225" s="77">
        <f>'IND2017'!O164</f>
        <v>1</v>
      </c>
      <c r="S225" s="77">
        <f>'IND2017'!P164</f>
        <v>1</v>
      </c>
      <c r="T225" s="77">
        <f>'IND2017'!Q164</f>
        <v>1</v>
      </c>
      <c r="V225" s="76">
        <f t="shared" si="150"/>
        <v>0</v>
      </c>
      <c r="W225" s="77">
        <f t="shared" si="151"/>
        <v>0.60066967228763291</v>
      </c>
      <c r="X225" s="77">
        <f t="shared" si="151"/>
        <v>0</v>
      </c>
      <c r="Y225" s="77">
        <f t="shared" si="151"/>
        <v>0</v>
      </c>
      <c r="AA225" s="74" t="str">
        <f>""</f>
        <v/>
      </c>
      <c r="AB225" s="77"/>
      <c r="AC225" s="77"/>
      <c r="AD225" s="77"/>
      <c r="AE225" s="77"/>
      <c r="AF225" s="77"/>
      <c r="AG225" s="77"/>
      <c r="AI225">
        <f t="shared" si="104"/>
        <v>144</v>
      </c>
      <c r="AK225">
        <f>SUMIFS('PAMS central control panel'!$D$14:$D$22,'PAMS central control panel'!$C$14:$C$22,RIGHT(LEFT($D225,3),2))</f>
        <v>0</v>
      </c>
      <c r="AV225" s="13"/>
    </row>
    <row r="226" spans="1:48">
      <c r="A226" s="45" t="str">
        <f>A$5&amp;"-"&amp;A$17&amp;"-"&amp;A$70&amp;" - "&amp;VLOOKUP(RIGHT(C226,3),NameConv!$E$4:$G$23,2,FALSE)&amp;" - Existing"</f>
        <v>Industry-Food, Beverage &amp; Tabacco-boiler/process heating -  - Existing</v>
      </c>
      <c r="B226" s="45" t="str">
        <f t="shared" si="144"/>
        <v>IFBSWAS-E</v>
      </c>
      <c r="C226" s="46" t="str">
        <f>$L$6</f>
        <v>INDWAS</v>
      </c>
      <c r="D226" s="46" t="str">
        <f t="shared" si="145"/>
        <v>IFBS</v>
      </c>
      <c r="E226" s="58">
        <v>0.6</v>
      </c>
      <c r="F226" s="60">
        <f>SUMIF(AFA!$C$3:$L$3,RIGHT(D226,1),AFA!$C$4:$L$4)</f>
        <v>0.15426999999999999</v>
      </c>
      <c r="G226" s="59">
        <v>100</v>
      </c>
      <c r="H226" s="60">
        <f t="shared" si="146"/>
        <v>0</v>
      </c>
      <c r="J226" s="61">
        <v>1</v>
      </c>
      <c r="K226" s="60">
        <f>J226*INDEX($C$10:$L$19,MATCH(B206,$B$10:$B$19,0),MATCH($B$6&amp;RIGHT(C226,3),$C$6:$L$6,0))</f>
        <v>0</v>
      </c>
      <c r="L226" s="60">
        <f t="shared" si="147"/>
        <v>0</v>
      </c>
      <c r="N226" s="2"/>
      <c r="P226" s="78">
        <f t="shared" si="148"/>
        <v>0</v>
      </c>
      <c r="Q226" s="77">
        <f>'IND2017'!N165</f>
        <v>0</v>
      </c>
      <c r="R226" s="77">
        <f>'IND2017'!O165</f>
        <v>0.5</v>
      </c>
      <c r="S226" s="77">
        <f>'IND2017'!P165</f>
        <v>1</v>
      </c>
      <c r="T226" s="77">
        <f>'IND2017'!Q165</f>
        <v>1</v>
      </c>
      <c r="V226" s="76">
        <f t="shared" si="150"/>
        <v>0</v>
      </c>
      <c r="W226" s="77">
        <f t="shared" si="151"/>
        <v>0</v>
      </c>
      <c r="X226" s="77">
        <f t="shared" si="151"/>
        <v>0</v>
      </c>
      <c r="Y226" s="77">
        <f t="shared" si="151"/>
        <v>0</v>
      </c>
      <c r="AA226" s="76">
        <f>E226</f>
        <v>0.6</v>
      </c>
      <c r="AB226" s="77">
        <f t="shared" ref="AB226:AG226" si="153">$AA226/(1-(SUMIF($B$61:$B$70,RIGHT($D226,1),AB$61:AB$70)*$AK226))</f>
        <v>0.6</v>
      </c>
      <c r="AC226" s="77">
        <f t="shared" si="153"/>
        <v>0.6</v>
      </c>
      <c r="AD226" s="77">
        <f t="shared" si="153"/>
        <v>0.6</v>
      </c>
      <c r="AE226" s="77">
        <f t="shared" si="153"/>
        <v>0.6</v>
      </c>
      <c r="AF226" s="77">
        <f t="shared" si="153"/>
        <v>0.6</v>
      </c>
      <c r="AG226" s="77">
        <f t="shared" si="153"/>
        <v>0.6</v>
      </c>
      <c r="AI226">
        <f t="shared" si="104"/>
        <v>145</v>
      </c>
      <c r="AK226">
        <f>SUMIFS('PAMS central control panel'!$D$14:$D$22,'PAMS central control panel'!$C$14:$C$22,RIGHT(LEFT($D226,3),2))</f>
        <v>0</v>
      </c>
      <c r="AV226" s="13"/>
    </row>
    <row r="227" spans="1:48" ht="51.95" customHeight="1" thickBot="1">
      <c r="A227" s="244" t="s">
        <v>438</v>
      </c>
      <c r="B227" s="252" t="s">
        <v>439</v>
      </c>
      <c r="C227" s="252" t="s">
        <v>440</v>
      </c>
      <c r="D227" s="252" t="s">
        <v>441</v>
      </c>
      <c r="E227" s="252" t="s">
        <v>442</v>
      </c>
      <c r="F227" s="252" t="s">
        <v>443</v>
      </c>
      <c r="G227" s="252" t="s">
        <v>444</v>
      </c>
      <c r="H227" s="252" t="s">
        <v>445</v>
      </c>
      <c r="J227" s="252" t="s">
        <v>446</v>
      </c>
      <c r="K227" s="252" t="s">
        <v>447</v>
      </c>
      <c r="L227" s="252" t="s">
        <v>448</v>
      </c>
      <c r="M227" s="252" t="s">
        <v>449</v>
      </c>
      <c r="N227" s="252" t="s">
        <v>450</v>
      </c>
      <c r="O227" s="2"/>
      <c r="P227" s="74" t="str">
        <f>""</f>
        <v/>
      </c>
      <c r="V227" s="74" t="str">
        <f>""</f>
        <v/>
      </c>
      <c r="AA227" s="74" t="str">
        <f>""</f>
        <v/>
      </c>
      <c r="AI227">
        <f t="shared" si="104"/>
        <v>146</v>
      </c>
      <c r="AK227">
        <f>SUMIFS('PAMS central control panel'!$D$14:$D$22,'PAMS central control panel'!$C$14:$C$22,RIGHT(LEFT($D227,3),2))</f>
        <v>0</v>
      </c>
      <c r="AV227" s="13"/>
    </row>
    <row r="228" spans="1:48">
      <c r="A228" s="12" t="s">
        <v>457</v>
      </c>
      <c r="B228" s="69" t="str">
        <f>+B18</f>
        <v>PP</v>
      </c>
      <c r="C228" s="54"/>
      <c r="D228" s="54"/>
      <c r="E228" s="55" t="s">
        <v>458</v>
      </c>
      <c r="F228" s="55" t="s">
        <v>459</v>
      </c>
      <c r="G228" s="30" t="s">
        <v>460</v>
      </c>
      <c r="H228" s="31" t="s">
        <v>461</v>
      </c>
      <c r="J228" s="30" t="s">
        <v>462</v>
      </c>
      <c r="K228" s="30" t="s">
        <v>463</v>
      </c>
      <c r="L228" s="30" t="s">
        <v>463</v>
      </c>
      <c r="M228" s="2"/>
      <c r="N228" s="2"/>
      <c r="O228" s="2"/>
      <c r="P228" s="74" t="str">
        <f>""</f>
        <v/>
      </c>
      <c r="V228" s="74" t="str">
        <f>""</f>
        <v/>
      </c>
      <c r="AA228" s="74" t="str">
        <f>""</f>
        <v/>
      </c>
      <c r="AI228">
        <f t="shared" si="104"/>
        <v>147</v>
      </c>
      <c r="AK228">
        <f>SUMIFS('PAMS central control panel'!$D$14:$D$22,'PAMS central control panel'!$C$14:$C$22,RIGHT(LEFT($D228,3),2))</f>
        <v>0</v>
      </c>
      <c r="AV228" s="13"/>
    </row>
    <row r="229" spans="1:48">
      <c r="A229" s="12" t="s">
        <v>465</v>
      </c>
      <c r="B229" s="45"/>
      <c r="C229" s="56">
        <v>1</v>
      </c>
      <c r="D229" s="56">
        <f>C229+1</f>
        <v>2</v>
      </c>
      <c r="E229" s="56">
        <f>D229+1</f>
        <v>3</v>
      </c>
      <c r="F229" s="56">
        <f>E229+1</f>
        <v>4</v>
      </c>
      <c r="G229" s="56">
        <f>F229+1</f>
        <v>5</v>
      </c>
      <c r="H229" s="56">
        <f>G229+1</f>
        <v>6</v>
      </c>
      <c r="J229" s="57"/>
      <c r="K229" s="43"/>
      <c r="L229" s="43"/>
      <c r="M229" s="2"/>
      <c r="N229" s="2"/>
      <c r="O229" s="2"/>
      <c r="P229" s="74" t="str">
        <f>""</f>
        <v/>
      </c>
      <c r="V229" s="74" t="str">
        <f>""</f>
        <v/>
      </c>
      <c r="AA229" s="74" t="str">
        <f>""</f>
        <v/>
      </c>
      <c r="AI229">
        <f t="shared" si="104"/>
        <v>148</v>
      </c>
      <c r="AK229">
        <f>SUMIFS('PAMS central control panel'!$D$14:$D$22,'PAMS central control panel'!$C$14:$C$22,RIGHT(LEFT($D229,3),2))</f>
        <v>0</v>
      </c>
      <c r="AV229" s="13"/>
    </row>
    <row r="230" spans="1:48">
      <c r="A230" s="45" t="str">
        <f>A$5&amp;"-"&amp;A$18&amp;"-"&amp;A46&amp;" - Electricity"</f>
        <v>Industry-Pulp &amp; Paper Products-Elec Heating - Electricity</v>
      </c>
      <c r="B230" s="45" t="str">
        <f>D230&amp;RIGHT(C230,3)&amp;"-E"</f>
        <v>IPPKELC-E</v>
      </c>
      <c r="C230" s="46" t="str">
        <f t="shared" ref="C230:C238" si="154">$P$17</f>
        <v>IPPELC</v>
      </c>
      <c r="D230" s="46" t="str">
        <f>$B$5&amp;RIGHT($B228,2)&amp;$B$61</f>
        <v>IPPK</v>
      </c>
      <c r="E230" s="58">
        <v>1</v>
      </c>
      <c r="F230" s="60">
        <f>SUMIF(AFA!$C$3:$L$3,RIGHT(D230,1),AFA!$C$4:$L$4)</f>
        <v>0.11433</v>
      </c>
      <c r="G230" s="59">
        <v>100</v>
      </c>
      <c r="H230" s="60">
        <f>L230/F230</f>
        <v>0</v>
      </c>
      <c r="J230" s="61">
        <v>1</v>
      </c>
      <c r="K230" s="60">
        <f t="shared" ref="K230:K238" si="155">J230*SUMIF($C$60:$K$60,$B$228,$C61:$K61)</f>
        <v>0</v>
      </c>
      <c r="L230" s="60">
        <f t="shared" ref="L230:L238" si="156">K230*E230*(1-$L$77)</f>
        <v>0</v>
      </c>
      <c r="M230" s="2"/>
      <c r="N230" s="2">
        <v>1</v>
      </c>
      <c r="O230" s="2"/>
      <c r="P230" s="74" t="str">
        <f>""</f>
        <v/>
      </c>
      <c r="V230" s="74" t="str">
        <f>""</f>
        <v/>
      </c>
      <c r="AA230" s="76">
        <f t="shared" ref="AA230:AA238" si="157">E230</f>
        <v>1</v>
      </c>
      <c r="AB230" s="77">
        <f t="shared" ref="AB230:AG245" si="158">$AA230/(1-(SUMIF($B$61:$B$70,RIGHT($D230,1),AB$61:AB$70)*$AK230))</f>
        <v>1</v>
      </c>
      <c r="AC230" s="77">
        <f t="shared" si="158"/>
        <v>1</v>
      </c>
      <c r="AD230" s="77">
        <f t="shared" si="158"/>
        <v>1</v>
      </c>
      <c r="AE230" s="77">
        <f t="shared" si="158"/>
        <v>1</v>
      </c>
      <c r="AF230" s="77">
        <f t="shared" si="158"/>
        <v>1</v>
      </c>
      <c r="AG230" s="77">
        <f t="shared" si="158"/>
        <v>1</v>
      </c>
      <c r="AI230">
        <f t="shared" ref="AI230:AI270" si="159">AI229+1</f>
        <v>149</v>
      </c>
      <c r="AK230">
        <f>SUMIFS('PAMS central control panel'!$D$14:$D$22,'PAMS central control panel'!$C$14:$C$22,RIGHT(LEFT($D230,3),2))</f>
        <v>0</v>
      </c>
      <c r="AV230" s="13"/>
    </row>
    <row r="231" spans="1:48">
      <c r="A231" s="45" t="str">
        <f>A$5&amp;"-"&amp;A$18&amp;"-"&amp;461&amp;" - Electricity"</f>
        <v>Industry-Pulp &amp; Paper Products-461 - Electricity</v>
      </c>
      <c r="B231" s="45" t="str">
        <f>D231&amp;RIGHT(C231,3)&amp;"-E"</f>
        <v>IPPAELC-E</v>
      </c>
      <c r="C231" s="46" t="str">
        <f t="shared" si="154"/>
        <v>IPPELC</v>
      </c>
      <c r="D231" s="46" t="str">
        <f>$B$5&amp;RIGHT($B228,2)&amp;$B$62</f>
        <v>IPPA</v>
      </c>
      <c r="E231" s="58">
        <v>0.05</v>
      </c>
      <c r="F231" s="60">
        <f>SUMIF(AFA!$C$3:$L$3,RIGHT(D231,1),AFA!$C$4:$L$4)</f>
        <v>0.11584999999999999</v>
      </c>
      <c r="G231" s="59">
        <v>100</v>
      </c>
      <c r="H231" s="60">
        <f t="shared" ref="H231:H238" si="160">L231/F231</f>
        <v>0</v>
      </c>
      <c r="J231" s="61">
        <v>1</v>
      </c>
      <c r="K231" s="60">
        <f t="shared" si="155"/>
        <v>0</v>
      </c>
      <c r="L231" s="60">
        <f t="shared" si="156"/>
        <v>0</v>
      </c>
      <c r="N231" s="2"/>
      <c r="P231" s="74" t="str">
        <f>""</f>
        <v/>
      </c>
      <c r="V231" s="74" t="str">
        <f>""</f>
        <v/>
      </c>
      <c r="AA231" s="76">
        <f t="shared" si="157"/>
        <v>0.05</v>
      </c>
      <c r="AB231" s="77">
        <f t="shared" si="158"/>
        <v>0.05</v>
      </c>
      <c r="AC231" s="77">
        <f t="shared" si="158"/>
        <v>0.05</v>
      </c>
      <c r="AD231" s="77">
        <f t="shared" si="158"/>
        <v>0.05</v>
      </c>
      <c r="AE231" s="77">
        <f t="shared" si="158"/>
        <v>0.05</v>
      </c>
      <c r="AF231" s="77">
        <f t="shared" si="158"/>
        <v>0.05</v>
      </c>
      <c r="AG231" s="77">
        <f t="shared" si="158"/>
        <v>0.05</v>
      </c>
      <c r="AI231">
        <f t="shared" si="159"/>
        <v>150</v>
      </c>
      <c r="AK231">
        <f>SUMIFS('PAMS central control panel'!$D$14:$D$22,'PAMS central control panel'!$C$14:$C$22,RIGHT(LEFT($D231,3),2))</f>
        <v>0</v>
      </c>
      <c r="AV231" s="13"/>
    </row>
    <row r="232" spans="1:48">
      <c r="A232" s="45" t="str">
        <f t="shared" ref="A232:A238" si="161">A$5&amp;"-"&amp;A$18&amp;"-"&amp;A48&amp;" - Electricity"</f>
        <v>Industry-Pulp &amp; Paper Products-Lighting - Electricity</v>
      </c>
      <c r="B232" s="45" t="str">
        <f t="shared" ref="B232:B238" si="162">D232&amp;RIGHT(C232,3)&amp;"-E"</f>
        <v>IPPLELC-E</v>
      </c>
      <c r="C232" s="46" t="str">
        <f t="shared" si="154"/>
        <v>IPPELC</v>
      </c>
      <c r="D232" s="46" t="str">
        <f>$B$5&amp;RIGHT($B228,2)&amp;$B$63</f>
        <v>IPPL</v>
      </c>
      <c r="E232" s="58">
        <v>0.3</v>
      </c>
      <c r="F232" s="60">
        <f>SUMIF(AFA!$C$3:$L$3,RIGHT(D232,1),AFA!$C$4:$L$4)</f>
        <v>0.12454999999999999</v>
      </c>
      <c r="G232" s="59">
        <v>100</v>
      </c>
      <c r="H232" s="60">
        <f t="shared" si="160"/>
        <v>0</v>
      </c>
      <c r="J232" s="61">
        <v>1</v>
      </c>
      <c r="K232" s="60">
        <f t="shared" si="155"/>
        <v>0</v>
      </c>
      <c r="L232" s="60">
        <f t="shared" si="156"/>
        <v>0</v>
      </c>
      <c r="N232" s="2"/>
      <c r="P232" s="74" t="str">
        <f>""</f>
        <v/>
      </c>
      <c r="V232" s="74" t="str">
        <f>""</f>
        <v/>
      </c>
      <c r="AA232" s="76">
        <f t="shared" si="157"/>
        <v>0.3</v>
      </c>
      <c r="AB232" s="77">
        <f t="shared" si="158"/>
        <v>0.3</v>
      </c>
      <c r="AC232" s="77">
        <f t="shared" si="158"/>
        <v>0.3</v>
      </c>
      <c r="AD232" s="77">
        <f t="shared" si="158"/>
        <v>0.3</v>
      </c>
      <c r="AE232" s="77">
        <f t="shared" si="158"/>
        <v>0.3</v>
      </c>
      <c r="AF232" s="77">
        <f t="shared" si="158"/>
        <v>0.3</v>
      </c>
      <c r="AG232" s="77">
        <f t="shared" si="158"/>
        <v>0.3</v>
      </c>
      <c r="AI232">
        <f t="shared" si="159"/>
        <v>151</v>
      </c>
      <c r="AK232">
        <f>SUMIFS('PAMS central control panel'!$D$14:$D$22,'PAMS central control panel'!$C$14:$C$22,RIGHT(LEFT($D232,3),2))</f>
        <v>0</v>
      </c>
      <c r="AV232" s="13"/>
    </row>
    <row r="233" spans="1:48">
      <c r="A233" s="45" t="str">
        <f t="shared" si="161"/>
        <v>Industry-Pulp &amp; Paper Products-Cooling - Electricity</v>
      </c>
      <c r="B233" s="45" t="str">
        <f t="shared" si="162"/>
        <v>IPPCELC-E</v>
      </c>
      <c r="C233" s="46" t="str">
        <f t="shared" si="154"/>
        <v>IPPELC</v>
      </c>
      <c r="D233" s="46" t="str">
        <f>$B$5&amp;RIGHT($B228,2)&amp;$B$64</f>
        <v>IPPC</v>
      </c>
      <c r="E233" s="58">
        <v>2</v>
      </c>
      <c r="F233" s="60">
        <f>SUMIF(AFA!$C$3:$L$3,RIGHT(D233,1),AFA!$C$4:$L$4)</f>
        <v>0.12956000000000001</v>
      </c>
      <c r="G233" s="59">
        <v>100</v>
      </c>
      <c r="H233" s="60">
        <f t="shared" si="160"/>
        <v>0</v>
      </c>
      <c r="J233" s="61">
        <v>1</v>
      </c>
      <c r="K233" s="60">
        <f t="shared" si="155"/>
        <v>0</v>
      </c>
      <c r="L233" s="60">
        <f t="shared" si="156"/>
        <v>0</v>
      </c>
      <c r="N233" s="2"/>
      <c r="P233" s="74" t="str">
        <f>""</f>
        <v/>
      </c>
      <c r="V233" s="74" t="str">
        <f>""</f>
        <v/>
      </c>
      <c r="AA233" s="76">
        <f t="shared" si="157"/>
        <v>2</v>
      </c>
      <c r="AB233" s="77">
        <f t="shared" si="158"/>
        <v>2</v>
      </c>
      <c r="AC233" s="77">
        <f t="shared" si="158"/>
        <v>2</v>
      </c>
      <c r="AD233" s="77">
        <f t="shared" si="158"/>
        <v>2</v>
      </c>
      <c r="AE233" s="77">
        <f t="shared" si="158"/>
        <v>2</v>
      </c>
      <c r="AF233" s="77">
        <f t="shared" si="158"/>
        <v>2</v>
      </c>
      <c r="AG233" s="77">
        <f t="shared" si="158"/>
        <v>2</v>
      </c>
      <c r="AI233">
        <f t="shared" si="159"/>
        <v>152</v>
      </c>
      <c r="AK233">
        <f>SUMIFS('PAMS central control panel'!$D$14:$D$22,'PAMS central control panel'!$C$14:$C$22,RIGHT(LEFT($D233,3),2))</f>
        <v>0</v>
      </c>
      <c r="AV233" s="13"/>
    </row>
    <row r="234" spans="1:48">
      <c r="A234" s="45" t="str">
        <f t="shared" si="161"/>
        <v>Industry-Pulp &amp; Paper Products-HVAC - Electricity</v>
      </c>
      <c r="B234" s="45" t="str">
        <f t="shared" si="162"/>
        <v>IPPHELC-E</v>
      </c>
      <c r="C234" s="46" t="str">
        <f t="shared" si="154"/>
        <v>IPPELC</v>
      </c>
      <c r="D234" s="46" t="str">
        <f>$B$5&amp;RIGHT($B228,2)&amp;$B$65</f>
        <v>IPPH</v>
      </c>
      <c r="E234" s="58">
        <v>0.9</v>
      </c>
      <c r="F234" s="60">
        <f>SUMIF(AFA!$C$3:$L$3,RIGHT(D234,1),AFA!$C$4:$L$4)</f>
        <v>0.13161</v>
      </c>
      <c r="G234" s="59">
        <v>100</v>
      </c>
      <c r="H234" s="60">
        <f t="shared" si="160"/>
        <v>0</v>
      </c>
      <c r="J234" s="61">
        <v>1</v>
      </c>
      <c r="K234" s="60">
        <f t="shared" si="155"/>
        <v>0</v>
      </c>
      <c r="L234" s="60">
        <f t="shared" si="156"/>
        <v>0</v>
      </c>
      <c r="N234" s="2"/>
      <c r="P234" s="74" t="str">
        <f>""</f>
        <v/>
      </c>
      <c r="V234" s="74" t="str">
        <f>""</f>
        <v/>
      </c>
      <c r="AA234" s="76">
        <f t="shared" si="157"/>
        <v>0.9</v>
      </c>
      <c r="AB234" s="77">
        <f t="shared" si="158"/>
        <v>0.9</v>
      </c>
      <c r="AC234" s="77">
        <f t="shared" si="158"/>
        <v>0.9</v>
      </c>
      <c r="AD234" s="77">
        <f t="shared" si="158"/>
        <v>0.9</v>
      </c>
      <c r="AE234" s="77">
        <f t="shared" si="158"/>
        <v>0.9</v>
      </c>
      <c r="AF234" s="77">
        <f t="shared" si="158"/>
        <v>0.9</v>
      </c>
      <c r="AG234" s="77">
        <f t="shared" si="158"/>
        <v>0.9</v>
      </c>
      <c r="AI234">
        <f t="shared" si="159"/>
        <v>153</v>
      </c>
      <c r="AK234">
        <f>SUMIFS('PAMS central control panel'!$D$14:$D$22,'PAMS central control panel'!$C$14:$C$22,RIGHT(LEFT($D234,3),2))</f>
        <v>0</v>
      </c>
      <c r="AV234" s="13"/>
    </row>
    <row r="235" spans="1:48">
      <c r="A235" s="45" t="str">
        <f t="shared" si="161"/>
        <v>Industry-Pulp &amp; Paper Products-Pumping - Electricity</v>
      </c>
      <c r="B235" s="45" t="str">
        <f t="shared" si="162"/>
        <v>IPPPELC-E</v>
      </c>
      <c r="C235" s="46" t="str">
        <f t="shared" si="154"/>
        <v>IPPELC</v>
      </c>
      <c r="D235" s="46" t="str">
        <f>$B$5&amp;RIGHT($B228,2)&amp;$B$66</f>
        <v>IPPP</v>
      </c>
      <c r="E235" s="58">
        <v>0.8</v>
      </c>
      <c r="F235" s="60">
        <f>SUMIF(AFA!$C$3:$L$3,RIGHT(D235,1),AFA!$C$4:$L$4)</f>
        <v>0.12116</v>
      </c>
      <c r="G235" s="59">
        <v>100</v>
      </c>
      <c r="H235" s="60">
        <f t="shared" si="160"/>
        <v>0</v>
      </c>
      <c r="J235" s="61">
        <v>1</v>
      </c>
      <c r="K235" s="60">
        <f t="shared" si="155"/>
        <v>0</v>
      </c>
      <c r="L235" s="60">
        <f t="shared" si="156"/>
        <v>0</v>
      </c>
      <c r="N235" s="2"/>
      <c r="P235" s="74" t="str">
        <f>""</f>
        <v/>
      </c>
      <c r="V235" s="74" t="str">
        <f>""</f>
        <v/>
      </c>
      <c r="AA235" s="76">
        <f t="shared" si="157"/>
        <v>0.8</v>
      </c>
      <c r="AB235" s="77">
        <f t="shared" si="158"/>
        <v>0.8</v>
      </c>
      <c r="AC235" s="77">
        <f t="shared" si="158"/>
        <v>0.8</v>
      </c>
      <c r="AD235" s="77">
        <f t="shared" si="158"/>
        <v>0.8</v>
      </c>
      <c r="AE235" s="77">
        <f t="shared" si="158"/>
        <v>0.8</v>
      </c>
      <c r="AF235" s="77">
        <f t="shared" si="158"/>
        <v>0.8</v>
      </c>
      <c r="AG235" s="77">
        <f t="shared" si="158"/>
        <v>0.8</v>
      </c>
      <c r="AI235">
        <f t="shared" si="159"/>
        <v>154</v>
      </c>
      <c r="AK235">
        <f>SUMIFS('PAMS central control panel'!$D$14:$D$22,'PAMS central control panel'!$C$14:$C$22,RIGHT(LEFT($D235,3),2))</f>
        <v>0</v>
      </c>
      <c r="AV235" s="13"/>
    </row>
    <row r="236" spans="1:48">
      <c r="A236" s="45" t="str">
        <f t="shared" si="161"/>
        <v>Industry-Pulp &amp; Paper Products-Fans - Electricity</v>
      </c>
      <c r="B236" s="45" t="str">
        <f t="shared" si="162"/>
        <v>IPPFELC-E</v>
      </c>
      <c r="C236" s="46" t="str">
        <f t="shared" si="154"/>
        <v>IPPELC</v>
      </c>
      <c r="D236" s="46" t="str">
        <f>$B$5&amp;RIGHT($B228,2)&amp;$B$67</f>
        <v>IPPF</v>
      </c>
      <c r="E236" s="58">
        <v>0.8</v>
      </c>
      <c r="F236" s="60">
        <f>SUMIF(AFA!$C$3:$L$3,RIGHT(D236,1),AFA!$C$4:$L$4)</f>
        <v>0.10936999999999999</v>
      </c>
      <c r="G236" s="59">
        <v>100</v>
      </c>
      <c r="H236" s="60">
        <f t="shared" si="160"/>
        <v>0</v>
      </c>
      <c r="J236" s="61">
        <v>1</v>
      </c>
      <c r="K236" s="60">
        <f t="shared" si="155"/>
        <v>0</v>
      </c>
      <c r="L236" s="60">
        <f t="shared" si="156"/>
        <v>0</v>
      </c>
      <c r="N236" s="2"/>
      <c r="P236" s="74" t="str">
        <f>""</f>
        <v/>
      </c>
      <c r="V236" s="74" t="str">
        <f>""</f>
        <v/>
      </c>
      <c r="AA236" s="76">
        <f t="shared" si="157"/>
        <v>0.8</v>
      </c>
      <c r="AB236" s="77">
        <f t="shared" si="158"/>
        <v>0.8</v>
      </c>
      <c r="AC236" s="77">
        <f t="shared" si="158"/>
        <v>0.8</v>
      </c>
      <c r="AD236" s="77">
        <f t="shared" si="158"/>
        <v>0.8</v>
      </c>
      <c r="AE236" s="77">
        <f t="shared" si="158"/>
        <v>0.8</v>
      </c>
      <c r="AF236" s="77">
        <f t="shared" si="158"/>
        <v>0.8</v>
      </c>
      <c r="AG236" s="77">
        <f t="shared" si="158"/>
        <v>0.8</v>
      </c>
      <c r="AI236">
        <f t="shared" si="159"/>
        <v>155</v>
      </c>
      <c r="AK236">
        <f>SUMIFS('PAMS central control panel'!$D$14:$D$22,'PAMS central control panel'!$C$14:$C$22,RIGHT(LEFT($D236,3),2))</f>
        <v>0</v>
      </c>
      <c r="AV236" s="13"/>
    </row>
    <row r="237" spans="1:48">
      <c r="A237" s="45" t="str">
        <f t="shared" si="161"/>
        <v>Industry-Pulp &amp; Paper Products-Other motive - Electricity</v>
      </c>
      <c r="B237" s="45" t="str">
        <f t="shared" si="162"/>
        <v>IPPOELC-E</v>
      </c>
      <c r="C237" s="46" t="str">
        <f t="shared" si="154"/>
        <v>IPPELC</v>
      </c>
      <c r="D237" s="46" t="str">
        <f>$B$5&amp;RIGHT($B228,2)&amp;$B$68</f>
        <v>IPPO</v>
      </c>
      <c r="E237" s="58">
        <v>0.8</v>
      </c>
      <c r="F237" s="60">
        <f>SUMIF(AFA!$C$3:$L$3,RIGHT(D237,1),AFA!$C$4:$L$4)</f>
        <v>0.13081999999999999</v>
      </c>
      <c r="G237" s="59">
        <v>100</v>
      </c>
      <c r="H237" s="60">
        <f t="shared" si="160"/>
        <v>0</v>
      </c>
      <c r="J237" s="61">
        <v>1</v>
      </c>
      <c r="K237" s="60">
        <f t="shared" si="155"/>
        <v>0</v>
      </c>
      <c r="L237" s="60">
        <f t="shared" si="156"/>
        <v>0</v>
      </c>
      <c r="N237" s="2"/>
      <c r="P237" s="74" t="str">
        <f>""</f>
        <v/>
      </c>
      <c r="V237" s="74" t="str">
        <f>""</f>
        <v/>
      </c>
      <c r="AA237" s="76">
        <f t="shared" si="157"/>
        <v>0.8</v>
      </c>
      <c r="AB237" s="77">
        <f t="shared" si="158"/>
        <v>0.8</v>
      </c>
      <c r="AC237" s="77">
        <f t="shared" si="158"/>
        <v>0.8</v>
      </c>
      <c r="AD237" s="77">
        <f t="shared" si="158"/>
        <v>0.8</v>
      </c>
      <c r="AE237" s="77">
        <f t="shared" si="158"/>
        <v>0.8</v>
      </c>
      <c r="AF237" s="77">
        <f t="shared" si="158"/>
        <v>0.8</v>
      </c>
      <c r="AG237" s="77">
        <f t="shared" si="158"/>
        <v>0.8</v>
      </c>
      <c r="AI237">
        <f t="shared" si="159"/>
        <v>156</v>
      </c>
      <c r="AK237">
        <f>SUMIFS('PAMS central control panel'!$D$14:$D$22,'PAMS central control panel'!$C$14:$C$22,RIGHT(LEFT($D237,3),2))</f>
        <v>0</v>
      </c>
      <c r="AV237" s="13"/>
    </row>
    <row r="238" spans="1:48">
      <c r="A238" s="45" t="str">
        <f t="shared" si="161"/>
        <v>Industry-Pulp &amp; Paper Products-Electrochemical - Electricity</v>
      </c>
      <c r="B238" s="45" t="str">
        <f t="shared" si="162"/>
        <v>IPPEELC-E</v>
      </c>
      <c r="C238" s="46" t="str">
        <f t="shared" si="154"/>
        <v>IPPELC</v>
      </c>
      <c r="D238" s="46" t="str">
        <f>$B$5&amp;RIGHT($B228,2)&amp;$B$69</f>
        <v>IPPE</v>
      </c>
      <c r="E238" s="58">
        <v>0.76</v>
      </c>
      <c r="F238" s="60">
        <f>SUMIF(AFA!$C$3:$L$3,RIGHT(D238,1),AFA!$C$4:$L$4)</f>
        <v>0.13233</v>
      </c>
      <c r="G238" s="59">
        <v>100</v>
      </c>
      <c r="H238" s="60">
        <f t="shared" si="160"/>
        <v>0</v>
      </c>
      <c r="J238" s="61">
        <v>1</v>
      </c>
      <c r="K238" s="60">
        <f t="shared" si="155"/>
        <v>0</v>
      </c>
      <c r="L238" s="60">
        <f t="shared" si="156"/>
        <v>0</v>
      </c>
      <c r="N238" s="2"/>
      <c r="P238" s="74" t="str">
        <f>""</f>
        <v/>
      </c>
      <c r="V238" s="74" t="str">
        <f>""</f>
        <v/>
      </c>
      <c r="AA238" s="76">
        <f t="shared" si="157"/>
        <v>0.76</v>
      </c>
      <c r="AB238" s="77">
        <f t="shared" si="158"/>
        <v>0.76</v>
      </c>
      <c r="AC238" s="77">
        <f t="shared" si="158"/>
        <v>0.76</v>
      </c>
      <c r="AD238" s="77">
        <f t="shared" si="158"/>
        <v>0.76</v>
      </c>
      <c r="AE238" s="77">
        <f t="shared" si="158"/>
        <v>0.76</v>
      </c>
      <c r="AF238" s="77">
        <f t="shared" si="158"/>
        <v>0.76</v>
      </c>
      <c r="AG238" s="77">
        <f t="shared" si="158"/>
        <v>0.76</v>
      </c>
      <c r="AI238">
        <f t="shared" si="159"/>
        <v>157</v>
      </c>
      <c r="AK238">
        <f>SUMIFS('PAMS central control panel'!$D$14:$D$22,'PAMS central control panel'!$C$14:$C$22,RIGHT(LEFT($D238,3),2))</f>
        <v>0</v>
      </c>
      <c r="AV238" s="13"/>
    </row>
    <row r="239" spans="1:48">
      <c r="A239" s="45" t="str">
        <f>"\I:"&amp;A70</f>
        <v>\I:boiler/process heating</v>
      </c>
      <c r="B239" s="45"/>
      <c r="C239" s="46"/>
      <c r="D239" s="46" t="s">
        <v>336</v>
      </c>
      <c r="E239" s="58"/>
      <c r="F239" s="60">
        <f>SUMIF(AFA!$C$3:$L$3,RIGHT(D239,1),AFA!$C$4:$L$4)</f>
        <v>0</v>
      </c>
      <c r="G239" s="59"/>
      <c r="H239" s="60"/>
      <c r="J239" s="61"/>
      <c r="K239" s="60"/>
      <c r="L239" s="60"/>
      <c r="N239" s="2"/>
      <c r="P239" s="74" t="str">
        <f>""</f>
        <v/>
      </c>
      <c r="V239" s="74" t="str">
        <f>""</f>
        <v/>
      </c>
      <c r="AA239" s="74" t="str">
        <f>""</f>
        <v/>
      </c>
      <c r="AB239" s="77"/>
      <c r="AC239" s="77"/>
      <c r="AD239" s="77"/>
      <c r="AE239" s="77"/>
      <c r="AF239" s="77"/>
      <c r="AG239" s="77"/>
      <c r="AI239">
        <f t="shared" si="159"/>
        <v>158</v>
      </c>
      <c r="AK239">
        <f>SUMIFS('PAMS central control panel'!$D$14:$D$22,'PAMS central control panel'!$C$14:$C$22,RIGHT(LEFT($D239,3),2))</f>
        <v>0</v>
      </c>
      <c r="AV239" s="13"/>
    </row>
    <row r="240" spans="1:48">
      <c r="A240" s="45" t="str">
        <f>A$5&amp;"-"&amp;A$18&amp;"-"&amp;A$70&amp;" - "&amp;VLOOKUP(RIGHT(C240,3),NameConv!$E$4:$G$23,2,FALSE)&amp;" - Existing"</f>
        <v>Industry-Pulp &amp; Paper Products-boiler/process heating -  - Existing</v>
      </c>
      <c r="B240" s="45" t="str">
        <f t="shared" ref="B240:B246" si="163">D240&amp;RIGHT(C240,3)&amp;"-E"</f>
        <v>IPPSCOA-E</v>
      </c>
      <c r="C240" s="46" t="str">
        <f>+$C$6</f>
        <v>INDCOA</v>
      </c>
      <c r="D240" s="46" t="str">
        <f t="shared" ref="D240:D246" si="164">$B$5&amp;RIGHT($B$228,2)&amp;$B$70</f>
        <v>IPPS</v>
      </c>
      <c r="E240" s="58">
        <v>0.64</v>
      </c>
      <c r="F240" s="60">
        <f>SUMIF(AFA!$C$3:$L$3,RIGHT(D240,1),AFA!$C$4:$L$4)</f>
        <v>0.15426999999999999</v>
      </c>
      <c r="G240" s="59">
        <v>100</v>
      </c>
      <c r="H240" s="60">
        <f t="shared" ref="H240:H246" si="165">L240/F240</f>
        <v>147.28089712841123</v>
      </c>
      <c r="J240" s="61">
        <v>1</v>
      </c>
      <c r="K240" s="60">
        <f>J240*INDEX($C$10:$L$19,MATCH(B228,$B$10:$B$19,0),MATCH($B$6&amp;RIGHT(C240,3),$C$6:$L$6,0))</f>
        <v>35.68</v>
      </c>
      <c r="L240" s="60">
        <f t="shared" ref="L240:L246" si="166">K240*E240*(1-$L$77)</f>
        <v>22.721024</v>
      </c>
      <c r="N240" s="2"/>
      <c r="P240" s="78" t="e">
        <f t="shared" ref="P240:P246" si="167">L240/SUMIF($D$81:$D$268,$D240,$L$81:$L$268)</f>
        <v>#N/A</v>
      </c>
      <c r="Q240" s="77" t="e">
        <f>MIN(1,$P240+Q$75)</f>
        <v>#N/A</v>
      </c>
      <c r="R240" s="77" t="e">
        <f>MIN(1,$P240+R$75)</f>
        <v>#N/A</v>
      </c>
      <c r="S240" s="77" t="e">
        <f t="shared" ref="S240:T244" si="168">MIN(1,$P240+S$75)</f>
        <v>#N/A</v>
      </c>
      <c r="T240" s="77" t="e">
        <f t="shared" si="168"/>
        <v>#N/A</v>
      </c>
      <c r="V240" s="76" t="e">
        <f t="shared" ref="V240:V246" si="169">P240</f>
        <v>#N/A</v>
      </c>
      <c r="W240" s="77" t="e">
        <f t="shared" ref="W240:Y246" si="170">$Q240*W$75</f>
        <v>#N/A</v>
      </c>
      <c r="X240" s="77" t="e">
        <f t="shared" si="170"/>
        <v>#N/A</v>
      </c>
      <c r="Y240" s="77" t="e">
        <f t="shared" si="170"/>
        <v>#N/A</v>
      </c>
      <c r="AA240" s="76">
        <f>E240</f>
        <v>0.64</v>
      </c>
      <c r="AB240" s="77">
        <f t="shared" si="158"/>
        <v>0.64</v>
      </c>
      <c r="AC240" s="77">
        <f t="shared" si="158"/>
        <v>0.64</v>
      </c>
      <c r="AD240" s="77">
        <f t="shared" si="158"/>
        <v>0.64</v>
      </c>
      <c r="AE240" s="77">
        <f t="shared" si="158"/>
        <v>0.64</v>
      </c>
      <c r="AF240" s="77">
        <f t="shared" si="158"/>
        <v>0.64</v>
      </c>
      <c r="AG240" s="77">
        <f t="shared" si="158"/>
        <v>0.64</v>
      </c>
      <c r="AI240">
        <f t="shared" si="159"/>
        <v>159</v>
      </c>
      <c r="AK240">
        <f>SUMIFS('PAMS central control panel'!$D$14:$D$22,'PAMS central control panel'!$C$14:$C$22,RIGHT(LEFT($D240,3),2))</f>
        <v>0</v>
      </c>
      <c r="AV240" s="13"/>
    </row>
    <row r="241" spans="1:48">
      <c r="A241" s="45" t="str">
        <f>A$5&amp;"-"&amp;A$18&amp;"-"&amp;A$70&amp;" - "&amp;VLOOKUP(RIGHT(C241,3),NameConv!$E$4:$G$23,2,FALSE)&amp;" - Existing"</f>
        <v>Industry-Pulp &amp; Paper Products-boiler/process heating -  - Existing</v>
      </c>
      <c r="B241" s="45" t="str">
        <f t="shared" si="163"/>
        <v>IPPSGAS-E</v>
      </c>
      <c r="C241" s="46" t="str">
        <f>"I"&amp;B228&amp;"GAS"</f>
        <v>IPPGAS</v>
      </c>
      <c r="D241" s="46" t="str">
        <f t="shared" si="164"/>
        <v>IPPS</v>
      </c>
      <c r="E241" s="58">
        <v>0.72</v>
      </c>
      <c r="F241" s="60">
        <f>SUMIF(AFA!$C$3:$L$3,RIGHT(D241,1),AFA!$C$4:$L$4)</f>
        <v>0.15426999999999999</v>
      </c>
      <c r="G241" s="59">
        <v>100</v>
      </c>
      <c r="H241" s="60">
        <f t="shared" si="165"/>
        <v>22.457447332598694</v>
      </c>
      <c r="J241" s="61">
        <v>1</v>
      </c>
      <c r="K241" s="60">
        <f>J241*INDEX($C$10:$L$19,MATCH(B228,$B$10:$B$19,0),MATCH($B$6&amp;RIGHT(C241,3),$C$6:$L$6,0))</f>
        <v>4.8360000000000003</v>
      </c>
      <c r="L241" s="60">
        <f t="shared" si="166"/>
        <v>3.4645104</v>
      </c>
      <c r="N241" s="2"/>
      <c r="P241" s="78" t="e">
        <f t="shared" si="167"/>
        <v>#N/A</v>
      </c>
      <c r="Q241" s="77" t="e">
        <f t="shared" ref="Q241:T246" si="171">MIN(1,$P241+Q$75)</f>
        <v>#N/A</v>
      </c>
      <c r="R241" s="77" t="e">
        <f t="shared" si="171"/>
        <v>#N/A</v>
      </c>
      <c r="S241" s="77" t="e">
        <f t="shared" si="168"/>
        <v>#N/A</v>
      </c>
      <c r="T241" s="77" t="e">
        <f t="shared" si="168"/>
        <v>#N/A</v>
      </c>
      <c r="V241" s="76" t="e">
        <f t="shared" si="169"/>
        <v>#N/A</v>
      </c>
      <c r="W241" s="77" t="e">
        <f t="shared" si="170"/>
        <v>#N/A</v>
      </c>
      <c r="X241" s="77" t="e">
        <f t="shared" si="170"/>
        <v>#N/A</v>
      </c>
      <c r="Y241" s="77" t="e">
        <f t="shared" si="170"/>
        <v>#N/A</v>
      </c>
      <c r="AA241" s="76">
        <f>E241</f>
        <v>0.72</v>
      </c>
      <c r="AB241" s="77">
        <f t="shared" si="158"/>
        <v>0.72</v>
      </c>
      <c r="AC241" s="77">
        <f t="shared" si="158"/>
        <v>0.72</v>
      </c>
      <c r="AD241" s="77">
        <f t="shared" si="158"/>
        <v>0.72</v>
      </c>
      <c r="AE241" s="77">
        <f t="shared" si="158"/>
        <v>0.72</v>
      </c>
      <c r="AF241" s="77">
        <f t="shared" si="158"/>
        <v>0.72</v>
      </c>
      <c r="AG241" s="77">
        <f t="shared" si="158"/>
        <v>0.72</v>
      </c>
      <c r="AI241">
        <f t="shared" si="159"/>
        <v>160</v>
      </c>
      <c r="AK241">
        <f>SUMIFS('PAMS central control panel'!$D$14:$D$22,'PAMS central control panel'!$C$14:$C$22,RIGHT(LEFT($D241,3),2))</f>
        <v>0</v>
      </c>
      <c r="AV241" s="13"/>
    </row>
    <row r="242" spans="1:48">
      <c r="A242" s="45" t="str">
        <f>A$5&amp;"-"&amp;A$18&amp;"-"&amp;A$70&amp;" - "&amp;VLOOKUP(RIGHT(C242,3),NameConv!$E$4:$G$23,2,FALSE)&amp;" - Existing"</f>
        <v>Industry-Pulp &amp; Paper Products-boiler/process heating -  - Existing</v>
      </c>
      <c r="B242" s="45" t="str">
        <f t="shared" si="163"/>
        <v>IPPSOHF-E</v>
      </c>
      <c r="C242" s="46" t="str">
        <f>+$H$6</f>
        <v>INDOHF</v>
      </c>
      <c r="D242" s="46" t="str">
        <f t="shared" si="164"/>
        <v>IPPS</v>
      </c>
      <c r="E242" s="58">
        <v>0.68</v>
      </c>
      <c r="F242" s="60">
        <f>SUMIF(AFA!$C$3:$L$3,RIGHT(D242,1),AFA!$C$4:$L$4)</f>
        <v>0.15426999999999999</v>
      </c>
      <c r="G242" s="59">
        <v>100</v>
      </c>
      <c r="H242" s="60">
        <f t="shared" si="165"/>
        <v>0</v>
      </c>
      <c r="J242" s="61">
        <v>1</v>
      </c>
      <c r="K242" s="60">
        <f>J242*INDEX($C$10:$L$19,MATCH(B228,$B$10:$B$19,0),MATCH($B$6&amp;RIGHT(C242,3),$C$6:$L$6,0))</f>
        <v>0</v>
      </c>
      <c r="L242" s="60">
        <f t="shared" si="166"/>
        <v>0</v>
      </c>
      <c r="N242" s="2"/>
      <c r="P242" s="78" t="e">
        <f t="shared" si="167"/>
        <v>#N/A</v>
      </c>
      <c r="Q242" s="77" t="e">
        <f t="shared" si="171"/>
        <v>#N/A</v>
      </c>
      <c r="R242" s="77" t="e">
        <f t="shared" si="171"/>
        <v>#N/A</v>
      </c>
      <c r="S242" s="77" t="e">
        <f t="shared" si="168"/>
        <v>#N/A</v>
      </c>
      <c r="T242" s="77" t="e">
        <f t="shared" si="168"/>
        <v>#N/A</v>
      </c>
      <c r="V242" s="76" t="e">
        <f t="shared" si="169"/>
        <v>#N/A</v>
      </c>
      <c r="W242" s="77" t="e">
        <f t="shared" si="170"/>
        <v>#N/A</v>
      </c>
      <c r="X242" s="77" t="e">
        <f t="shared" si="170"/>
        <v>#N/A</v>
      </c>
      <c r="Y242" s="77" t="e">
        <f t="shared" si="170"/>
        <v>#N/A</v>
      </c>
      <c r="AA242" s="76">
        <f>E242</f>
        <v>0.68</v>
      </c>
      <c r="AB242" s="77">
        <f t="shared" si="158"/>
        <v>0.68</v>
      </c>
      <c r="AC242" s="77">
        <f t="shared" si="158"/>
        <v>0.68</v>
      </c>
      <c r="AD242" s="77">
        <f t="shared" si="158"/>
        <v>0.68</v>
      </c>
      <c r="AE242" s="77">
        <f t="shared" si="158"/>
        <v>0.68</v>
      </c>
      <c r="AF242" s="77">
        <f t="shared" si="158"/>
        <v>0.68</v>
      </c>
      <c r="AG242" s="77">
        <f t="shared" si="158"/>
        <v>0.68</v>
      </c>
      <c r="AI242">
        <f t="shared" si="159"/>
        <v>161</v>
      </c>
      <c r="AK242">
        <f>SUMIFS('PAMS central control panel'!$D$14:$D$22,'PAMS central control panel'!$C$14:$C$22,RIGHT(LEFT($D242,3),2))</f>
        <v>0</v>
      </c>
      <c r="AV242" s="13"/>
    </row>
    <row r="243" spans="1:48">
      <c r="A243" s="45" t="str">
        <f>A$5&amp;"-"&amp;A$18&amp;"-"&amp;A$70&amp;" - "&amp;VLOOKUP(RIGHT(C243,3),NameConv!$E$4:$G$23,2,FALSE)&amp;" - Existing"</f>
        <v>Industry-Pulp &amp; Paper Products-boiler/process heating -  - Existing</v>
      </c>
      <c r="B243" s="45" t="str">
        <f t="shared" si="163"/>
        <v>IPPSOLP-E</v>
      </c>
      <c r="C243" s="46" t="str">
        <f>+$I$6</f>
        <v>INDOLP</v>
      </c>
      <c r="D243" s="46" t="str">
        <f t="shared" si="164"/>
        <v>IPPS</v>
      </c>
      <c r="E243" s="58">
        <v>0.72</v>
      </c>
      <c r="F243" s="60">
        <f>SUMIF(AFA!$C$3:$L$3,RIGHT(D243,1),AFA!$C$4:$L$4)</f>
        <v>0.15426999999999999</v>
      </c>
      <c r="G243" s="59">
        <v>100</v>
      </c>
      <c r="H243" s="60">
        <f t="shared" si="165"/>
        <v>0</v>
      </c>
      <c r="J243" s="61">
        <v>1</v>
      </c>
      <c r="K243" s="60">
        <f>J243*INDEX($C$10:$L$19,MATCH(B228,$B$10:$B$19,0),MATCH($B$6&amp;RIGHT(C243,3),$C$6:$L$6,0))</f>
        <v>0</v>
      </c>
      <c r="L243" s="60">
        <f t="shared" si="166"/>
        <v>0</v>
      </c>
      <c r="N243" s="2"/>
      <c r="P243" s="78" t="e">
        <f t="shared" si="167"/>
        <v>#N/A</v>
      </c>
      <c r="Q243" s="77" t="e">
        <f t="shared" si="171"/>
        <v>#N/A</v>
      </c>
      <c r="R243" s="77" t="e">
        <f t="shared" si="171"/>
        <v>#N/A</v>
      </c>
      <c r="S243" s="77" t="e">
        <f t="shared" si="168"/>
        <v>#N/A</v>
      </c>
      <c r="T243" s="77" t="e">
        <f t="shared" si="168"/>
        <v>#N/A</v>
      </c>
      <c r="V243" s="76" t="e">
        <f t="shared" si="169"/>
        <v>#N/A</v>
      </c>
      <c r="W243" s="77" t="e">
        <f t="shared" si="170"/>
        <v>#N/A</v>
      </c>
      <c r="X243" s="77" t="e">
        <f t="shared" si="170"/>
        <v>#N/A</v>
      </c>
      <c r="Y243" s="77" t="e">
        <f t="shared" si="170"/>
        <v>#N/A</v>
      </c>
      <c r="AA243" s="76">
        <f>E243</f>
        <v>0.72</v>
      </c>
      <c r="AB243" s="77">
        <f t="shared" si="158"/>
        <v>0.72</v>
      </c>
      <c r="AC243" s="77">
        <f t="shared" si="158"/>
        <v>0.72</v>
      </c>
      <c r="AD243" s="77">
        <f t="shared" si="158"/>
        <v>0.72</v>
      </c>
      <c r="AE243" s="77">
        <f t="shared" si="158"/>
        <v>0.72</v>
      </c>
      <c r="AF243" s="77">
        <f t="shared" si="158"/>
        <v>0.72</v>
      </c>
      <c r="AG243" s="77">
        <f t="shared" si="158"/>
        <v>0.72</v>
      </c>
      <c r="AI243">
        <f t="shared" si="159"/>
        <v>162</v>
      </c>
      <c r="AK243">
        <f>SUMIFS('PAMS central control panel'!$D$14:$D$22,'PAMS central control panel'!$C$14:$C$22,RIGHT(LEFT($D243,3),2))</f>
        <v>0</v>
      </c>
      <c r="AV243" s="13"/>
    </row>
    <row r="244" spans="1:48">
      <c r="A244" s="45" t="str">
        <f>A$5&amp;"-"&amp;A$18&amp;"-"&amp;A$70&amp;" - "&amp;VLOOKUP(RIGHT(C244,3),NameConv!$E$4:$G$23,2,FALSE)&amp;" - Existing"</f>
        <v>Industry-Pulp &amp; Paper Products-boiler/process heating -  - Existing</v>
      </c>
      <c r="B244" s="45" t="str">
        <f t="shared" si="163"/>
        <v>IPPSELC-E</v>
      </c>
      <c r="C244" s="46" t="str">
        <f>$P$17</f>
        <v>IPPELC</v>
      </c>
      <c r="D244" s="46" t="str">
        <f t="shared" si="164"/>
        <v>IPPS</v>
      </c>
      <c r="E244" s="58">
        <v>0.76</v>
      </c>
      <c r="F244" s="60">
        <f>SUMIF(AFA!$C$3:$L$3,RIGHT(D244,1),AFA!$C$4:$L$4)</f>
        <v>0.15426999999999999</v>
      </c>
      <c r="G244" s="59">
        <v>100</v>
      </c>
      <c r="H244" s="60" t="e">
        <f t="shared" si="165"/>
        <v>#N/A</v>
      </c>
      <c r="J244" s="61">
        <v>1</v>
      </c>
      <c r="K244" s="60" t="e">
        <f>J244*INDEX($C$70:$J$70,MATCH($B228,$C$60:$J$60,0))</f>
        <v>#N/A</v>
      </c>
      <c r="L244" s="60" t="e">
        <f t="shared" si="166"/>
        <v>#N/A</v>
      </c>
      <c r="N244" s="2"/>
      <c r="P244" s="78" t="e">
        <f t="shared" si="167"/>
        <v>#N/A</v>
      </c>
      <c r="Q244" s="77" t="e">
        <f t="shared" si="171"/>
        <v>#N/A</v>
      </c>
      <c r="R244" s="77" t="e">
        <f t="shared" si="171"/>
        <v>#N/A</v>
      </c>
      <c r="S244" s="77" t="e">
        <f t="shared" si="168"/>
        <v>#N/A</v>
      </c>
      <c r="T244" s="77" t="e">
        <f t="shared" si="168"/>
        <v>#N/A</v>
      </c>
      <c r="V244" s="76" t="e">
        <f t="shared" si="169"/>
        <v>#N/A</v>
      </c>
      <c r="W244" s="77" t="e">
        <f t="shared" si="170"/>
        <v>#N/A</v>
      </c>
      <c r="X244" s="77" t="e">
        <f t="shared" si="170"/>
        <v>#N/A</v>
      </c>
      <c r="Y244" s="77" t="e">
        <f t="shared" si="170"/>
        <v>#N/A</v>
      </c>
      <c r="AA244" s="76">
        <f>E244</f>
        <v>0.76</v>
      </c>
      <c r="AB244" s="77">
        <f t="shared" si="158"/>
        <v>0.76</v>
      </c>
      <c r="AC244" s="77">
        <f t="shared" si="158"/>
        <v>0.76</v>
      </c>
      <c r="AD244" s="77">
        <f t="shared" si="158"/>
        <v>0.76</v>
      </c>
      <c r="AE244" s="77">
        <f t="shared" si="158"/>
        <v>0.76</v>
      </c>
      <c r="AF244" s="77">
        <f t="shared" si="158"/>
        <v>0.76</v>
      </c>
      <c r="AG244" s="77">
        <f t="shared" si="158"/>
        <v>0.76</v>
      </c>
      <c r="AI244">
        <f t="shared" si="159"/>
        <v>163</v>
      </c>
      <c r="AK244">
        <f>SUMIFS('PAMS central control panel'!$D$14:$D$22,'PAMS central control panel'!$C$14:$C$22,RIGHT(LEFT($D244,3),2))</f>
        <v>0</v>
      </c>
      <c r="AV244" s="13"/>
    </row>
    <row r="245" spans="1:48">
      <c r="A245" s="45" t="str">
        <f>A$5&amp;"-"&amp;A$18&amp;"-"&amp;A$70&amp;" - "&amp;VLOOKUP(RIGHT(C245,3),NameConv!$E$4:$G$23,2,FALSE)&amp;" - Existing"</f>
        <v>Industry-Pulp &amp; Paper Products-boiler/process heating -  - Existing</v>
      </c>
      <c r="B245" s="45" t="str">
        <f t="shared" si="163"/>
        <v>IPPSBIW-E</v>
      </c>
      <c r="C245" s="46" t="str">
        <f>$J$6</f>
        <v>INDBIW</v>
      </c>
      <c r="D245" s="46" t="str">
        <f t="shared" si="164"/>
        <v>IPPS</v>
      </c>
      <c r="E245" s="58">
        <v>0.6</v>
      </c>
      <c r="F245" s="60">
        <f>SUMIF(AFA!$C$3:$L$3,RIGHT(D245,1),AFA!$C$4:$L$4)</f>
        <v>0.15426999999999999</v>
      </c>
      <c r="G245" s="59">
        <v>100</v>
      </c>
      <c r="H245" s="60">
        <f t="shared" si="165"/>
        <v>18.486218966746616</v>
      </c>
      <c r="J245" s="61">
        <v>1</v>
      </c>
      <c r="K245" s="60">
        <f>J245*INDEX($C$10:$L$19,MATCH(B228,$B$10:$B$19,0),MATCH($B$6&amp;RIGHT(C245,3),$C$6:$L$6,0))</f>
        <v>4.7770000000000001</v>
      </c>
      <c r="L245" s="60">
        <f t="shared" si="166"/>
        <v>2.8518690000000002</v>
      </c>
      <c r="N245" s="2"/>
      <c r="P245" s="78" t="e">
        <f t="shared" si="167"/>
        <v>#N/A</v>
      </c>
      <c r="Q245" s="77" t="e">
        <f t="shared" si="171"/>
        <v>#N/A</v>
      </c>
      <c r="R245" s="77" t="e">
        <f t="shared" si="171"/>
        <v>#N/A</v>
      </c>
      <c r="S245" s="77" t="e">
        <f t="shared" si="171"/>
        <v>#N/A</v>
      </c>
      <c r="T245" s="77" t="e">
        <f t="shared" si="171"/>
        <v>#N/A</v>
      </c>
      <c r="V245" s="76" t="e">
        <f t="shared" si="169"/>
        <v>#N/A</v>
      </c>
      <c r="W245" s="77" t="e">
        <f t="shared" si="170"/>
        <v>#N/A</v>
      </c>
      <c r="X245" s="77" t="e">
        <f t="shared" si="170"/>
        <v>#N/A</v>
      </c>
      <c r="Y245" s="77" t="e">
        <f t="shared" si="170"/>
        <v>#N/A</v>
      </c>
      <c r="AA245" s="76"/>
      <c r="AB245" s="77">
        <f t="shared" si="158"/>
        <v>0</v>
      </c>
      <c r="AC245" s="77">
        <f t="shared" si="158"/>
        <v>0</v>
      </c>
      <c r="AD245" s="77">
        <f t="shared" si="158"/>
        <v>0</v>
      </c>
      <c r="AE245" s="77">
        <f t="shared" si="158"/>
        <v>0</v>
      </c>
      <c r="AF245" s="77">
        <f t="shared" si="158"/>
        <v>0</v>
      </c>
      <c r="AG245" s="77">
        <f t="shared" si="158"/>
        <v>0</v>
      </c>
      <c r="AI245">
        <f t="shared" si="159"/>
        <v>164</v>
      </c>
      <c r="AK245">
        <f>SUMIFS('PAMS central control panel'!$D$14:$D$22,'PAMS central control panel'!$C$14:$C$22,RIGHT(LEFT($D245,3),2))</f>
        <v>0</v>
      </c>
      <c r="AV245" s="13"/>
    </row>
    <row r="246" spans="1:48">
      <c r="A246" s="45" t="str">
        <f>A$5&amp;"-"&amp;A$18&amp;"-"&amp;A$70&amp;" - "&amp;VLOOKUP(RIGHT(C246,3),NameConv!$E$4:$G$23,2,FALSE)&amp;" - Existing"</f>
        <v>Industry-Pulp &amp; Paper Products-boiler/process heating -  - Existing</v>
      </c>
      <c r="B246" s="45" t="str">
        <f t="shared" si="163"/>
        <v>IPPSWAS-E</v>
      </c>
      <c r="C246" s="46" t="str">
        <f>$L$6</f>
        <v>INDWAS</v>
      </c>
      <c r="D246" s="46" t="str">
        <f t="shared" si="164"/>
        <v>IPPS</v>
      </c>
      <c r="E246" s="58">
        <v>0.6</v>
      </c>
      <c r="F246" s="60">
        <f>SUMIF(AFA!$C$3:$L$3,RIGHT(D246,1),AFA!$C$4:$L$4)</f>
        <v>0.15426999999999999</v>
      </c>
      <c r="G246" s="59">
        <v>100</v>
      </c>
      <c r="H246" s="60">
        <f t="shared" si="165"/>
        <v>0</v>
      </c>
      <c r="J246" s="61">
        <v>1</v>
      </c>
      <c r="K246" s="60">
        <f>J246*INDEX($C$10:$L$19,MATCH(B228,$B$10:$B$19,0),MATCH($B$6&amp;RIGHT(C246,3),$C$6:$L$6,0))</f>
        <v>0</v>
      </c>
      <c r="L246" s="60">
        <f t="shared" si="166"/>
        <v>0</v>
      </c>
      <c r="N246" s="2"/>
      <c r="P246" s="78" t="e">
        <f t="shared" si="167"/>
        <v>#N/A</v>
      </c>
      <c r="Q246" s="77" t="e">
        <f t="shared" si="171"/>
        <v>#N/A</v>
      </c>
      <c r="R246" s="77" t="e">
        <f t="shared" si="171"/>
        <v>#N/A</v>
      </c>
      <c r="S246" s="77" t="e">
        <f t="shared" si="171"/>
        <v>#N/A</v>
      </c>
      <c r="T246" s="77" t="e">
        <f t="shared" si="171"/>
        <v>#N/A</v>
      </c>
      <c r="V246" s="76" t="e">
        <f t="shared" si="169"/>
        <v>#N/A</v>
      </c>
      <c r="W246" s="77" t="e">
        <f t="shared" si="170"/>
        <v>#N/A</v>
      </c>
      <c r="X246" s="77" t="e">
        <f t="shared" si="170"/>
        <v>#N/A</v>
      </c>
      <c r="Y246" s="77" t="e">
        <f t="shared" si="170"/>
        <v>#N/A</v>
      </c>
      <c r="AA246" s="76">
        <f>E246</f>
        <v>0.6</v>
      </c>
      <c r="AB246" s="77">
        <f t="shared" ref="AB246:AG246" si="172">$AA246/(1-(SUMIF($B$61:$B$70,RIGHT($D246,1),AB$61:AB$70)*$AK246))</f>
        <v>0.6</v>
      </c>
      <c r="AC246" s="77">
        <f t="shared" si="172"/>
        <v>0.6</v>
      </c>
      <c r="AD246" s="77">
        <f t="shared" si="172"/>
        <v>0.6</v>
      </c>
      <c r="AE246" s="77">
        <f t="shared" si="172"/>
        <v>0.6</v>
      </c>
      <c r="AF246" s="77">
        <f t="shared" si="172"/>
        <v>0.6</v>
      </c>
      <c r="AG246" s="77">
        <f t="shared" si="172"/>
        <v>0.6</v>
      </c>
      <c r="AI246">
        <f t="shared" si="159"/>
        <v>165</v>
      </c>
      <c r="AK246">
        <f>SUMIFS('PAMS central control panel'!$D$14:$D$22,'PAMS central control panel'!$C$14:$C$22,RIGHT(LEFT($D246,3),2))</f>
        <v>0</v>
      </c>
      <c r="AV246" s="13"/>
    </row>
    <row r="247" spans="1:48" ht="51.95" customHeight="1" thickBot="1">
      <c r="A247" s="244" t="s">
        <v>438</v>
      </c>
      <c r="B247" s="252" t="s">
        <v>439</v>
      </c>
      <c r="C247" s="252" t="s">
        <v>440</v>
      </c>
      <c r="D247" s="252" t="s">
        <v>441</v>
      </c>
      <c r="E247" s="252" t="s">
        <v>442</v>
      </c>
      <c r="F247" s="252" t="s">
        <v>443</v>
      </c>
      <c r="G247" s="252" t="s">
        <v>444</v>
      </c>
      <c r="H247" s="252" t="s">
        <v>445</v>
      </c>
      <c r="J247" s="252" t="s">
        <v>446</v>
      </c>
      <c r="K247" s="252" t="s">
        <v>447</v>
      </c>
      <c r="L247" s="252" t="s">
        <v>448</v>
      </c>
      <c r="M247" s="252" t="s">
        <v>449</v>
      </c>
      <c r="N247" s="252" t="s">
        <v>450</v>
      </c>
      <c r="O247" s="2"/>
      <c r="P247" s="74" t="str">
        <f>""</f>
        <v/>
      </c>
      <c r="V247" s="74" t="str">
        <f>""</f>
        <v/>
      </c>
      <c r="AA247" s="74" t="str">
        <f>""</f>
        <v/>
      </c>
      <c r="AI247">
        <f t="shared" si="159"/>
        <v>166</v>
      </c>
      <c r="AK247">
        <f>SUMIFS('PAMS central control panel'!$D$14:$D$22,'PAMS central control panel'!$C$14:$C$22,RIGHT(LEFT($D247,3),2))</f>
        <v>0</v>
      </c>
      <c r="AV247" s="13"/>
    </row>
    <row r="248" spans="1:48">
      <c r="A248" s="12" t="s">
        <v>457</v>
      </c>
      <c r="B248" s="69" t="str">
        <f>+B19</f>
        <v>OT</v>
      </c>
      <c r="C248" s="54"/>
      <c r="D248" s="54"/>
      <c r="E248" s="55" t="s">
        <v>458</v>
      </c>
      <c r="F248" s="55" t="s">
        <v>459</v>
      </c>
      <c r="G248" s="30" t="s">
        <v>460</v>
      </c>
      <c r="H248" s="31" t="s">
        <v>461</v>
      </c>
      <c r="J248" s="30" t="s">
        <v>462</v>
      </c>
      <c r="K248" s="30" t="s">
        <v>463</v>
      </c>
      <c r="L248" s="30" t="s">
        <v>463</v>
      </c>
      <c r="M248" s="2"/>
      <c r="N248" s="2"/>
      <c r="O248" s="2"/>
      <c r="P248" s="74" t="str">
        <f>""</f>
        <v/>
      </c>
      <c r="V248" s="74" t="str">
        <f>""</f>
        <v/>
      </c>
      <c r="AA248" s="74" t="str">
        <f>""</f>
        <v/>
      </c>
      <c r="AI248">
        <f t="shared" si="159"/>
        <v>167</v>
      </c>
      <c r="AK248">
        <f>SUMIFS('PAMS central control panel'!$D$14:$D$22,'PAMS central control panel'!$C$14:$C$22,RIGHT(LEFT($D248,3),2))</f>
        <v>0</v>
      </c>
      <c r="AV248" s="13"/>
    </row>
    <row r="249" spans="1:48">
      <c r="A249" s="12" t="s">
        <v>465</v>
      </c>
      <c r="B249" s="45"/>
      <c r="C249" s="56">
        <v>1</v>
      </c>
      <c r="D249" s="56">
        <f>C249+1</f>
        <v>2</v>
      </c>
      <c r="E249" s="56">
        <f>D249+1</f>
        <v>3</v>
      </c>
      <c r="F249" s="56">
        <f>E249+1</f>
        <v>4</v>
      </c>
      <c r="G249" s="56">
        <f>F249+1</f>
        <v>5</v>
      </c>
      <c r="H249" s="56">
        <f>G249+1</f>
        <v>6</v>
      </c>
      <c r="J249" s="57"/>
      <c r="K249" s="43"/>
      <c r="L249" s="43"/>
      <c r="M249" s="2"/>
      <c r="N249" s="2"/>
      <c r="O249" s="2"/>
      <c r="P249" s="74" t="str">
        <f>""</f>
        <v/>
      </c>
      <c r="V249" s="74" t="str">
        <f>""</f>
        <v/>
      </c>
      <c r="AA249" s="74" t="str">
        <f>""</f>
        <v/>
      </c>
      <c r="AI249">
        <f t="shared" si="159"/>
        <v>168</v>
      </c>
      <c r="AK249">
        <f>SUMIFS('PAMS central control panel'!$D$14:$D$22,'PAMS central control panel'!$C$14:$C$22,RIGHT(LEFT($D249,3),2))</f>
        <v>0</v>
      </c>
      <c r="AV249" s="13"/>
    </row>
    <row r="250" spans="1:48">
      <c r="A250" s="45" t="str">
        <f t="shared" ref="A250:A258" si="173">A$5&amp;"-"&amp;A$19&amp;"-"&amp;A31&amp;" - Electricity"</f>
        <v>Industry-Other-Elec Heating - Electricity</v>
      </c>
      <c r="B250" s="45" t="str">
        <f>D250&amp;RIGHT(C250,3)&amp;"-E"</f>
        <v>IOTKELC-E</v>
      </c>
      <c r="C250" s="46" t="str">
        <f t="shared" ref="C250:C258" si="174">$P$18</f>
        <v>IOTELC</v>
      </c>
      <c r="D250" s="46" t="str">
        <f>$B$5&amp;RIGHT($B248,2)&amp;$B$61</f>
        <v>IOTK</v>
      </c>
      <c r="E250" s="58">
        <v>1</v>
      </c>
      <c r="F250" s="60">
        <f>SUMIF(AFA!$C$3:$L$3,RIGHT(D250,1),AFA!$C$4:$L$4)</f>
        <v>0.11433</v>
      </c>
      <c r="G250" s="59">
        <v>100</v>
      </c>
      <c r="H250" s="60">
        <f>L250/F250</f>
        <v>35.197720193170213</v>
      </c>
      <c r="J250" s="61">
        <v>1</v>
      </c>
      <c r="K250" s="60">
        <f t="shared" ref="K250:K258" si="175">J250*SUMIF($C$60:$K$60,$B$248,$C61:$K61)</f>
        <v>4.0443772358644727</v>
      </c>
      <c r="L250" s="60">
        <f t="shared" ref="L250:L258" si="176">K250*E250*(1-$L$77)</f>
        <v>4.0241553496851505</v>
      </c>
      <c r="M250" s="2"/>
      <c r="N250" s="2">
        <v>1</v>
      </c>
      <c r="O250" s="2"/>
      <c r="P250" s="74" t="str">
        <f>""</f>
        <v/>
      </c>
      <c r="V250" s="74" t="str">
        <f>""</f>
        <v/>
      </c>
      <c r="AA250" s="76">
        <f t="shared" ref="AA250:AA258" si="177">E250</f>
        <v>1</v>
      </c>
      <c r="AB250" s="77">
        <f>$AA250/(1-(SUMIF($B$61:$B$70,RIGHT($D250,1),'IND2017'!Z$250:Z$259)*$AK250))</f>
        <v>1</v>
      </c>
      <c r="AC250" s="77">
        <f>$AA250/(1-(SUMIF($B$61:$B$70,RIGHT($D250,1),'IND2017'!AA$250:AA$259)*$AK250))</f>
        <v>1</v>
      </c>
      <c r="AD250" s="77">
        <f>$AA250/(1-(SUMIF($B$61:$B$70,RIGHT($D250,1),'IND2017'!AB$250:AB$259)*$AK250))</f>
        <v>1</v>
      </c>
      <c r="AE250" s="77">
        <f>$AA250/(1-(SUMIF($B$61:$B$70,RIGHT($D250,1),'IND2017'!AC$250:AC$259)*$AK250))</f>
        <v>1</v>
      </c>
      <c r="AF250" s="77">
        <f>$AA250/(1-(SUMIF($B$61:$B$70,RIGHT($D250,1),'IND2017'!AD$250:AD$259)*$AK250))</f>
        <v>1</v>
      </c>
      <c r="AG250" s="77">
        <f>$AA250/(1-(SUMIF($B$61:$B$70,RIGHT($D250,1),'IND2017'!AE$250:AE$259)*$AK250))</f>
        <v>1</v>
      </c>
      <c r="AI250">
        <f t="shared" si="159"/>
        <v>169</v>
      </c>
      <c r="AK250">
        <f>SUMIFS('PAMS central control panel'!$D$14:$D$22,'PAMS central control panel'!$C$14:$C$22,RIGHT(LEFT($D250,3),2))</f>
        <v>0</v>
      </c>
      <c r="AV250" s="13"/>
    </row>
    <row r="251" spans="1:48">
      <c r="A251" s="45" t="str">
        <f t="shared" si="173"/>
        <v>Industry-Other-Compressed air - Electricity</v>
      </c>
      <c r="B251" s="45" t="str">
        <f>D251&amp;RIGHT(C251,3)&amp;"-E"</f>
        <v>IOTAELC-E</v>
      </c>
      <c r="C251" s="46" t="str">
        <f t="shared" si="174"/>
        <v>IOTELC</v>
      </c>
      <c r="D251" s="46" t="str">
        <f>$B$5&amp;RIGHT($B248,2)&amp;$B$62</f>
        <v>IOTA</v>
      </c>
      <c r="E251" s="58">
        <v>0.05</v>
      </c>
      <c r="F251" s="60">
        <f>SUMIF(AFA!$C$3:$L$3,RIGHT(D251,1),AFA!$C$4:$L$4)</f>
        <v>0.11584999999999999</v>
      </c>
      <c r="G251" s="59">
        <v>100</v>
      </c>
      <c r="H251" s="60">
        <f t="shared" ref="H251:H257" si="178">L251/F251</f>
        <v>1.9671684607377637</v>
      </c>
      <c r="J251" s="61">
        <v>1</v>
      </c>
      <c r="K251" s="60">
        <f t="shared" si="175"/>
        <v>4.58083349098432</v>
      </c>
      <c r="L251" s="60">
        <f t="shared" si="176"/>
        <v>0.22789646617646991</v>
      </c>
      <c r="N251" s="2"/>
      <c r="P251" s="74" t="str">
        <f>""</f>
        <v/>
      </c>
      <c r="V251" s="74" t="str">
        <f>""</f>
        <v/>
      </c>
      <c r="AA251" s="155">
        <f t="shared" si="177"/>
        <v>0.05</v>
      </c>
      <c r="AB251" s="77">
        <f>$AA251/(1-(SUMIF($B$61:$B$70,RIGHT($D251,1),'IND2017'!Z$250:Z$259)*$AK251))</f>
        <v>0.05</v>
      </c>
      <c r="AC251" s="77">
        <f>$AA251/(1-(SUMIF($B$61:$B$70,RIGHT($D251,1),'IND2017'!AA$250:AA$259)*$AK251))</f>
        <v>0.05</v>
      </c>
      <c r="AD251" s="77">
        <f>$AA251/(1-(SUMIF($B$61:$B$70,RIGHT($D251,1),'IND2017'!AB$250:AB$259)*$AK251))</f>
        <v>0.05</v>
      </c>
      <c r="AE251" s="77">
        <f>$AA251/(1-(SUMIF($B$61:$B$70,RIGHT($D251,1),'IND2017'!AC$250:AC$259)*$AK251))</f>
        <v>0.05</v>
      </c>
      <c r="AF251" s="77">
        <f>$AA251/(1-(SUMIF($B$61:$B$70,RIGHT($D251,1),'IND2017'!AD$250:AD$259)*$AK251))</f>
        <v>0.05</v>
      </c>
      <c r="AG251" s="77">
        <f>$AA251/(1-(SUMIF($B$61:$B$70,RIGHT($D251,1),'IND2017'!AE$250:AE$259)*$AK251))</f>
        <v>0.05</v>
      </c>
      <c r="AI251">
        <f t="shared" si="159"/>
        <v>170</v>
      </c>
      <c r="AK251">
        <f>SUMIFS('PAMS central control panel'!$D$14:$D$22,'PAMS central control panel'!$C$14:$C$22,RIGHT(LEFT($D251,3),2))</f>
        <v>0</v>
      </c>
      <c r="AV251" s="13"/>
    </row>
    <row r="252" spans="1:48">
      <c r="A252" s="45" t="str">
        <f t="shared" si="173"/>
        <v>Industry-Other-Lighting - Electricity</v>
      </c>
      <c r="B252" s="45" t="str">
        <f t="shared" ref="B252:B258" si="179">D252&amp;RIGHT(C252,3)&amp;"-E"</f>
        <v>IOTLELC-E</v>
      </c>
      <c r="C252" s="46" t="str">
        <f t="shared" si="174"/>
        <v>IOTELC</v>
      </c>
      <c r="D252" s="46" t="str">
        <f>$B$5&amp;RIGHT($B248,2)&amp;$B$63</f>
        <v>IOTL</v>
      </c>
      <c r="E252" s="58">
        <v>0.3</v>
      </c>
      <c r="F252" s="60">
        <f>SUMIF(AFA!$C$3:$L$3,RIGHT(D252,1),AFA!$C$4:$L$4)</f>
        <v>0.12454999999999999</v>
      </c>
      <c r="G252" s="59">
        <v>100</v>
      </c>
      <c r="H252" s="60">
        <f t="shared" si="178"/>
        <v>8.1058484963175204</v>
      </c>
      <c r="J252" s="61">
        <v>1</v>
      </c>
      <c r="K252" s="60">
        <f t="shared" si="175"/>
        <v>3.3821890459509119</v>
      </c>
      <c r="L252" s="60">
        <f t="shared" si="176"/>
        <v>1.0095834302163471</v>
      </c>
      <c r="N252" s="2"/>
      <c r="P252" s="74" t="str">
        <f>""</f>
        <v/>
      </c>
      <c r="V252" s="74" t="str">
        <f>""</f>
        <v/>
      </c>
      <c r="AA252" s="76">
        <f t="shared" si="177"/>
        <v>0.3</v>
      </c>
      <c r="AB252" s="77">
        <f>$AA252/(1-(SUMIF($B$61:$B$70,RIGHT($D252,1),'IND2017'!Z$250:Z$259)*$AK252))</f>
        <v>0.3</v>
      </c>
      <c r="AC252" s="77">
        <f>$AA252/(1-(SUMIF($B$61:$B$70,RIGHT($D252,1),'IND2017'!AA$250:AA$259)*$AK252))</f>
        <v>0.3</v>
      </c>
      <c r="AD252" s="77">
        <f>$AA252/(1-(SUMIF($B$61:$B$70,RIGHT($D252,1),'IND2017'!AB$250:AB$259)*$AK252))</f>
        <v>0.3</v>
      </c>
      <c r="AE252" s="77">
        <f>$AA252/(1-(SUMIF($B$61:$B$70,RIGHT($D252,1),'IND2017'!AC$250:AC$259)*$AK252))</f>
        <v>0.3</v>
      </c>
      <c r="AF252" s="77">
        <f>$AA252/(1-(SUMIF($B$61:$B$70,RIGHT($D252,1),'IND2017'!AD$250:AD$259)*$AK252))</f>
        <v>0.3</v>
      </c>
      <c r="AG252" s="77">
        <f>$AA252/(1-(SUMIF($B$61:$B$70,RIGHT($D252,1),'IND2017'!AE$250:AE$259)*$AK252))</f>
        <v>0.3</v>
      </c>
      <c r="AI252">
        <f t="shared" si="159"/>
        <v>171</v>
      </c>
      <c r="AK252">
        <f>SUMIFS('PAMS central control panel'!$D$14:$D$22,'PAMS central control panel'!$C$14:$C$22,RIGHT(LEFT($D252,3),2))</f>
        <v>0</v>
      </c>
      <c r="AL252" s="26"/>
      <c r="AV252" s="13"/>
    </row>
    <row r="253" spans="1:48">
      <c r="A253" s="45" t="str">
        <f t="shared" si="173"/>
        <v>Industry-Other-Cooling - Electricity</v>
      </c>
      <c r="B253" s="45" t="str">
        <f t="shared" si="179"/>
        <v>IOTCELC-E</v>
      </c>
      <c r="C253" s="46" t="str">
        <f t="shared" si="174"/>
        <v>IOTELC</v>
      </c>
      <c r="D253" s="46" t="str">
        <f>$B$5&amp;RIGHT($B248,2)&amp;$B$64</f>
        <v>IOTC</v>
      </c>
      <c r="E253" s="58">
        <v>2</v>
      </c>
      <c r="F253" s="60">
        <f>SUMIF(AFA!$C$3:$L$3,RIGHT(D253,1),AFA!$C$4:$L$4)</f>
        <v>0.12956000000000001</v>
      </c>
      <c r="G253" s="59">
        <v>100</v>
      </c>
      <c r="H253" s="60">
        <f t="shared" si="178"/>
        <v>33.087930128408587</v>
      </c>
      <c r="J253" s="61">
        <v>1</v>
      </c>
      <c r="K253" s="60">
        <f t="shared" si="175"/>
        <v>2.1542071494656367</v>
      </c>
      <c r="L253" s="60">
        <f t="shared" si="176"/>
        <v>4.2868722274366169</v>
      </c>
      <c r="N253" s="2"/>
      <c r="P253" s="74" t="str">
        <f>""</f>
        <v/>
      </c>
      <c r="V253" s="74" t="str">
        <f>""</f>
        <v/>
      </c>
      <c r="AA253" s="76">
        <f t="shared" si="177"/>
        <v>2</v>
      </c>
      <c r="AB253" s="77">
        <f>$AA253/(1-(SUMIF($B$61:$B$70,RIGHT($D253,1),'IND2017'!Z$250:Z$259)*$AK253))</f>
        <v>2</v>
      </c>
      <c r="AC253" s="77">
        <f>$AA253/(1-(SUMIF($B$61:$B$70,RIGHT($D253,1),'IND2017'!AA$250:AA$259)*$AK253))</f>
        <v>2</v>
      </c>
      <c r="AD253" s="77">
        <f>$AA253/(1-(SUMIF($B$61:$B$70,RIGHT($D253,1),'IND2017'!AB$250:AB$259)*$AK253))</f>
        <v>2</v>
      </c>
      <c r="AE253" s="77">
        <f>$AA253/(1-(SUMIF($B$61:$B$70,RIGHT($D253,1),'IND2017'!AC$250:AC$259)*$AK253))</f>
        <v>2</v>
      </c>
      <c r="AF253" s="77">
        <f>$AA253/(1-(SUMIF($B$61:$B$70,RIGHT($D253,1),'IND2017'!AD$250:AD$259)*$AK253))</f>
        <v>2</v>
      </c>
      <c r="AG253" s="77">
        <f>$AA253/(1-(SUMIF($B$61:$B$70,RIGHT($D253,1),'IND2017'!AE$250:AE$259)*$AK253))</f>
        <v>2</v>
      </c>
      <c r="AI253">
        <f t="shared" si="159"/>
        <v>172</v>
      </c>
      <c r="AK253">
        <f>SUMIFS('PAMS central control panel'!$D$14:$D$22,'PAMS central control panel'!$C$14:$C$22,RIGHT(LEFT($D253,3),2))</f>
        <v>0</v>
      </c>
      <c r="AV253" s="13"/>
    </row>
    <row r="254" spans="1:48">
      <c r="A254" s="45" t="str">
        <f t="shared" si="173"/>
        <v>Industry-Other-HVAC - Electricity</v>
      </c>
      <c r="B254" s="45" t="str">
        <f t="shared" si="179"/>
        <v>IOTHELC-E</v>
      </c>
      <c r="C254" s="46" t="str">
        <f t="shared" si="174"/>
        <v>IOTELC</v>
      </c>
      <c r="D254" s="46" t="str">
        <f>$B$5&amp;RIGHT($B248,2)&amp;$B$65</f>
        <v>IOTH</v>
      </c>
      <c r="E254" s="58">
        <v>0.9</v>
      </c>
      <c r="F254" s="60">
        <f>SUMIF(AFA!$C$3:$L$3,RIGHT(D254,1),AFA!$C$4:$L$4)</f>
        <v>0.13161</v>
      </c>
      <c r="G254" s="59">
        <v>100</v>
      </c>
      <c r="H254" s="60">
        <f t="shared" si="178"/>
        <v>24.210777428006388</v>
      </c>
      <c r="J254" s="61">
        <v>1</v>
      </c>
      <c r="K254" s="60">
        <f t="shared" si="175"/>
        <v>3.5582137546621113</v>
      </c>
      <c r="L254" s="60">
        <f t="shared" si="176"/>
        <v>3.1863804172999206</v>
      </c>
      <c r="N254" s="2"/>
      <c r="P254" s="74" t="str">
        <f>""</f>
        <v/>
      </c>
      <c r="V254" s="74" t="str">
        <f>""</f>
        <v/>
      </c>
      <c r="AA254" s="76">
        <f t="shared" si="177"/>
        <v>0.9</v>
      </c>
      <c r="AB254" s="77">
        <f>$AA254/(1-(SUMIF($B$61:$B$70,RIGHT($D254,1),'IND2017'!Z$250:Z$259)*$AK254))</f>
        <v>0.9</v>
      </c>
      <c r="AC254" s="77">
        <f>$AA254/(1-(SUMIF($B$61:$B$70,RIGHT($D254,1),'IND2017'!AA$250:AA$259)*$AK254))</f>
        <v>0.9</v>
      </c>
      <c r="AD254" s="77">
        <f>$AA254/(1-(SUMIF($B$61:$B$70,RIGHT($D254,1),'IND2017'!AB$250:AB$259)*$AK254))</f>
        <v>0.9</v>
      </c>
      <c r="AE254" s="77">
        <f>$AA254/(1-(SUMIF($B$61:$B$70,RIGHT($D254,1),'IND2017'!AC$250:AC$259)*$AK254))</f>
        <v>0.9</v>
      </c>
      <c r="AF254" s="77">
        <f>$AA254/(1-(SUMIF($B$61:$B$70,RIGHT($D254,1),'IND2017'!AD$250:AD$259)*$AK254))</f>
        <v>0.9</v>
      </c>
      <c r="AG254" s="77">
        <f>$AA254/(1-(SUMIF($B$61:$B$70,RIGHT($D254,1),'IND2017'!AE$250:AE$259)*$AK254))</f>
        <v>0.9</v>
      </c>
      <c r="AI254">
        <f t="shared" si="159"/>
        <v>173</v>
      </c>
      <c r="AK254">
        <f>SUMIFS('PAMS central control panel'!$D$14:$D$22,'PAMS central control panel'!$C$14:$C$22,RIGHT(LEFT($D254,3),2))</f>
        <v>0</v>
      </c>
      <c r="AV254" s="13"/>
    </row>
    <row r="255" spans="1:48">
      <c r="A255" s="45" t="str">
        <f t="shared" si="173"/>
        <v>Industry-Other-Pumping - Electricity</v>
      </c>
      <c r="B255" s="45" t="str">
        <f t="shared" si="179"/>
        <v>IOTPELC-E</v>
      </c>
      <c r="C255" s="46" t="str">
        <f t="shared" si="174"/>
        <v>IOTELC</v>
      </c>
      <c r="D255" s="46" t="str">
        <f>$B$5&amp;RIGHT($B248,2)&amp;$B$66</f>
        <v>IOTP</v>
      </c>
      <c r="E255" s="58">
        <v>0.8</v>
      </c>
      <c r="F255" s="60">
        <f>SUMIF(AFA!$C$3:$L$3,RIGHT(D255,1),AFA!$C$4:$L$4)</f>
        <v>0.12116</v>
      </c>
      <c r="G255" s="59">
        <v>100</v>
      </c>
      <c r="H255" s="60">
        <f t="shared" si="178"/>
        <v>35.794928503503748</v>
      </c>
      <c r="J255" s="61">
        <v>1</v>
      </c>
      <c r="K255" s="60">
        <f t="shared" si="175"/>
        <v>5.4483838410609478</v>
      </c>
      <c r="L255" s="60">
        <f t="shared" si="176"/>
        <v>4.3369135374845138</v>
      </c>
      <c r="N255" s="2"/>
      <c r="P255" s="74" t="str">
        <f>""</f>
        <v/>
      </c>
      <c r="V255" s="74" t="str">
        <f>""</f>
        <v/>
      </c>
      <c r="AA255" s="76">
        <f t="shared" si="177"/>
        <v>0.8</v>
      </c>
      <c r="AB255" s="77">
        <f>$AA255/(1-(SUMIF($B$61:$B$70,RIGHT($D255,1),'IND2017'!Z$250:Z$259)*$AK255))</f>
        <v>0.8</v>
      </c>
      <c r="AC255" s="77">
        <f>$AA255/(1-(SUMIF($B$61:$B$70,RIGHT($D255,1),'IND2017'!AA$250:AA$259)*$AK255))</f>
        <v>0.8</v>
      </c>
      <c r="AD255" s="77">
        <f>$AA255/(1-(SUMIF($B$61:$B$70,RIGHT($D255,1),'IND2017'!AB$250:AB$259)*$AK255))</f>
        <v>0.8</v>
      </c>
      <c r="AE255" s="77">
        <f>$AA255/(1-(SUMIF($B$61:$B$70,RIGHT($D255,1),'IND2017'!AC$250:AC$259)*$AK255))</f>
        <v>0.8</v>
      </c>
      <c r="AF255" s="77">
        <f>$AA255/(1-(SUMIF($B$61:$B$70,RIGHT($D255,1),'IND2017'!AD$250:AD$259)*$AK255))</f>
        <v>0.8</v>
      </c>
      <c r="AG255" s="77">
        <f>$AA255/(1-(SUMIF($B$61:$B$70,RIGHT($D255,1),'IND2017'!AE$250:AE$259)*$AK255))</f>
        <v>0.8</v>
      </c>
      <c r="AI255">
        <f t="shared" si="159"/>
        <v>174</v>
      </c>
      <c r="AK255">
        <f>SUMIFS('PAMS central control panel'!$D$14:$D$22,'PAMS central control panel'!$C$14:$C$22,RIGHT(LEFT($D255,3),2))</f>
        <v>0</v>
      </c>
      <c r="AV255" s="13"/>
    </row>
    <row r="256" spans="1:48">
      <c r="A256" s="45" t="str">
        <f t="shared" si="173"/>
        <v>Industry-Other-Fans - Electricity</v>
      </c>
      <c r="B256" s="45" t="str">
        <f t="shared" si="179"/>
        <v>IOTFELC-E</v>
      </c>
      <c r="C256" s="46" t="str">
        <f t="shared" si="174"/>
        <v>IOTELC</v>
      </c>
      <c r="D256" s="46" t="str">
        <f>$B$5&amp;RIGHT($B248,2)&amp;$B$67</f>
        <v>IOTF</v>
      </c>
      <c r="E256" s="58">
        <v>0.8</v>
      </c>
      <c r="F256" s="60">
        <f>SUMIF(AFA!$C$3:$L$3,RIGHT(D256,1),AFA!$C$4:$L$4)</f>
        <v>0.10936999999999999</v>
      </c>
      <c r="G256" s="59">
        <v>100</v>
      </c>
      <c r="H256" s="60">
        <f t="shared" si="178"/>
        <v>16.883280065533928</v>
      </c>
      <c r="J256" s="61">
        <v>1</v>
      </c>
      <c r="K256" s="60">
        <f t="shared" si="175"/>
        <v>2.319754196944027</v>
      </c>
      <c r="L256" s="60">
        <f t="shared" si="176"/>
        <v>1.8465243407674456</v>
      </c>
      <c r="N256" s="2"/>
      <c r="P256" s="74" t="str">
        <f>""</f>
        <v/>
      </c>
      <c r="V256" s="74" t="str">
        <f>""</f>
        <v/>
      </c>
      <c r="AA256" s="76">
        <f t="shared" si="177"/>
        <v>0.8</v>
      </c>
      <c r="AB256" s="77">
        <f>$AA256/(1-(SUMIF($B$61:$B$70,RIGHT($D256,1),'IND2017'!Z$250:Z$259)*$AK256))</f>
        <v>0.8</v>
      </c>
      <c r="AC256" s="77">
        <f>$AA256/(1-(SUMIF($B$61:$B$70,RIGHT($D256,1),'IND2017'!AA$250:AA$259)*$AK256))</f>
        <v>0.8</v>
      </c>
      <c r="AD256" s="77">
        <f>$AA256/(1-(SUMIF($B$61:$B$70,RIGHT($D256,1),'IND2017'!AB$250:AB$259)*$AK256))</f>
        <v>0.8</v>
      </c>
      <c r="AE256" s="77">
        <f>$AA256/(1-(SUMIF($B$61:$B$70,RIGHT($D256,1),'IND2017'!AC$250:AC$259)*$AK256))</f>
        <v>0.8</v>
      </c>
      <c r="AF256" s="77">
        <f>$AA256/(1-(SUMIF($B$61:$B$70,RIGHT($D256,1),'IND2017'!AD$250:AD$259)*$AK256))</f>
        <v>0.8</v>
      </c>
      <c r="AG256" s="77">
        <f>$AA256/(1-(SUMIF($B$61:$B$70,RIGHT($D256,1),'IND2017'!AE$250:AE$259)*$AK256))</f>
        <v>0.8</v>
      </c>
      <c r="AI256">
        <f t="shared" si="159"/>
        <v>175</v>
      </c>
      <c r="AK256">
        <f>SUMIFS('PAMS central control panel'!$D$14:$D$22,'PAMS central control panel'!$C$14:$C$22,RIGHT(LEFT($D256,3),2))</f>
        <v>0</v>
      </c>
      <c r="AV256" s="13"/>
    </row>
    <row r="257" spans="1:48">
      <c r="A257" s="45" t="str">
        <f t="shared" si="173"/>
        <v>Industry-Other-Other motive - Electricity</v>
      </c>
      <c r="B257" s="45" t="str">
        <f t="shared" si="179"/>
        <v>IOTOELC-E</v>
      </c>
      <c r="C257" s="46" t="str">
        <f t="shared" si="174"/>
        <v>IOTELC</v>
      </c>
      <c r="D257" s="46" t="str">
        <f>$B$5&amp;RIGHT($B248,2)&amp;$B$68</f>
        <v>IOTO</v>
      </c>
      <c r="E257" s="58">
        <v>0.8</v>
      </c>
      <c r="F257" s="60">
        <f>SUMIF(AFA!$C$3:$L$3,RIGHT(D257,1),AFA!$C$4:$L$4)</f>
        <v>0.13081999999999999</v>
      </c>
      <c r="G257" s="59">
        <v>100</v>
      </c>
      <c r="H257" s="60">
        <f t="shared" si="178"/>
        <v>94.056649773053621</v>
      </c>
      <c r="J257" s="61">
        <v>1</v>
      </c>
      <c r="K257" s="60">
        <f t="shared" si="175"/>
        <v>15.457903169988535</v>
      </c>
      <c r="L257" s="60">
        <f t="shared" si="176"/>
        <v>12.304490923310874</v>
      </c>
      <c r="N257" s="2"/>
      <c r="P257" s="74" t="str">
        <f>""</f>
        <v/>
      </c>
      <c r="V257" s="74" t="str">
        <f>""</f>
        <v/>
      </c>
      <c r="AA257" s="76">
        <f t="shared" si="177"/>
        <v>0.8</v>
      </c>
      <c r="AB257" s="77">
        <f>$AA257/(1-(SUMIF($B$61:$B$70,RIGHT($D257,1),'IND2017'!Z$250:Z$259)*$AK257))</f>
        <v>0.8</v>
      </c>
      <c r="AC257" s="77">
        <f>$AA257/(1-(SUMIF($B$61:$B$70,RIGHT($D257,1),'IND2017'!AA$250:AA$259)*$AK257))</f>
        <v>0.8</v>
      </c>
      <c r="AD257" s="77">
        <f>$AA257/(1-(SUMIF($B$61:$B$70,RIGHT($D257,1),'IND2017'!AB$250:AB$259)*$AK257))</f>
        <v>0.8</v>
      </c>
      <c r="AE257" s="77">
        <f>$AA257/(1-(SUMIF($B$61:$B$70,RIGHT($D257,1),'IND2017'!AC$250:AC$259)*$AK257))</f>
        <v>0.8</v>
      </c>
      <c r="AF257" s="77">
        <f>$AA257/(1-(SUMIF($B$61:$B$70,RIGHT($D257,1),'IND2017'!AD$250:AD$259)*$AK257))</f>
        <v>0.8</v>
      </c>
      <c r="AG257" s="77">
        <f>$AA257/(1-(SUMIF($B$61:$B$70,RIGHT($D257,1),'IND2017'!AE$250:AE$259)*$AK257))</f>
        <v>0.8</v>
      </c>
      <c r="AI257">
        <f t="shared" si="159"/>
        <v>176</v>
      </c>
      <c r="AK257">
        <f>SUMIFS('PAMS central control panel'!$D$14:$D$22,'PAMS central control panel'!$C$14:$C$22,RIGHT(LEFT($D257,3),2))</f>
        <v>0</v>
      </c>
      <c r="AV257" s="13"/>
    </row>
    <row r="258" spans="1:48">
      <c r="A258" s="45" t="str">
        <f t="shared" si="173"/>
        <v>Industry-Other-Electrochemical - Electricity</v>
      </c>
      <c r="B258" s="45" t="str">
        <f t="shared" si="179"/>
        <v>IOTEELC-E</v>
      </c>
      <c r="C258" s="46" t="str">
        <f t="shared" si="174"/>
        <v>IOTELC</v>
      </c>
      <c r="D258" s="46" t="str">
        <f>$B$5&amp;RIGHT($B248,2)&amp;$B$69</f>
        <v>IOTE</v>
      </c>
      <c r="E258" s="58">
        <v>0.76</v>
      </c>
      <c r="F258" s="60">
        <f>SUMIF(AFA!$C$3:$L$3,RIGHT(D258,1),AFA!$C$4:$L$4)</f>
        <v>0.13233</v>
      </c>
      <c r="G258" s="59">
        <v>100</v>
      </c>
      <c r="H258" s="60">
        <f>L258/F258</f>
        <v>3.1182698001584597</v>
      </c>
      <c r="J258" s="61">
        <v>1</v>
      </c>
      <c r="K258" s="60">
        <f t="shared" si="175"/>
        <v>0.5456765970047196</v>
      </c>
      <c r="L258" s="60">
        <f t="shared" si="176"/>
        <v>0.41264064265496897</v>
      </c>
      <c r="N258" s="2"/>
      <c r="P258" s="74" t="str">
        <f>""</f>
        <v/>
      </c>
      <c r="V258" s="74" t="str">
        <f>""</f>
        <v/>
      </c>
      <c r="AA258" s="76">
        <f t="shared" si="177"/>
        <v>0.76</v>
      </c>
      <c r="AB258" s="77">
        <f>$AA258/(1-(SUMIF($B$61:$B$70,RIGHT($D258,1),'IND2017'!Z$250:Z$259)*$AK258))</f>
        <v>0.76</v>
      </c>
      <c r="AC258" s="77">
        <f>$AA258/(1-(SUMIF($B$61:$B$70,RIGHT($D258,1),'IND2017'!AA$250:AA$259)*$AK258))</f>
        <v>0.76</v>
      </c>
      <c r="AD258" s="77">
        <f>$AA258/(1-(SUMIF($B$61:$B$70,RIGHT($D258,1),'IND2017'!AB$250:AB$259)*$AK258))</f>
        <v>0.76</v>
      </c>
      <c r="AE258" s="77">
        <f>$AA258/(1-(SUMIF($B$61:$B$70,RIGHT($D258,1),'IND2017'!AC$250:AC$259)*$AK258))</f>
        <v>0.76</v>
      </c>
      <c r="AF258" s="77">
        <f>$AA258/(1-(SUMIF($B$61:$B$70,RIGHT($D258,1),'IND2017'!AD$250:AD$259)*$AK258))</f>
        <v>0.76</v>
      </c>
      <c r="AG258" s="77">
        <f>$AA258/(1-(SUMIF($B$61:$B$70,RIGHT($D258,1),'IND2017'!AE$250:AE$259)*$AK258))</f>
        <v>0.76</v>
      </c>
      <c r="AI258">
        <f t="shared" si="159"/>
        <v>177</v>
      </c>
      <c r="AK258">
        <f>SUMIFS('PAMS central control panel'!$D$14:$D$22,'PAMS central control panel'!$C$14:$C$22,RIGHT(LEFT($D258,3),2))</f>
        <v>0</v>
      </c>
      <c r="AV258" s="13"/>
    </row>
    <row r="259" spans="1:48">
      <c r="A259" s="45" t="str">
        <f>"\I:"&amp;A70</f>
        <v>\I:boiler/process heating</v>
      </c>
      <c r="B259" s="45"/>
      <c r="C259" s="46"/>
      <c r="D259" s="46" t="s">
        <v>336</v>
      </c>
      <c r="E259" s="58"/>
      <c r="F259" s="60">
        <f>SUMIF(AFA!$C$3:$L$3,RIGHT(D259,1),AFA!$C$4:$L$4)</f>
        <v>0</v>
      </c>
      <c r="G259" s="59"/>
      <c r="H259" s="60"/>
      <c r="J259" s="61"/>
      <c r="K259" s="60"/>
      <c r="L259" s="60"/>
      <c r="N259" s="2"/>
      <c r="P259" s="74" t="str">
        <f>""</f>
        <v/>
      </c>
      <c r="V259" s="74" t="str">
        <f>""</f>
        <v/>
      </c>
      <c r="AA259" s="74" t="str">
        <f>""</f>
        <v/>
      </c>
      <c r="AB259" s="77"/>
      <c r="AC259" s="77"/>
      <c r="AD259" s="77"/>
      <c r="AE259" s="77"/>
      <c r="AF259" s="77"/>
      <c r="AG259" s="77"/>
      <c r="AI259">
        <f t="shared" si="159"/>
        <v>178</v>
      </c>
      <c r="AK259">
        <f>SUMIFS('PAMS central control panel'!$D$14:$D$22,'PAMS central control panel'!$C$14:$C$22,RIGHT(LEFT($D259,3),2))</f>
        <v>0</v>
      </c>
      <c r="AV259" s="13"/>
    </row>
    <row r="260" spans="1:48">
      <c r="A260" s="45" t="str">
        <f>A$5&amp;"-"&amp;A$19&amp;"-"&amp;A$70&amp;" - "&amp;VLOOKUP(RIGHT(C260,3),NameConv!$E$4:$G$23,2,FALSE)&amp;" - Existing"</f>
        <v>Industry-Other-boiler/process heating -  - Existing</v>
      </c>
      <c r="B260" s="45" t="str">
        <f t="shared" ref="B260:B268" si="180">D260&amp;RIGHT(C260,3)&amp;"-E"</f>
        <v>IOTSCOA-E</v>
      </c>
      <c r="C260" s="46" t="str">
        <f>+$C$6</f>
        <v>INDCOA</v>
      </c>
      <c r="D260" s="46" t="str">
        <f>$B$5&amp;RIGHT($B248,2)&amp;$B$70</f>
        <v>IOTS</v>
      </c>
      <c r="E260" s="58">
        <v>0.64</v>
      </c>
      <c r="F260" s="60">
        <f>SUMIF(AFA!$C$3:$L$3,RIGHT(D260,1),AFA!$C$4:$L$4)</f>
        <v>0.15426999999999999</v>
      </c>
      <c r="G260" s="59">
        <v>100</v>
      </c>
      <c r="H260" s="60">
        <f t="shared" ref="H260:H268" si="181">L260/F260</f>
        <v>326.25975570104367</v>
      </c>
      <c r="J260" s="61">
        <v>1</v>
      </c>
      <c r="K260" s="60">
        <f>J260*INDEX($C$10:$L$19,MATCH($B$248,$B$10:$B$19,0),MATCH($B$6&amp;RIGHT(C260,3),$C$6:$L$6,0))</f>
        <v>79.039090000000002</v>
      </c>
      <c r="L260" s="60">
        <f t="shared" ref="L260:L268" si="182">K260*E260*(1-$L$77)</f>
        <v>50.332092512000003</v>
      </c>
      <c r="N260" s="2"/>
      <c r="P260" s="78">
        <f t="shared" ref="P260:P269" si="183">L260/SUMIF($D$81:$D$268,$D260,$L$81:$L$268)</f>
        <v>0.68302021588208817</v>
      </c>
      <c r="Q260" s="77">
        <f>'IND2017'!N179</f>
        <v>0.94916610378800759</v>
      </c>
      <c r="R260" s="168">
        <f>Q260</f>
        <v>0.94916610378800759</v>
      </c>
      <c r="S260" s="168">
        <f>R260</f>
        <v>0.94916610378800759</v>
      </c>
      <c r="T260" s="168">
        <f>S260</f>
        <v>0.94916610378800759</v>
      </c>
      <c r="V260" s="76">
        <f t="shared" ref="V260:V268" si="184">P260</f>
        <v>0.68302021588208817</v>
      </c>
      <c r="W260" s="77">
        <f t="shared" ref="W260:Y269" si="185">$Q260*W$75</f>
        <v>0.93967444275012746</v>
      </c>
      <c r="X260" s="77">
        <f t="shared" si="185"/>
        <v>0</v>
      </c>
      <c r="Y260" s="77">
        <f t="shared" si="185"/>
        <v>0</v>
      </c>
      <c r="AA260" s="76">
        <f t="shared" ref="AA260:AA268" si="186">E260</f>
        <v>0.64</v>
      </c>
      <c r="AB260" s="77">
        <f>$AA260/(1-(SUMIF($B$61:$B$70,RIGHT($D260,1),'IND2017'!Z$250:Z$259)*$AK260))</f>
        <v>0.64</v>
      </c>
      <c r="AC260" s="77">
        <f>$AA260/(1-(SUMIF($B$61:$B$70,RIGHT($D260,1),'IND2017'!AA$250:AA$259)*$AK260))</f>
        <v>0.64</v>
      </c>
      <c r="AD260" s="77">
        <f>$AA260/(1-(SUMIF($B$61:$B$70,RIGHT($D260,1),'IND2017'!AB$250:AB$259)*$AK260))</f>
        <v>0.64</v>
      </c>
      <c r="AE260" s="77">
        <f>$AA260/(1-(SUMIF($B$61:$B$70,RIGHT($D260,1),'IND2017'!AC$250:AC$259)*$AK260))</f>
        <v>0.64</v>
      </c>
      <c r="AF260" s="77">
        <f>$AA260/(1-(SUMIF($B$61:$B$70,RIGHT($D260,1),'IND2017'!AD$250:AD$259)*$AK260))</f>
        <v>0.64</v>
      </c>
      <c r="AG260" s="77">
        <f>$AA260/(1-(SUMIF($B$61:$B$70,RIGHT($D260,1),'IND2017'!AE$250:AE$259)*$AK260))</f>
        <v>0.64</v>
      </c>
      <c r="AI260">
        <f t="shared" si="159"/>
        <v>179</v>
      </c>
      <c r="AK260">
        <f>SUMIFS('PAMS central control panel'!$D$14:$D$22,'PAMS central control panel'!$C$14:$C$22,RIGHT(LEFT($D260,3),2))</f>
        <v>0</v>
      </c>
      <c r="AV260" s="13"/>
    </row>
    <row r="261" spans="1:48">
      <c r="A261" s="45" t="str">
        <f>A$5&amp;"-"&amp;A$19&amp;"-"&amp;A$70&amp;" - "&amp;VLOOKUP(RIGHT(C261,3),NameConv!$E$4:$G$23,2,FALSE)&amp;" - Existing"</f>
        <v>Industry-Other-boiler/process heating -  - Existing</v>
      </c>
      <c r="B261" s="45" t="str">
        <f t="shared" si="180"/>
        <v>IOTSGAS-E</v>
      </c>
      <c r="C261" s="46" t="str">
        <f>"I"&amp;B248&amp;"GAS"</f>
        <v>IOTGAS</v>
      </c>
      <c r="D261" s="46" t="str">
        <f>$B$5&amp;RIGHT($B248,2)&amp;$B$70</f>
        <v>IOTS</v>
      </c>
      <c r="E261" s="58">
        <v>0.72</v>
      </c>
      <c r="F261" s="60">
        <f>SUMIF(AFA!$C$3:$L$3,RIGHT(D261,1),AFA!$C$4:$L$4)</f>
        <v>0.15426999999999999</v>
      </c>
      <c r="G261" s="59">
        <v>100</v>
      </c>
      <c r="H261" s="60">
        <f t="shared" si="181"/>
        <v>59.315338043689628</v>
      </c>
      <c r="J261" s="61">
        <v>1</v>
      </c>
      <c r="K261" s="60">
        <f>J261*INDEX($C$10:$L$19,MATCH($B$248,$B$10:$B$19,0),MATCH($B$6&amp;RIGHT(C261,3),$C$6:$L$6,0))</f>
        <v>12.773</v>
      </c>
      <c r="L261" s="60">
        <f t="shared" si="182"/>
        <v>9.150577199999999</v>
      </c>
      <c r="N261" s="2"/>
      <c r="P261" s="78">
        <f t="shared" si="183"/>
        <v>0.12417582704513233</v>
      </c>
      <c r="Q261" s="77">
        <f>'IND2017'!N180</f>
        <v>4.8326786571260716E-2</v>
      </c>
      <c r="R261" s="77">
        <f t="shared" ref="R261:T269" si="187">MIN(1,$P261+R$75)</f>
        <v>0.6241758270451323</v>
      </c>
      <c r="S261" s="77">
        <f t="shared" si="187"/>
        <v>1</v>
      </c>
      <c r="T261" s="77">
        <f t="shared" si="187"/>
        <v>1</v>
      </c>
      <c r="V261" s="76">
        <f t="shared" si="184"/>
        <v>0.12417582704513233</v>
      </c>
      <c r="W261" s="77">
        <f t="shared" si="185"/>
        <v>4.7843518705548108E-2</v>
      </c>
      <c r="X261" s="77">
        <f t="shared" si="185"/>
        <v>0</v>
      </c>
      <c r="Y261" s="77">
        <f t="shared" si="185"/>
        <v>0</v>
      </c>
      <c r="AA261" s="76">
        <f t="shared" si="186"/>
        <v>0.72</v>
      </c>
      <c r="AB261" s="77">
        <f>$AA261/(1-(SUMIF($B$61:$B$70,RIGHT($D261,1),'IND2017'!Z$250:Z$259)*$AK261))</f>
        <v>0.72</v>
      </c>
      <c r="AC261" s="77">
        <f>$AA261/(1-(SUMIF($B$61:$B$70,RIGHT($D261,1),'IND2017'!AA$250:AA$259)*$AK261))</f>
        <v>0.72</v>
      </c>
      <c r="AD261" s="77">
        <f>$AA261/(1-(SUMIF($B$61:$B$70,RIGHT($D261,1),'IND2017'!AB$250:AB$259)*$AK261))</f>
        <v>0.72</v>
      </c>
      <c r="AE261" s="77">
        <f>$AA261/(1-(SUMIF($B$61:$B$70,RIGHT($D261,1),'IND2017'!AC$250:AC$259)*$AK261))</f>
        <v>0.72</v>
      </c>
      <c r="AF261" s="77">
        <f>$AA261/(1-(SUMIF($B$61:$B$70,RIGHT($D261,1),'IND2017'!AD$250:AD$259)*$AK261))</f>
        <v>0.72</v>
      </c>
      <c r="AG261" s="77">
        <f>$AA261/(1-(SUMIF($B$61:$B$70,RIGHT($D261,1),'IND2017'!AE$250:AE$259)*$AK261))</f>
        <v>0.72</v>
      </c>
      <c r="AI261">
        <f t="shared" si="159"/>
        <v>180</v>
      </c>
      <c r="AK261">
        <f>SUMIFS('PAMS central control panel'!$D$14:$D$22,'PAMS central control panel'!$C$14:$C$22,RIGHT(LEFT($D261,3),2))</f>
        <v>0</v>
      </c>
      <c r="AV261" s="13"/>
    </row>
    <row r="262" spans="1:48">
      <c r="A262" s="45" t="str">
        <f>A$5&amp;"-"&amp;A$19&amp;"-"&amp;A$70&amp;" - "&amp;VLOOKUP(RIGHT(C262,3),NameConv!$E$4:$G$23,2,FALSE)&amp;" - Existing"</f>
        <v>Industry-Other-boiler/process heating -  - Existing</v>
      </c>
      <c r="B262" s="45" t="str">
        <f t="shared" si="180"/>
        <v>IOTSOHF-E</v>
      </c>
      <c r="C262" s="46" t="str">
        <f>+$H$6</f>
        <v>INDOHF</v>
      </c>
      <c r="D262" s="46" t="str">
        <f>$B$5&amp;RIGHT($B248,2)&amp;$B$70</f>
        <v>IOTS</v>
      </c>
      <c r="E262" s="58">
        <v>0.68</v>
      </c>
      <c r="F262" s="60">
        <f>SUMIF(AFA!$C$3:$L$3,RIGHT(D262,1),AFA!$C$4:$L$4)</f>
        <v>0.15426999999999999</v>
      </c>
      <c r="G262" s="59">
        <v>100</v>
      </c>
      <c r="H262" s="60">
        <f t="shared" si="181"/>
        <v>54.581166238077081</v>
      </c>
      <c r="J262" s="61">
        <v>1</v>
      </c>
      <c r="K262" s="60">
        <f>J262*INDEX($C$10:$L$19,MATCH($B$248,$B$10:$B$19,0),MATCH($B$6&amp;RIGHT(C262,3),$C$6:$L$6,0))</f>
        <v>12.444925385084467</v>
      </c>
      <c r="L262" s="60">
        <f t="shared" si="182"/>
        <v>8.4202365155481509</v>
      </c>
      <c r="N262" s="2"/>
      <c r="P262" s="78">
        <f t="shared" si="183"/>
        <v>0.11426490486674601</v>
      </c>
      <c r="Q262" s="77">
        <f>'IND2017'!N181</f>
        <v>0</v>
      </c>
      <c r="R262" s="77">
        <f t="shared" si="187"/>
        <v>0.61426490486674601</v>
      </c>
      <c r="S262" s="77">
        <f t="shared" si="187"/>
        <v>1</v>
      </c>
      <c r="T262" s="77">
        <f t="shared" si="187"/>
        <v>1</v>
      </c>
      <c r="V262" s="76">
        <f t="shared" si="184"/>
        <v>0.11426490486674601</v>
      </c>
      <c r="W262" s="77">
        <f t="shared" si="185"/>
        <v>0</v>
      </c>
      <c r="X262" s="77">
        <f t="shared" si="185"/>
        <v>0</v>
      </c>
      <c r="Y262" s="77">
        <f t="shared" si="185"/>
        <v>0</v>
      </c>
      <c r="AA262" s="76">
        <f t="shared" si="186"/>
        <v>0.68</v>
      </c>
      <c r="AB262" s="77">
        <f>$AA262/(1-(SUMIF($B$61:$B$70,RIGHT($D262,1),'IND2017'!Z$250:Z$259)*$AK262))</f>
        <v>0.68</v>
      </c>
      <c r="AC262" s="77">
        <f>$AA262/(1-(SUMIF($B$61:$B$70,RIGHT($D262,1),'IND2017'!AA$250:AA$259)*$AK262))</f>
        <v>0.68</v>
      </c>
      <c r="AD262" s="77">
        <f>$AA262/(1-(SUMIF($B$61:$B$70,RIGHT($D262,1),'IND2017'!AB$250:AB$259)*$AK262))</f>
        <v>0.68</v>
      </c>
      <c r="AE262" s="77">
        <f>$AA262/(1-(SUMIF($B$61:$B$70,RIGHT($D262,1),'IND2017'!AC$250:AC$259)*$AK262))</f>
        <v>0.68</v>
      </c>
      <c r="AF262" s="77">
        <f>$AA262/(1-(SUMIF($B$61:$B$70,RIGHT($D262,1),'IND2017'!AD$250:AD$259)*$AK262))</f>
        <v>0.68</v>
      </c>
      <c r="AG262" s="77">
        <f>$AA262/(1-(SUMIF($B$61:$B$70,RIGHT($D262,1),'IND2017'!AE$250:AE$259)*$AK262))</f>
        <v>0.68</v>
      </c>
      <c r="AI262">
        <f t="shared" si="159"/>
        <v>181</v>
      </c>
      <c r="AK262">
        <f>SUMIFS('PAMS central control panel'!$D$14:$D$22,'PAMS central control panel'!$C$14:$C$22,RIGHT(LEFT($D262,3),2))</f>
        <v>0</v>
      </c>
      <c r="AV262" s="13"/>
    </row>
    <row r="263" spans="1:48">
      <c r="A263" s="45" t="str">
        <f>A$5&amp;"-"&amp;A$19&amp;"-"&amp;A$70&amp;" - "&amp;VLOOKUP(RIGHT(C263,3),NameConv!$E$4:$G$23,2,FALSE)&amp;" - Existing"</f>
        <v>Industry-Other-boiler/process heating -  - Existing</v>
      </c>
      <c r="B263" s="45" t="str">
        <f t="shared" si="180"/>
        <v>IOTSOLP-E</v>
      </c>
      <c r="C263" s="46" t="str">
        <f>+$I$6</f>
        <v>INDOLP</v>
      </c>
      <c r="D263" s="46" t="str">
        <f>$B$5&amp;RIGHT($B248,2)&amp;$B$70</f>
        <v>IOTS</v>
      </c>
      <c r="E263" s="58">
        <v>0.72</v>
      </c>
      <c r="F263" s="60">
        <f>SUMIF(AFA!$C$3:$L$3,RIGHT(D263,1),AFA!$C$4:$L$4)</f>
        <v>0.15426999999999999</v>
      </c>
      <c r="G263" s="59">
        <v>100</v>
      </c>
      <c r="H263" s="60">
        <f t="shared" si="181"/>
        <v>35.461546175415535</v>
      </c>
      <c r="J263" s="61">
        <v>1</v>
      </c>
      <c r="K263" s="60">
        <f>J263*INDEX($C$10:$L$19,MATCH($B$248,$B$10:$B$19,0),MATCH($B$6&amp;RIGHT(C263,3),$C$6:$L$6,0))</f>
        <v>7.636310341263755</v>
      </c>
      <c r="L263" s="60">
        <f t="shared" si="182"/>
        <v>5.4706527284813538</v>
      </c>
      <c r="N263" s="2"/>
      <c r="P263" s="78">
        <f t="shared" si="183"/>
        <v>7.4238248821711705E-2</v>
      </c>
      <c r="Q263" s="77">
        <f>'IND2017'!N182</f>
        <v>0</v>
      </c>
      <c r="R263" s="77">
        <f t="shared" si="187"/>
        <v>0.57423824882171171</v>
      </c>
      <c r="S263" s="77">
        <f t="shared" si="187"/>
        <v>1</v>
      </c>
      <c r="T263" s="77">
        <f t="shared" si="187"/>
        <v>1</v>
      </c>
      <c r="V263" s="76">
        <f t="shared" si="184"/>
        <v>7.4238248821711705E-2</v>
      </c>
      <c r="W263" s="77">
        <f t="shared" si="185"/>
        <v>0</v>
      </c>
      <c r="X263" s="77">
        <f t="shared" si="185"/>
        <v>0</v>
      </c>
      <c r="Y263" s="77">
        <f t="shared" si="185"/>
        <v>0</v>
      </c>
      <c r="AA263" s="76">
        <f t="shared" si="186"/>
        <v>0.72</v>
      </c>
      <c r="AB263" s="77">
        <f>$AA263/(1-(SUMIF($B$61:$B$70,RIGHT($D263,1),'IND2017'!Z$250:Z$259)*$AK263))</f>
        <v>0.72</v>
      </c>
      <c r="AC263" s="77">
        <f>$AA263/(1-(SUMIF($B$61:$B$70,RIGHT($D263,1),'IND2017'!AA$250:AA$259)*$AK263))</f>
        <v>0.72</v>
      </c>
      <c r="AD263" s="77">
        <f>$AA263/(1-(SUMIF($B$61:$B$70,RIGHT($D263,1),'IND2017'!AB$250:AB$259)*$AK263))</f>
        <v>0.72</v>
      </c>
      <c r="AE263" s="77">
        <f>$AA263/(1-(SUMIF($B$61:$B$70,RIGHT($D263,1),'IND2017'!AC$250:AC$259)*$AK263))</f>
        <v>0.72</v>
      </c>
      <c r="AF263" s="77">
        <f>$AA263/(1-(SUMIF($B$61:$B$70,RIGHT($D263,1),'IND2017'!AD$250:AD$259)*$AK263))</f>
        <v>0.72</v>
      </c>
      <c r="AG263" s="77">
        <f>$AA263/(1-(SUMIF($B$61:$B$70,RIGHT($D263,1),'IND2017'!AE$250:AE$259)*$AK263))</f>
        <v>0.72</v>
      </c>
      <c r="AI263">
        <f t="shared" si="159"/>
        <v>182</v>
      </c>
      <c r="AK263">
        <f>SUMIFS('PAMS central control panel'!$D$14:$D$22,'PAMS central control panel'!$C$14:$C$22,RIGHT(LEFT($D263,3),2))</f>
        <v>0</v>
      </c>
      <c r="AV263" s="13"/>
    </row>
    <row r="264" spans="1:48" ht="15">
      <c r="A264" s="45" t="str">
        <f>A$5&amp;"-"&amp;A$19&amp;"-"&amp;A$70&amp;" - "&amp;VLOOKUP(RIGHT(C264,3),NameConv!$E$4:$G$23,2,FALSE)&amp;" - Existing"</f>
        <v>Industry-Other-boiler/process heating -  - Existing</v>
      </c>
      <c r="B264" s="45" t="str">
        <f t="shared" si="180"/>
        <v>IOTSELC-E</v>
      </c>
      <c r="C264" s="46" t="str">
        <f>$P$18</f>
        <v>IOTELC</v>
      </c>
      <c r="D264" s="46" t="str">
        <f>$B$5&amp;RIGHT($B248,2)&amp;$B$70</f>
        <v>IOTS</v>
      </c>
      <c r="E264" s="58">
        <v>0.76</v>
      </c>
      <c r="F264" s="60">
        <f>SUMIF(AFA!$C$3:$L$3,RIGHT(D264,1),AFA!$C$4:$L$4)</f>
        <v>0.15426999999999999</v>
      </c>
      <c r="G264" s="59">
        <v>100</v>
      </c>
      <c r="H264" s="60">
        <f t="shared" si="181"/>
        <v>2.0543741295781563</v>
      </c>
      <c r="J264" s="61">
        <v>1</v>
      </c>
      <c r="K264" s="60">
        <f>J264*INDEX($C$70:$K$70,MATCH($B248,$C$60:$K$60,0))</f>
        <v>0.41910644931238061</v>
      </c>
      <c r="L264" s="60">
        <f t="shared" si="182"/>
        <v>0.31692829697002217</v>
      </c>
      <c r="N264" s="2"/>
      <c r="P264" s="78">
        <f t="shared" si="183"/>
        <v>4.3008033843217911E-3</v>
      </c>
      <c r="Q264" s="77">
        <f>'IND2017'!N183</f>
        <v>2.5071096407316648E-3</v>
      </c>
      <c r="R264" s="216">
        <v>0.1</v>
      </c>
      <c r="S264" s="216">
        <f>90%-S265</f>
        <v>0.30000000000000004</v>
      </c>
      <c r="T264" s="216">
        <f>90%-T265</f>
        <v>0.30000000000000004</v>
      </c>
      <c r="V264" s="76">
        <f t="shared" si="184"/>
        <v>4.3008033843217911E-3</v>
      </c>
      <c r="W264" s="77">
        <f t="shared" si="185"/>
        <v>2.482038544324348E-3</v>
      </c>
      <c r="X264" s="77">
        <f t="shared" si="185"/>
        <v>0</v>
      </c>
      <c r="Y264" s="77">
        <f t="shared" si="185"/>
        <v>0</v>
      </c>
      <c r="AA264" s="76">
        <f t="shared" si="186"/>
        <v>0.76</v>
      </c>
      <c r="AB264" s="77">
        <f>$AA264/(1-(SUMIF($B$61:$B$70,RIGHT($D264,1),'IND2017'!Z$250:Z$259)*$AK264))</f>
        <v>0.76</v>
      </c>
      <c r="AC264" s="77">
        <f>$AA264/(1-(SUMIF($B$61:$B$70,RIGHT($D264,1),'IND2017'!AA$250:AA$259)*$AK264))</f>
        <v>0.76</v>
      </c>
      <c r="AD264" s="77">
        <f>$AA264/(1-(SUMIF($B$61:$B$70,RIGHT($D264,1),'IND2017'!AB$250:AB$259)*$AK264))</f>
        <v>0.76</v>
      </c>
      <c r="AE264" s="77">
        <f>$AA264/(1-(SUMIF($B$61:$B$70,RIGHT($D264,1),'IND2017'!AC$250:AC$259)*$AK264))</f>
        <v>0.76</v>
      </c>
      <c r="AF264" s="77">
        <f>$AA264/(1-(SUMIF($B$61:$B$70,RIGHT($D264,1),'IND2017'!AD$250:AD$259)*$AK264))</f>
        <v>0.76</v>
      </c>
      <c r="AG264" s="77">
        <f>$AA264/(1-(SUMIF($B$61:$B$70,RIGHT($D264,1),'IND2017'!AE$250:AE$259)*$AK264))</f>
        <v>0.76</v>
      </c>
      <c r="AI264">
        <f t="shared" si="159"/>
        <v>183</v>
      </c>
      <c r="AK264">
        <f>SUMIFS('PAMS central control panel'!$D$14:$D$22,'PAMS central control panel'!$C$14:$C$22,RIGHT(LEFT($D264,3),2))</f>
        <v>0</v>
      </c>
      <c r="AV264" s="13"/>
    </row>
    <row r="265" spans="1:48" ht="15">
      <c r="A265" s="45" t="str">
        <f>A$5&amp;"-"&amp;A$19&amp;"-"&amp;A$70&amp;" - "&amp;VLOOKUP(RIGHT(C265,3),NameConv!$E$4:$G$23,2,FALSE)&amp;" - Heat Pump New"</f>
        <v>Industry-Other-boiler/process heating -  - Heat Pump New</v>
      </c>
      <c r="B265" s="45" t="str">
        <f>D265&amp;RIGHT(C265,3)&amp;"-N"</f>
        <v>IOTSELC-N</v>
      </c>
      <c r="C265" s="46" t="str">
        <f>$P$18</f>
        <v>IOTELC</v>
      </c>
      <c r="D265" s="46" t="str">
        <f>$B$5&amp;RIGHT($B248,2)&amp;$B$70</f>
        <v>IOTS</v>
      </c>
      <c r="E265" s="58">
        <f>E223</f>
        <v>3.34</v>
      </c>
      <c r="F265" s="60">
        <f>SUMIF(AFA!$C$3:$L$3,RIGHT(D265,1),AFA!$C$4:$L$4)</f>
        <v>0.15426999999999999</v>
      </c>
      <c r="G265" s="59">
        <v>100</v>
      </c>
      <c r="H265" s="60">
        <v>0</v>
      </c>
      <c r="J265" s="61">
        <v>1</v>
      </c>
      <c r="K265" s="60">
        <v>0</v>
      </c>
      <c r="L265" s="60">
        <f>K265*E265*(1-$L$77)</f>
        <v>0</v>
      </c>
      <c r="N265" s="2"/>
      <c r="P265" s="78">
        <f>L265/SUMIF($D$81:$D$268,$D265,$L$81:$L$268)</f>
        <v>0</v>
      </c>
      <c r="Q265" s="77">
        <f>'IND2017'!N184</f>
        <v>0</v>
      </c>
      <c r="R265" s="216">
        <v>0.02</v>
      </c>
      <c r="S265" s="216">
        <v>0.6</v>
      </c>
      <c r="T265" s="216">
        <v>0.6</v>
      </c>
      <c r="V265" s="76">
        <f>P265</f>
        <v>0</v>
      </c>
      <c r="W265" s="77">
        <f t="shared" si="185"/>
        <v>0</v>
      </c>
      <c r="X265" s="77">
        <f t="shared" si="185"/>
        <v>0</v>
      </c>
      <c r="Y265" s="77">
        <f t="shared" si="185"/>
        <v>0</v>
      </c>
      <c r="AA265" s="76">
        <f>E265</f>
        <v>3.34</v>
      </c>
      <c r="AB265" s="77">
        <f>$AA265/(1-(SUMIF($B$61:$B$70,RIGHT($D265,1),'IND2017'!Z$250:Z$259)*$AK265))</f>
        <v>3.34</v>
      </c>
      <c r="AC265" s="77">
        <f>$AA265/(1-(SUMIF($B$61:$B$70,RIGHT($D265,1),'IND2017'!AA$250:AA$259)*$AK265))</f>
        <v>3.34</v>
      </c>
      <c r="AD265" s="77">
        <f>$AA265/(1-(SUMIF($B$61:$B$70,RIGHT($D265,1),'IND2017'!AB$250:AB$259)*$AK265))</f>
        <v>3.34</v>
      </c>
      <c r="AE265" s="77">
        <f>$AA265/(1-(SUMIF($B$61:$B$70,RIGHT($D265,1),'IND2017'!AC$250:AC$259)*$AK265))</f>
        <v>3.34</v>
      </c>
      <c r="AF265" s="77">
        <f>$AA265/(1-(SUMIF($B$61:$B$70,RIGHT($D265,1),'IND2017'!AD$250:AD$259)*$AK265))</f>
        <v>3.34</v>
      </c>
      <c r="AG265" s="77">
        <f>$AA265/(1-(SUMIF($B$61:$B$70,RIGHT($D265,1),'IND2017'!AE$250:AE$259)*$AK265))</f>
        <v>3.34</v>
      </c>
      <c r="AI265">
        <f t="shared" si="159"/>
        <v>184</v>
      </c>
      <c r="AK265">
        <f>SUMIFS('PAMS central control panel'!$D$14:$D$22,'PAMS central control panel'!$C$14:$C$22,RIGHT(LEFT($D265,3),2))</f>
        <v>0</v>
      </c>
      <c r="AV265" s="13"/>
    </row>
    <row r="266" spans="1:48">
      <c r="A266" s="45" t="s">
        <v>472</v>
      </c>
      <c r="B266" s="45" t="str">
        <f t="shared" si="180"/>
        <v>IOTSHGN-E</v>
      </c>
      <c r="C266" s="46" t="s">
        <v>467</v>
      </c>
      <c r="D266" s="46" t="str">
        <f>$B$5&amp;RIGHT($B248,2)&amp;$B$70</f>
        <v>IOTS</v>
      </c>
      <c r="E266" s="58">
        <f>E224</f>
        <v>0.76</v>
      </c>
      <c r="F266" s="60">
        <f>SUMIF(AFA!$C$3:$L$3,RIGHT(D266,1),AFA!$C$4:$L$4)</f>
        <v>0.15426999999999999</v>
      </c>
      <c r="G266" s="59">
        <v>100</v>
      </c>
      <c r="H266" s="60">
        <v>0</v>
      </c>
      <c r="J266" s="61">
        <v>1</v>
      </c>
      <c r="K266" s="60">
        <v>0</v>
      </c>
      <c r="L266" s="60">
        <f>K266*E266*(1-$L$77)</f>
        <v>0</v>
      </c>
      <c r="N266" s="2"/>
      <c r="P266" s="78">
        <f>L266/SUMIF($D$81:$D$268,$D266,$L$81:$L$268)</f>
        <v>0</v>
      </c>
      <c r="Q266" s="77">
        <f>'IND2017'!N185</f>
        <v>0</v>
      </c>
      <c r="R266" s="77">
        <v>0</v>
      </c>
      <c r="S266" s="77">
        <f t="shared" si="187"/>
        <v>1</v>
      </c>
      <c r="T266" s="77">
        <f t="shared" si="187"/>
        <v>1</v>
      </c>
      <c r="V266" s="76">
        <f>P266</f>
        <v>0</v>
      </c>
      <c r="W266" s="77">
        <f t="shared" si="185"/>
        <v>0</v>
      </c>
      <c r="X266" s="77">
        <f t="shared" si="185"/>
        <v>0</v>
      </c>
      <c r="Y266" s="77">
        <f t="shared" si="185"/>
        <v>0</v>
      </c>
      <c r="AA266" s="76">
        <f>E266</f>
        <v>0.76</v>
      </c>
      <c r="AB266" s="77">
        <f>$AA266/(1-(SUMIF($B$61:$B$70,RIGHT($D266,1),'IND2017'!Z$250:Z$259)*$AK266))</f>
        <v>0.76</v>
      </c>
      <c r="AC266" s="77">
        <f>$AA266/(1-(SUMIF($B$61:$B$70,RIGHT($D266,1),'IND2017'!AA$250:AA$259)*$AK266))</f>
        <v>0.76</v>
      </c>
      <c r="AD266" s="77">
        <f>$AA266/(1-(SUMIF($B$61:$B$70,RIGHT($D266,1),'IND2017'!AB$250:AB$259)*$AK266))</f>
        <v>0.76</v>
      </c>
      <c r="AE266" s="77">
        <f>$AA266/(1-(SUMIF($B$61:$B$70,RIGHT($D266,1),'IND2017'!AC$250:AC$259)*$AK266))</f>
        <v>0.76</v>
      </c>
      <c r="AF266" s="77">
        <f>$AA266/(1-(SUMIF($B$61:$B$70,RIGHT($D266,1),'IND2017'!AD$250:AD$259)*$AK266))</f>
        <v>0.76</v>
      </c>
      <c r="AG266" s="77">
        <f>$AA266/(1-(SUMIF($B$61:$B$70,RIGHT($D266,1),'IND2017'!AE$250:AE$259)*$AK266))</f>
        <v>0.76</v>
      </c>
      <c r="AI266">
        <f t="shared" si="159"/>
        <v>185</v>
      </c>
      <c r="AK266">
        <f>SUMIFS('PAMS central control panel'!$D$14:$D$22,'PAMS central control panel'!$C$14:$C$22,RIGHT(LEFT($D266,3),2))</f>
        <v>0</v>
      </c>
      <c r="AV266" s="13"/>
    </row>
    <row r="267" spans="1:48">
      <c r="A267" s="45" t="str">
        <f>A$5&amp;"-"&amp;A$19&amp;"-"&amp;A$70&amp;" - "&amp;VLOOKUP(RIGHT(C267,3),NameConv!$E$4:$G$23,2,FALSE)&amp;" - Existing"</f>
        <v>Industry-Other-boiler/process heating -  - Existing</v>
      </c>
      <c r="B267" s="45" t="str">
        <f>D267&amp;RIGHT(C267,3)&amp;"-E"</f>
        <v>IOTSWAS-E</v>
      </c>
      <c r="C267" s="46" t="str">
        <f>$L$6</f>
        <v>INDWAS</v>
      </c>
      <c r="D267" s="46" t="str">
        <f>$B$5&amp;RIGHT($B$248,2)&amp;$B$40</f>
        <v>IOTS</v>
      </c>
      <c r="E267" s="58">
        <v>0.6</v>
      </c>
      <c r="F267" s="60">
        <f>SUMIF(AFA!$C$3:$L$3,RIGHT(D267,1),AFA!$C$4:$L$4)</f>
        <v>0.15426999999999999</v>
      </c>
      <c r="G267" s="59">
        <v>100</v>
      </c>
      <c r="H267" s="60">
        <f t="shared" si="181"/>
        <v>0</v>
      </c>
      <c r="J267" s="61">
        <v>1</v>
      </c>
      <c r="K267" s="60">
        <f>J267*INDEX($C$10:$L$19,MATCH($B$248,$B$10:$B$19,0),MATCH($B$6&amp;RIGHT(C267,3),$C$6:$L$6,0))</f>
        <v>0</v>
      </c>
      <c r="L267" s="60">
        <f t="shared" si="182"/>
        <v>0</v>
      </c>
      <c r="P267" s="78">
        <f t="shared" si="183"/>
        <v>0</v>
      </c>
      <c r="Q267" s="77">
        <f>'IND2017'!N186</f>
        <v>0</v>
      </c>
      <c r="R267" s="77">
        <v>0</v>
      </c>
      <c r="S267" s="77">
        <f>'IND2017'!P186</f>
        <v>1</v>
      </c>
      <c r="T267" s="77">
        <f>'IND2017'!Q186</f>
        <v>1</v>
      </c>
      <c r="V267" s="76">
        <f t="shared" si="184"/>
        <v>0</v>
      </c>
      <c r="W267" s="77">
        <f t="shared" si="185"/>
        <v>0</v>
      </c>
      <c r="X267" s="77">
        <f t="shared" si="185"/>
        <v>0</v>
      </c>
      <c r="Y267" s="77">
        <f t="shared" si="185"/>
        <v>0</v>
      </c>
      <c r="AA267" s="76">
        <f t="shared" si="186"/>
        <v>0.6</v>
      </c>
      <c r="AB267" s="77">
        <f>$AA267/(1-(SUMIF($B$61:$B$70,RIGHT($D267,1),'IND2017'!Z$250:Z$259)*$AK267))</f>
        <v>0.6</v>
      </c>
      <c r="AC267" s="77">
        <f>$AA267/(1-(SUMIF($B$61:$B$70,RIGHT($D267,1),'IND2017'!AA$250:AA$259)*$AK267))</f>
        <v>0.6</v>
      </c>
      <c r="AD267" s="77">
        <f>$AA267/(1-(SUMIF($B$61:$B$70,RIGHT($D267,1),'IND2017'!AB$250:AB$259)*$AK267))</f>
        <v>0.6</v>
      </c>
      <c r="AE267" s="77">
        <f>$AA267/(1-(SUMIF($B$61:$B$70,RIGHT($D267,1),'IND2017'!AC$250:AC$259)*$AK267))</f>
        <v>0.6</v>
      </c>
      <c r="AF267" s="77">
        <f>$AA267/(1-(SUMIF($B$61:$B$70,RIGHT($D267,1),'IND2017'!AD$250:AD$259)*$AK267))</f>
        <v>0.6</v>
      </c>
      <c r="AG267" s="77">
        <f>$AA267/(1-(SUMIF($B$61:$B$70,RIGHT($D267,1),'IND2017'!AE$250:AE$259)*$AK267))</f>
        <v>0.6</v>
      </c>
      <c r="AI267">
        <f t="shared" si="159"/>
        <v>186</v>
      </c>
      <c r="AK267">
        <f>SUMIFS('PAMS central control panel'!$D$14:$D$22,'PAMS central control panel'!$C$14:$C$22,RIGHT(LEFT($D267,3),2))</f>
        <v>0</v>
      </c>
      <c r="AV267" s="13"/>
    </row>
    <row r="268" spans="1:48">
      <c r="A268" s="45" t="str">
        <f>A$5&amp;"-"&amp;A$19&amp;"-"&amp;A$42&amp;" - "&amp;VLOOKUP(RIGHT(C268,3),NameConv!$E$4:$G$20,2,FALSE)&amp;" - Existing"</f>
        <v>Industry-Other-Transport -  - Existing</v>
      </c>
      <c r="B268" s="45" t="str">
        <f t="shared" si="180"/>
        <v>IOTRODS-E</v>
      </c>
      <c r="C268" s="46" t="str">
        <f>+$E$6</f>
        <v>INDODS</v>
      </c>
      <c r="D268" s="46" t="str">
        <f>$B$5&amp;RIGHT($B$248,2)&amp;$B$42</f>
        <v>IOTR</v>
      </c>
      <c r="E268" s="58">
        <v>1</v>
      </c>
      <c r="F268" s="60">
        <v>1</v>
      </c>
      <c r="G268" s="59">
        <v>100</v>
      </c>
      <c r="H268" s="60">
        <f t="shared" si="181"/>
        <v>9.4685659246785185</v>
      </c>
      <c r="J268" s="61">
        <v>1</v>
      </c>
      <c r="K268" s="60">
        <f>J268*INDEX($C$10:$L$19,MATCH($B$248,$B$10:$B$19,0),MATCH($B$6&amp;RIGHT(C268,3),$C$6:$L$6,0))</f>
        <v>9.5161466579683598</v>
      </c>
      <c r="L268" s="60">
        <f t="shared" si="182"/>
        <v>9.4685659246785185</v>
      </c>
      <c r="P268" s="78">
        <f t="shared" si="183"/>
        <v>1</v>
      </c>
      <c r="Q268" s="77">
        <f>'IND2017'!N187</f>
        <v>1</v>
      </c>
      <c r="R268" s="77">
        <f t="shared" si="187"/>
        <v>1</v>
      </c>
      <c r="S268" s="77">
        <f t="shared" si="187"/>
        <v>1</v>
      </c>
      <c r="T268" s="77">
        <f t="shared" si="187"/>
        <v>1</v>
      </c>
      <c r="V268" s="76">
        <f t="shared" si="184"/>
        <v>1</v>
      </c>
      <c r="W268" s="77">
        <f t="shared" si="185"/>
        <v>0.99</v>
      </c>
      <c r="X268" s="77">
        <f t="shared" si="185"/>
        <v>0</v>
      </c>
      <c r="Y268" s="77">
        <f t="shared" si="185"/>
        <v>0</v>
      </c>
      <c r="AA268" s="76">
        <f t="shared" si="186"/>
        <v>1</v>
      </c>
      <c r="AB268" s="77">
        <f>$AA268/(1-(SUMIF($B$61:$B$70,RIGHT($D268,1),'IND2017'!Z$250:Z$259)*$AK268))</f>
        <v>1</v>
      </c>
      <c r="AC268" s="77">
        <f>$AA268/(1-(SUMIF($B$61:$B$70,RIGHT($D268,1),'IND2017'!AA$250:AA$259)*$AK268))</f>
        <v>1</v>
      </c>
      <c r="AD268" s="77">
        <f>$AA268/(1-(SUMIF($B$61:$B$70,RIGHT($D268,1),'IND2017'!AB$250:AB$259)*$AK268))</f>
        <v>1</v>
      </c>
      <c r="AE268" s="77">
        <f>$AA268/(1-(SUMIF($B$61:$B$70,RIGHT($D268,1),'IND2017'!AC$250:AC$259)*$AK268))</f>
        <v>1</v>
      </c>
      <c r="AF268" s="77">
        <f>$AA268/(1-(SUMIF($B$61:$B$70,RIGHT($D268,1),'IND2017'!AD$250:AD$259)*$AK268))</f>
        <v>1</v>
      </c>
      <c r="AG268" s="77">
        <f>$AA268/(1-(SUMIF($B$61:$B$70,RIGHT($D268,1),'IND2017'!AE$250:AE$259)*$AK268))</f>
        <v>1</v>
      </c>
      <c r="AI268">
        <f t="shared" si="159"/>
        <v>187</v>
      </c>
      <c r="AK268">
        <f>SUMIFS('PAMS central control panel'!$D$14:$D$22,'PAMS central control panel'!$C$14:$C$22,RIGHT(LEFT($D268,3),2))</f>
        <v>0</v>
      </c>
      <c r="AV268" s="13"/>
    </row>
    <row r="269" spans="1:48">
      <c r="A269" s="45" t="str">
        <f>A$5&amp;"-"&amp;A$19&amp;"-"&amp;A$42&amp;" - "&amp;VLOOKUP(RIGHT(C269,3),NameConv!$E$4:$G$20,2,FALSE)&amp;" - New"</f>
        <v>Industry-Other-Transport -  - New</v>
      </c>
      <c r="B269" s="45" t="str">
        <f>D269&amp;RIGHT(C269,3)&amp;"-E"</f>
        <v>IOTRELC-E</v>
      </c>
      <c r="C269" s="46" t="str">
        <f>C264</f>
        <v>IOTELC</v>
      </c>
      <c r="D269" s="46" t="str">
        <f>$B$5&amp;RIGHT($B$248,2)&amp;$B$42</f>
        <v>IOTR</v>
      </c>
      <c r="E269" s="58">
        <v>1</v>
      </c>
      <c r="F269" s="60">
        <v>1</v>
      </c>
      <c r="G269" s="59">
        <v>100</v>
      </c>
      <c r="H269" s="60">
        <f>L269/F269</f>
        <v>0</v>
      </c>
      <c r="J269" s="61">
        <v>1</v>
      </c>
      <c r="K269" s="60">
        <v>0</v>
      </c>
      <c r="L269" s="60">
        <f>K269*E269*(1-$L$77)</f>
        <v>0</v>
      </c>
      <c r="P269" s="78">
        <f t="shared" si="183"/>
        <v>0</v>
      </c>
      <c r="Q269" s="77">
        <f>'IND2017'!N188</f>
        <v>0</v>
      </c>
      <c r="R269" s="77">
        <v>0</v>
      </c>
      <c r="S269" s="77">
        <f t="shared" si="187"/>
        <v>1</v>
      </c>
      <c r="T269" s="77">
        <f t="shared" si="187"/>
        <v>1</v>
      </c>
      <c r="V269" s="76">
        <f>P269</f>
        <v>0</v>
      </c>
      <c r="W269" s="77">
        <f t="shared" si="185"/>
        <v>0</v>
      </c>
      <c r="X269" s="77">
        <f t="shared" si="185"/>
        <v>0</v>
      </c>
      <c r="Y269" s="77">
        <f t="shared" si="185"/>
        <v>0</v>
      </c>
      <c r="AA269" s="76">
        <f>E269</f>
        <v>1</v>
      </c>
      <c r="AB269" s="77">
        <f>$AA269/(1-(SUMIF($B$61:$B$70,RIGHT($D269,1),'IND2017'!Z$250:Z$259)*$AK269))</f>
        <v>1</v>
      </c>
      <c r="AC269" s="77">
        <f>$AA269/(1-(SUMIF($B$61:$B$70,RIGHT($D269,1),'IND2017'!AA$250:AA$259)*$AK269))</f>
        <v>1</v>
      </c>
      <c r="AD269" s="77">
        <f>$AA269/(1-(SUMIF($B$61:$B$70,RIGHT($D269,1),'IND2017'!AB$250:AB$259)*$AK269))</f>
        <v>1</v>
      </c>
      <c r="AE269" s="77">
        <f>$AA269/(1-(SUMIF($B$61:$B$70,RIGHT($D269,1),'IND2017'!AC$250:AC$259)*$AK269))</f>
        <v>1</v>
      </c>
      <c r="AF269" s="77">
        <f>$AA269/(1-(SUMIF($B$61:$B$70,RIGHT($D269,1),'IND2017'!AD$250:AD$259)*$AK269))</f>
        <v>1</v>
      </c>
      <c r="AG269" s="77">
        <f>$AA269/(1-(SUMIF($B$61:$B$70,RIGHT($D269,1),'IND2017'!AE$250:AE$259)*$AK269))</f>
        <v>1</v>
      </c>
      <c r="AI269">
        <f t="shared" si="159"/>
        <v>188</v>
      </c>
      <c r="AK269">
        <f>SUMIFS('PAMS central control panel'!$D$14:$D$22,'PAMS central control panel'!$C$14:$C$22,RIGHT(LEFT($D269,3),2))</f>
        <v>0</v>
      </c>
      <c r="AV269" s="13"/>
    </row>
    <row r="270" spans="1:48">
      <c r="A270" t="s">
        <v>465</v>
      </c>
      <c r="L270" s="60"/>
      <c r="P270" s="74" t="str">
        <f>""</f>
        <v/>
      </c>
      <c r="V270" s="74" t="str">
        <f>""</f>
        <v/>
      </c>
      <c r="AI270">
        <f t="shared" si="159"/>
        <v>189</v>
      </c>
      <c r="AV270" s="13"/>
    </row>
    <row r="271" spans="1:48" s="82" customFormat="1" ht="15">
      <c r="B271" s="81"/>
      <c r="J271" s="82" t="s">
        <v>336</v>
      </c>
      <c r="K271" s="83">
        <f>ROW()-ROW(K81)</f>
        <v>190</v>
      </c>
      <c r="L271" s="82" t="e">
        <f>SUMPRODUCT(--(L81:L270&lt;&gt;""))</f>
        <v>#N/A</v>
      </c>
      <c r="AI271" s="82">
        <f>AI270+1</f>
        <v>190</v>
      </c>
    </row>
  </sheetData>
  <dataConsolidate link="1"/>
  <mergeCells count="1">
    <mergeCell ref="B1:D1"/>
  </mergeCells>
  <conditionalFormatting sqref="C10:L19">
    <cfRule type="expression" dxfId="4" priority="5">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63D6-3091-4168-BC25-54E1AD0679C2}">
  <sheetPr codeName="Sheet79">
    <tabColor theme="1"/>
    <pageSetUpPr autoPageBreaks="0"/>
  </sheetPr>
  <dimension ref="A1:AY273"/>
  <sheetViews>
    <sheetView tabSelected="1" topLeftCell="A64" zoomScale="115" zoomScaleNormal="115" workbookViewId="0">
      <selection activeCell="E82" sqref="E82:E83"/>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4" max="34" width="13.625" customWidth="1"/>
    <col min="35" max="35" width="12.5" customWidth="1"/>
    <col min="42" max="42" width="31.375" customWidth="1"/>
    <col min="49" max="49" width="10.25" customWidth="1"/>
  </cols>
  <sheetData>
    <row r="1" spans="1:29" s="2" customFormat="1" ht="15.75">
      <c r="A1" s="116" t="s">
        <v>375</v>
      </c>
      <c r="B1" s="280" t="s">
        <v>376</v>
      </c>
      <c r="C1" s="280"/>
      <c r="D1" s="280"/>
      <c r="E1" s="29">
        <v>2017</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ht="22.15" customHeight="1">
      <c r="A3" s="30"/>
      <c r="B3" s="30"/>
      <c r="C3" s="32" t="s">
        <v>378</v>
      </c>
      <c r="D3" s="32"/>
      <c r="E3" s="32"/>
      <c r="F3" s="32"/>
      <c r="G3" s="32"/>
      <c r="H3" s="32"/>
      <c r="I3" s="32"/>
      <c r="J3" s="32"/>
      <c r="K3" s="11"/>
      <c r="M3" s="2" t="s">
        <v>379</v>
      </c>
      <c r="N3" s="26" t="s">
        <v>380</v>
      </c>
      <c r="O3" s="2"/>
      <c r="P3" s="31"/>
      <c r="Q3" s="31"/>
      <c r="R3" s="31"/>
      <c r="S3" s="30"/>
    </row>
    <row r="4" spans="1:29" ht="22.15" customHeight="1">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22.15" customHeight="1">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+SUM(C10:C19)</f>
        <v>361.27599999999995</v>
      </c>
      <c r="D7" s="136">
        <f t="shared" ref="D7:L7" si="1">+SUM(D10:D19)</f>
        <v>75.917000000000002</v>
      </c>
      <c r="E7" s="136">
        <f t="shared" si="1"/>
        <v>29.606351025250525</v>
      </c>
      <c r="F7" s="136">
        <f t="shared" si="1"/>
        <v>285.92430016205014</v>
      </c>
      <c r="G7" s="136">
        <f t="shared" si="1"/>
        <v>55.905828857421881</v>
      </c>
      <c r="H7" s="136">
        <f t="shared" si="1"/>
        <v>10.428999999999998</v>
      </c>
      <c r="I7" s="136">
        <f t="shared" si="1"/>
        <v>3.0048572100000004</v>
      </c>
      <c r="J7" s="136">
        <f t="shared" si="1"/>
        <v>0</v>
      </c>
      <c r="K7" s="136">
        <f t="shared" si="1"/>
        <v>41</v>
      </c>
      <c r="L7" s="136">
        <f t="shared" si="1"/>
        <v>0</v>
      </c>
      <c r="M7" s="136">
        <f>SUM(C7:L7)</f>
        <v>863.06333725472246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473</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INDEX('2017 SATIM EB'!$C$31:$M$40,MATCH($A10,'2017 SATIM EB'!$B$31:$B$40,0),MATCH(C$5,'2017 SATIM EB'!$C$30:$M$30,0))</f>
        <v>38.149000000000001</v>
      </c>
      <c r="D10" s="152">
        <f>INDEX('2017 SATIM EB'!$C$31:$M$40,MATCH($A10,'2017 SATIM EB'!$B$31:$B$40,0),MATCH(D$5,'2017 SATIM EB'!$C$30:$M$30,0))</f>
        <v>0</v>
      </c>
      <c r="E10" s="152">
        <f>INDEX('2017 SATIM EB'!$C$31:$M$40,MATCH($A10,'2017 SATIM EB'!$B$31:$B$40,0),MATCH(E$5,'2017 SATIM EB'!$C$30:$M$30,0))</f>
        <v>25.406351025250526</v>
      </c>
      <c r="F10" s="152">
        <f>INDEX('2017 SATIM EB'!$C$31:$M$40,MATCH($A10,'2017 SATIM EB'!$B$31:$B$40,0),MATCH(F$5,'2017 SATIM EB'!$C$30:$M$30,0))</f>
        <v>77.41835799502266</v>
      </c>
      <c r="G10" s="197">
        <v>1</v>
      </c>
      <c r="H10" s="152">
        <f>INDEX('2017 SATIM EB'!$C$31:$M$40,MATCH($A10,'2017 SATIM EB'!$B$31:$B$40,0),MATCH(H$5,'2017 SATIM EB'!$C$30:$M$30,0))</f>
        <v>0</v>
      </c>
      <c r="I10" s="152">
        <f>INDEX('2017 SATIM EB'!$C$31:$M$40,MATCH($A10,'2017 SATIM EB'!$B$31:$B$40,0),MATCH(I$5,'2017 SATIM EB'!$C$30:$M$30,0))</f>
        <v>0.13585721000000001</v>
      </c>
      <c r="J10" s="152">
        <f>INDEX('2017 SATIM EB'!$C$31:$M$40,MATCH($A10,'2017 SATIM EB'!$B$31:$B$40,0),MATCH(J$5,'2017 SATIM EB'!$C$30:$M$30,0))</f>
        <v>0</v>
      </c>
      <c r="K10" s="152">
        <f>INDEX('2017 SATIM EB'!$C$31:$M$40,MATCH($A10,'2017 SATIM EB'!$B$31:$B$40,0),MATCH(K$5,'2017 SATIM EB'!$C$30:$M$30,0))</f>
        <v>0</v>
      </c>
      <c r="L10" s="153">
        <f>INDEX('2017 SATIM EB'!$C$31:$M$40,MATCH($A10,'2017 SATIM EB'!$B$31:$B$40,0),MATCH(L$5,'2017 SATIM EB'!$C$30:$M$30,0))</f>
        <v>0</v>
      </c>
      <c r="M10" s="114">
        <f>IND!M10</f>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1</v>
      </c>
      <c r="Y10">
        <f t="shared" ref="Y10:Y18" si="2">S10/$S$5*$Y$5</f>
        <v>164.63273734821703</v>
      </c>
      <c r="Z10" s="8">
        <f>-PMT(8%,60,Y10,0,1)</f>
        <v>12.316655071370345</v>
      </c>
      <c r="AA10">
        <f>SUMPRODUCT(Z10:Z18,X10:X18)/SUM(X10:X18)</f>
        <v>14.543791880942118</v>
      </c>
      <c r="AC10" s="182">
        <f>SUM(C10:K10)</f>
        <v>142.1095662302732</v>
      </c>
    </row>
    <row r="11" spans="1:29" ht="15">
      <c r="A11" s="131" t="str">
        <f>NameConv!D22</f>
        <v>Ferro Alloys</v>
      </c>
      <c r="B11" s="132" t="str">
        <f>VLOOKUP(A11,NameConv!D20:E28,2,FALSE)</f>
        <v>FA</v>
      </c>
      <c r="C11" s="137">
        <f>INDEX('2017 SATIM EB'!$C$31:$M$40,MATCH($A11,'2017 SATIM EB'!$B$31:$B$40,0),MATCH(C$5,'2017 SATIM EB'!$C$30:$M$30,0))</f>
        <v>71.117999999999995</v>
      </c>
      <c r="D11" s="137">
        <f>INDEX('2017 SATIM EB'!$C$31:$M$40,MATCH($A11,'2017 SATIM EB'!$B$31:$B$40,0),MATCH(D$5,'2017 SATIM EB'!$C$30:$M$30,0))</f>
        <v>46.088999999999999</v>
      </c>
      <c r="E11" s="137">
        <f>INDEX('2017 SATIM EB'!$C$31:$M$40,MATCH($A11,'2017 SATIM EB'!$B$31:$B$40,0),MATCH(E$5,'2017 SATIM EB'!$C$30:$M$30,0))</f>
        <v>0</v>
      </c>
      <c r="F11" s="137">
        <f>INDEX('2017 SATIM EB'!$C$31:$M$40,MATCH($A11,'2017 SATIM EB'!$B$31:$B$40,0),MATCH(F$5,'2017 SATIM EB'!$C$30:$M$30,0))</f>
        <v>51.899000000000001</v>
      </c>
      <c r="G11" s="137">
        <f>INDEX('2017 SATIM EB'!$C$31:$M$40,MATCH($A11,'2017 SATIM EB'!$B$31:$B$40,0),MATCH(G$5,'2017 SATIM EB'!$C$30:$M$30,0))</f>
        <v>0</v>
      </c>
      <c r="H11" s="137">
        <f>INDEX('2017 SATIM EB'!$C$31:$M$40,MATCH($A11,'2017 SATIM EB'!$B$31:$B$40,0),MATCH(H$5,'2017 SATIM EB'!$C$30:$M$30,0))</f>
        <v>0</v>
      </c>
      <c r="I11" s="137">
        <f>INDEX('2017 SATIM EB'!$C$31:$M$40,MATCH($A11,'2017 SATIM EB'!$B$31:$B$40,0),MATCH(I$5,'2017 SATIM EB'!$C$30:$M$30,0))</f>
        <v>0</v>
      </c>
      <c r="J11" s="137">
        <f>INDEX('2017 SATIM EB'!$C$31:$M$40,MATCH($A11,'2017 SATIM EB'!$B$31:$B$40,0),MATCH(J$5,'2017 SATIM EB'!$C$30:$M$30,0))</f>
        <v>0</v>
      </c>
      <c r="K11" s="137">
        <f>INDEX('2017 SATIM EB'!$C$31:$M$40,MATCH($A11,'2017 SATIM EB'!$B$31:$B$40,0),MATCH(K$5,'2017 SATIM EB'!$C$30:$M$30,0))</f>
        <v>0</v>
      </c>
      <c r="L11" s="138">
        <f>INDEX('2017 SATIM EB'!$C$31:$M$40,MATCH($A11,'2017 SATIM EB'!$B$31:$B$40,0),MATCH(L$5,'2017 SATIM EB'!$C$30:$M$30,0))</f>
        <v>0</v>
      </c>
      <c r="M11" s="114">
        <f>IND!M11</f>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169.10599999999999</v>
      </c>
    </row>
    <row r="12" spans="1:29" ht="15">
      <c r="A12" s="131" t="str">
        <f>NameConv!D23</f>
        <v>Iron &amp; Steel</v>
      </c>
      <c r="B12" s="132" t="str">
        <f>VLOOKUP(A12,NameConv!D21:E30,2,FALSE)</f>
        <v>IS</v>
      </c>
      <c r="C12" s="137">
        <f>INDEX('2017 SATIM EB'!$C$31:$M$40,MATCH($A12,'2017 SATIM EB'!$B$31:$B$40,0),MATCH(C$5,'2017 SATIM EB'!$C$30:$M$30,0))</f>
        <v>47.995000000000005</v>
      </c>
      <c r="D12" s="137">
        <f>INDEX('2017 SATIM EB'!$C$31:$M$40,MATCH($A12,'2017 SATIM EB'!$B$31:$B$40,0),MATCH(D$5,'2017 SATIM EB'!$C$30:$M$30,0))</f>
        <v>29.827999999999999</v>
      </c>
      <c r="E12" s="137">
        <f>INDEX('2017 SATIM EB'!$C$31:$M$40,MATCH($A12,'2017 SATIM EB'!$B$31:$B$40,0),MATCH(E$5,'2017 SATIM EB'!$C$30:$M$30,0))</f>
        <v>0</v>
      </c>
      <c r="F12" s="137">
        <f>INDEX('2017 SATIM EB'!$C$31:$M$40,MATCH($A12,'2017 SATIM EB'!$B$31:$B$40,0),MATCH(F$5,'2017 SATIM EB'!$C$30:$M$30,0))</f>
        <v>17.312000000000001</v>
      </c>
      <c r="G12" s="197">
        <v>15.93</v>
      </c>
      <c r="H12" s="137">
        <f>INDEX('2017 SATIM EB'!$C$31:$M$40,MATCH($A12,'2017 SATIM EB'!$B$31:$B$40,0),MATCH(H$5,'2017 SATIM EB'!$C$30:$M$30,0))</f>
        <v>0</v>
      </c>
      <c r="I12" s="137">
        <f>INDEX('2017 SATIM EB'!$C$31:$M$40,MATCH($A12,'2017 SATIM EB'!$B$31:$B$40,0),MATCH(I$5,'2017 SATIM EB'!$C$30:$M$30,0))</f>
        <v>0.24199999999999999</v>
      </c>
      <c r="J12" s="137">
        <f>INDEX('2017 SATIM EB'!$C$31:$M$40,MATCH($A12,'2017 SATIM EB'!$B$31:$B$40,0),MATCH(J$5,'2017 SATIM EB'!$C$30:$M$30,0))</f>
        <v>0</v>
      </c>
      <c r="K12" s="137">
        <f>INDEX('2017 SATIM EB'!$C$31:$M$40,MATCH($A12,'2017 SATIM EB'!$B$31:$B$40,0),MATCH(K$5,'2017 SATIM EB'!$C$30:$M$30,0))</f>
        <v>0</v>
      </c>
      <c r="L12" s="138">
        <f>INDEX('2017 SATIM EB'!$C$31:$M$40,MATCH($A12,'2017 SATIM EB'!$B$31:$B$40,0),MATCH(L$5,'2017 SATIM EB'!$C$30:$M$30,0))</f>
        <v>0</v>
      </c>
      <c r="M12" s="114">
        <f>IND!M12</f>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15.93</v>
      </c>
      <c r="Y12">
        <f t="shared" si="2"/>
        <v>164.63273734821703</v>
      </c>
      <c r="Z12" s="8">
        <f>-PMT(8%,60,Y12,0,1)</f>
        <v>12.316655071370345</v>
      </c>
      <c r="AC12" s="182">
        <f>SUM(C12:K12)</f>
        <v>111.307</v>
      </c>
    </row>
    <row r="13" spans="1:29" ht="15">
      <c r="A13" s="131" t="str">
        <f>NameConv!D29</f>
        <v>Aluminium</v>
      </c>
      <c r="B13" s="132" t="str">
        <f>VLOOKUP(A13,NameConv!D22:E31,2,FALSE)</f>
        <v>AL</v>
      </c>
      <c r="C13" s="137">
        <f>INDEX('2017 SATIM EB'!$C$31:$M$40,MATCH($A13,'2017 SATIM EB'!$B$31:$B$40,0),MATCH(C$5,'2017 SATIM EB'!$C$30:$M$30,0))</f>
        <v>0</v>
      </c>
      <c r="D13" s="137">
        <f>INDEX('2017 SATIM EB'!$C$31:$M$40,MATCH($A13,'2017 SATIM EB'!$B$31:$B$40,0),MATCH(D$5,'2017 SATIM EB'!$C$30:$M$30,0))</f>
        <v>0</v>
      </c>
      <c r="E13" s="137">
        <f>INDEX('2017 SATIM EB'!$C$31:$M$40,MATCH($A13,'2017 SATIM EB'!$B$31:$B$40,0),MATCH(E$5,'2017 SATIM EB'!$C$30:$M$30,0))</f>
        <v>0</v>
      </c>
      <c r="F13" s="137">
        <f>INDEX('2017 SATIM EB'!$C$31:$M$40,MATCH($A13,'2017 SATIM EB'!$B$31:$B$40,0),MATCH(F$5,'2017 SATIM EB'!$C$30:$M$30,0))</f>
        <v>37.372</v>
      </c>
      <c r="G13" s="137">
        <f>INDEX('2017 SATIM EB'!$C$31:$M$40,MATCH($A13,'2017 SATIM EB'!$B$31:$B$40,0),MATCH(G$5,'2017 SATIM EB'!$C$30:$M$30,0))</f>
        <v>1.7730000000000001</v>
      </c>
      <c r="H13" s="137">
        <f>INDEX('2017 SATIM EB'!$C$31:$M$40,MATCH($A13,'2017 SATIM EB'!$B$31:$B$40,0),MATCH(H$5,'2017 SATIM EB'!$C$30:$M$30,0))</f>
        <v>0</v>
      </c>
      <c r="I13" s="137">
        <f>INDEX('2017 SATIM EB'!$C$31:$M$40,MATCH($A13,'2017 SATIM EB'!$B$31:$B$40,0),MATCH(I$5,'2017 SATIM EB'!$C$30:$M$30,0))</f>
        <v>2.6270000000000002</v>
      </c>
      <c r="J13" s="137">
        <f>INDEX('2017 SATIM EB'!$C$31:$M$40,MATCH($A13,'2017 SATIM EB'!$B$31:$B$40,0),MATCH(J$5,'2017 SATIM EB'!$C$30:$M$30,0))</f>
        <v>0</v>
      </c>
      <c r="K13" s="137">
        <f>INDEX('2017 SATIM EB'!$C$31:$M$40,MATCH($A13,'2017 SATIM EB'!$B$31:$B$40,0),MATCH(K$5,'2017 SATIM EB'!$C$30:$M$30,0))</f>
        <v>0</v>
      </c>
      <c r="L13" s="138">
        <f>INDEX('2017 SATIM EB'!$C$31:$M$40,MATCH($A13,'2017 SATIM EB'!$B$31:$B$40,0),MATCH(L$5,'2017 SATIM EB'!$C$30:$M$30,0))</f>
        <v>0</v>
      </c>
      <c r="M13" s="114">
        <f>IND!M13</f>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3.69</v>
      </c>
      <c r="Y13">
        <f t="shared" si="2"/>
        <v>164.63273734821703</v>
      </c>
      <c r="Z13" s="8">
        <f t="shared" ref="Z13:Z18" si="9">-PMT(8%,60,Y13,0,1)</f>
        <v>12.316655071370345</v>
      </c>
      <c r="AC13" s="182">
        <f t="shared" ref="AC13:AC18" si="10">SUM(C14:K14)</f>
        <v>69.616</v>
      </c>
    </row>
    <row r="14" spans="1:29" ht="15">
      <c r="A14" s="131" t="str">
        <f>NameConv!D24</f>
        <v>Chemicals</v>
      </c>
      <c r="B14" s="132" t="str">
        <f>VLOOKUP(A14,NameConv!D21:E30,2,FALSE)</f>
        <v>CP</v>
      </c>
      <c r="C14" s="137">
        <f>INDEX('2017 SATIM EB'!$C$31:$M$40,MATCH($A14,'2017 SATIM EB'!$B$31:$B$40,0),MATCH(C$5,'2017 SATIM EB'!$C$30:$M$30,0))</f>
        <v>24.367000000000001</v>
      </c>
      <c r="D14" s="137">
        <f>INDEX('2017 SATIM EB'!$C$31:$M$40,MATCH($A14,'2017 SATIM EB'!$B$31:$B$40,0),MATCH(D$5,'2017 SATIM EB'!$C$30:$M$30,0))</f>
        <v>0</v>
      </c>
      <c r="E14" s="137">
        <f>INDEX('2017 SATIM EB'!$C$31:$M$40,MATCH($A14,'2017 SATIM EB'!$B$31:$B$40,0),MATCH(E$5,'2017 SATIM EB'!$C$30:$M$30,0))</f>
        <v>0</v>
      </c>
      <c r="F14" s="137">
        <f>INDEX('2017 SATIM EB'!$C$31:$M$40,MATCH($A14,'2017 SATIM EB'!$B$31:$B$40,0),MATCH(F$5,'2017 SATIM EB'!$C$30:$M$30,0))</f>
        <v>40.459000000000003</v>
      </c>
      <c r="G14" s="197">
        <f>INDEX('2017 SATIM EB'!$C$31:$M$40,MATCH($A14,'2017 SATIM EB'!$B$31:$B$40,0),MATCH(G$5,'2017 SATIM EB'!$C$30:$M$30,0))</f>
        <v>3.69</v>
      </c>
      <c r="H14" s="197">
        <v>1.1000000000000001</v>
      </c>
      <c r="I14" s="137">
        <f>INDEX('2017 SATIM EB'!$C$31:$M$40,MATCH($A14,'2017 SATIM EB'!$B$31:$B$40,0),MATCH(I$5,'2017 SATIM EB'!$C$30:$M$30,0))</f>
        <v>0</v>
      </c>
      <c r="J14" s="137">
        <f>INDEX('2017 SATIM EB'!$C$31:$M$40,MATCH($A14,'2017 SATIM EB'!$B$31:$B$40,0),MATCH(J$5,'2017 SATIM EB'!$C$30:$M$30,0))</f>
        <v>0</v>
      </c>
      <c r="K14" s="137">
        <f>INDEX('2017 SATIM EB'!$C$31:$M$40,MATCH($A14,'2017 SATIM EB'!$B$31:$B$40,0),MATCH(K$5,'2017 SATIM EB'!$C$30:$M$30,0))</f>
        <v>0</v>
      </c>
      <c r="L14" s="138">
        <f>INDEX('2017 SATIM EB'!$C$31:$M$40,MATCH($A14,'2017 SATIM EB'!$B$31:$B$40,0),MATCH(L$5,'2017 SATIM EB'!$C$30:$M$30,0))</f>
        <v>0</v>
      </c>
      <c r="M14" s="114">
        <f>IND!M14</f>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2.254</v>
      </c>
      <c r="Y14">
        <f t="shared" si="2"/>
        <v>164.63273734821703</v>
      </c>
      <c r="Z14" s="8">
        <f t="shared" si="9"/>
        <v>12.316655071370345</v>
      </c>
      <c r="AC14" s="182">
        <f t="shared" si="10"/>
        <v>12.767942167027458</v>
      </c>
    </row>
    <row r="15" spans="1:29" ht="15">
      <c r="A15" s="131" t="str">
        <f>NameConv!D25</f>
        <v>Precious &amp; Non-Ferrous metals</v>
      </c>
      <c r="B15" s="132" t="str">
        <f>VLOOKUP(A15,NameConv!D21:E30,2,FALSE)</f>
        <v>NF</v>
      </c>
      <c r="C15" s="137">
        <f>INDEX('2017 SATIM EB'!$C$31:$M$40,MATCH($A15,'2017 SATIM EB'!$B$31:$B$40,0),MATCH(C$5,'2017 SATIM EB'!$C$30:$M$30,0))</f>
        <v>0.45100000000000001</v>
      </c>
      <c r="D15" s="137">
        <f>INDEX('2017 SATIM EB'!$C$31:$M$40,MATCH($A15,'2017 SATIM EB'!$B$31:$B$40,0),MATCH(D$5,'2017 SATIM EB'!$C$30:$M$30,0))</f>
        <v>0</v>
      </c>
      <c r="E15" s="137">
        <f>INDEX('2017 SATIM EB'!$C$31:$M$40,MATCH($A15,'2017 SATIM EB'!$B$31:$B$40,0),MATCH(E$5,'2017 SATIM EB'!$C$30:$M$30,0))</f>
        <v>0</v>
      </c>
      <c r="F15" s="137">
        <f>INDEX('2017 SATIM EB'!$C$31:$M$40,MATCH($A15,'2017 SATIM EB'!$B$31:$B$40,0),MATCH(F$5,'2017 SATIM EB'!$C$30:$M$30,0))</f>
        <v>10.062942167027458</v>
      </c>
      <c r="G15" s="197">
        <v>2.254</v>
      </c>
      <c r="H15" s="137">
        <f>INDEX('2017 SATIM EB'!$C$31:$M$40,MATCH($A15,'2017 SATIM EB'!$B$31:$B$40,0),MATCH(H$5,'2017 SATIM EB'!$C$30:$M$30,0))</f>
        <v>0</v>
      </c>
      <c r="I15" s="137">
        <f>INDEX('2017 SATIM EB'!$C$31:$M$40,MATCH($A15,'2017 SATIM EB'!$B$31:$B$40,0),MATCH(I$5,'2017 SATIM EB'!$C$30:$M$30,0))</f>
        <v>0</v>
      </c>
      <c r="J15" s="137">
        <f>INDEX('2017 SATIM EB'!$C$31:$M$40,MATCH($A15,'2017 SATIM EB'!$B$31:$B$40,0),MATCH(J$5,'2017 SATIM EB'!$C$30:$M$30,0))</f>
        <v>0</v>
      </c>
      <c r="K15" s="137">
        <f>INDEX('2017 SATIM EB'!$C$31:$M$40,MATCH($A15,'2017 SATIM EB'!$B$31:$B$40,0),MATCH(K$5,'2017 SATIM EB'!$C$30:$M$30,0))</f>
        <v>0</v>
      </c>
      <c r="L15" s="138">
        <f>INDEX('2017 SATIM EB'!$C$31:$M$40,MATCH($A15,'2017 SATIM EB'!$B$31:$B$40,0),MATCH(L$5,'2017 SATIM EB'!$C$30:$M$30,0))</f>
        <v>0</v>
      </c>
      <c r="M15" s="114">
        <f>IND!M15</f>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B16&amp;"-"&amp;"Gas"</f>
        <v>NM-Gas</v>
      </c>
      <c r="V15" t="str">
        <f t="shared" si="7"/>
        <v>INMGAS</v>
      </c>
      <c r="W15" s="4">
        <v>0</v>
      </c>
      <c r="X15" s="101">
        <f t="shared" si="8"/>
        <v>15.123000000000001</v>
      </c>
      <c r="Y15">
        <f t="shared" si="2"/>
        <v>164.63273734821703</v>
      </c>
      <c r="Z15" s="8">
        <f t="shared" si="9"/>
        <v>12.316655071370345</v>
      </c>
      <c r="AC15" s="182">
        <f t="shared" si="10"/>
        <v>90.397999999999996</v>
      </c>
    </row>
    <row r="16" spans="1:29" ht="15">
      <c r="A16" s="131" t="str">
        <f>NameConv!D26</f>
        <v>N.M.M Products</v>
      </c>
      <c r="B16" s="132" t="str">
        <f>VLOOKUP(A16,NameConv!D21:E30,2,FALSE)</f>
        <v>NM</v>
      </c>
      <c r="C16" s="137">
        <f>INDEX('2017 SATIM EB'!$C$31:$M$40,MATCH($A16,'2017 SATIM EB'!$B$31:$B$40,0),MATCH(C$5,'2017 SATIM EB'!$C$30:$M$30,0))</f>
        <v>61.283999999999999</v>
      </c>
      <c r="D16" s="137">
        <f>INDEX('2017 SATIM EB'!$C$31:$M$40,MATCH($A16,'2017 SATIM EB'!$B$31:$B$40,0),MATCH(D$5,'2017 SATIM EB'!$C$30:$M$30,0))</f>
        <v>0</v>
      </c>
      <c r="E16" s="137">
        <f>INDEX('2017 SATIM EB'!$C$31:$M$40,MATCH($A16,'2017 SATIM EB'!$B$31:$B$40,0),MATCH(E$5,'2017 SATIM EB'!$C$30:$M$30,0))</f>
        <v>0</v>
      </c>
      <c r="F16" s="137">
        <f>INDEX('2017 SATIM EB'!$C$31:$M$40,MATCH($A16,'2017 SATIM EB'!$B$31:$B$40,0),MATCH(F$5,'2017 SATIM EB'!$C$30:$M$30,0))</f>
        <v>5.875</v>
      </c>
      <c r="G16" s="137">
        <f>INDEX('2017 SATIM EB'!$C$31:$M$40,MATCH($A16,'2017 SATIM EB'!$B$31:$B$40,0),MATCH(G$5,'2017 SATIM EB'!$C$30:$M$30,0))</f>
        <v>15.123000000000001</v>
      </c>
      <c r="H16" s="137">
        <f>INDEX('2017 SATIM EB'!$C$31:$M$40,MATCH($A16,'2017 SATIM EB'!$B$31:$B$40,0),MATCH(H$5,'2017 SATIM EB'!$C$30:$M$30,0))</f>
        <v>8.1159999999999997</v>
      </c>
      <c r="I16" s="137">
        <f>INDEX('2017 SATIM EB'!$C$31:$M$40,MATCH($A16,'2017 SATIM EB'!$B$31:$B$40,0),MATCH(I$5,'2017 SATIM EB'!$C$30:$M$30,0))</f>
        <v>0</v>
      </c>
      <c r="J16" s="137">
        <f>INDEX('2017 SATIM EB'!$C$31:$M$40,MATCH($A16,'2017 SATIM EB'!$B$31:$B$40,0),MATCH(J$5,'2017 SATIM EB'!$C$30:$M$30,0))</f>
        <v>0</v>
      </c>
      <c r="K16" s="137">
        <f>INDEX('2017 SATIM EB'!$C$31:$M$40,MATCH($A16,'2017 SATIM EB'!$B$31:$B$40,0),MATCH(K$5,'2017 SATIM EB'!$C$30:$M$30,0))</f>
        <v>0</v>
      </c>
      <c r="L16" s="138">
        <f>INDEX('2017 SATIM EB'!$C$31:$M$40,MATCH($A16,'2017 SATIM EB'!$B$31:$B$40,0),MATCH(L$5,'2017 SATIM EB'!$C$30:$M$30,0))</f>
        <v>0</v>
      </c>
      <c r="M16" s="114">
        <f>IND!M16</f>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7.3658288574218753</v>
      </c>
      <c r="Y16">
        <f t="shared" si="2"/>
        <v>264.50382048472221</v>
      </c>
      <c r="Z16" s="8">
        <f>-PMT(8%,60,Y16,0,1)</f>
        <v>19.788301977141771</v>
      </c>
      <c r="AC16" s="182">
        <f t="shared" si="10"/>
        <v>79.589828857421878</v>
      </c>
    </row>
    <row r="17" spans="1:29" ht="15">
      <c r="A17" s="131" t="str">
        <f>NameConv!D27</f>
        <v>Food, Beverage &amp; Tabacco</v>
      </c>
      <c r="B17" s="132" t="str">
        <f>VLOOKUP(A17,NameConv!D21:E30,2,FALSE)</f>
        <v>FB</v>
      </c>
      <c r="C17" s="137">
        <f>INDEX('2017 SATIM EB'!$C$31:$M$40,MATCH($A17,'2017 SATIM EB'!$B$31:$B$40,0),MATCH(C$5,'2017 SATIM EB'!$C$30:$M$30,0))</f>
        <v>16.272000000000002</v>
      </c>
      <c r="D17" s="137">
        <f>INDEX('2017 SATIM EB'!$C$31:$M$40,MATCH($A17,'2017 SATIM EB'!$B$31:$B$40,0),MATCH(D$5,'2017 SATIM EB'!$C$30:$M$30,0))</f>
        <v>0</v>
      </c>
      <c r="E17" s="137">
        <f>INDEX('2017 SATIM EB'!$C$31:$M$40,MATCH($A17,'2017 SATIM EB'!$B$31:$B$40,0),MATCH(E$5,'2017 SATIM EB'!$C$30:$M$30,0))</f>
        <v>0</v>
      </c>
      <c r="F17" s="137">
        <f>INDEX('2017 SATIM EB'!$C$31:$M$40,MATCH($A17,'2017 SATIM EB'!$B$31:$B$40,0),MATCH(F$5,'2017 SATIM EB'!$C$30:$M$30,0))</f>
        <v>14.952</v>
      </c>
      <c r="G17" s="197">
        <v>7.3658288574218753</v>
      </c>
      <c r="H17" s="137">
        <f>INDEX('2017 SATIM EB'!$C$31:$M$40,MATCH($A17,'2017 SATIM EB'!$B$31:$B$40,0),MATCH(H$5,'2017 SATIM EB'!$C$30:$M$30,0))</f>
        <v>0</v>
      </c>
      <c r="I17" s="137">
        <f>INDEX('2017 SATIM EB'!$C$31:$M$40,MATCH($A17,'2017 SATIM EB'!$B$31:$B$40,0),MATCH(I$5,'2017 SATIM EB'!$C$30:$M$30,0))</f>
        <v>0</v>
      </c>
      <c r="J17" s="137">
        <f>INDEX('2017 SATIM EB'!$C$31:$M$40,MATCH($A17,'2017 SATIM EB'!$B$31:$B$40,0),MATCH(J$5,'2017 SATIM EB'!$C$30:$M$30,0))</f>
        <v>0</v>
      </c>
      <c r="K17" s="197">
        <v>41</v>
      </c>
      <c r="L17" s="138">
        <f>INDEX('2017 SATIM EB'!$C$31:$M$40,MATCH($A17,'2017 SATIM EB'!$B$31:$B$40,0),MATCH(L$5,'2017 SATIM EB'!$C$30:$M$30,0))</f>
        <v>0</v>
      </c>
      <c r="M17" s="114">
        <f>IND!M17</f>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4.17</v>
      </c>
      <c r="Y17">
        <f t="shared" si="2"/>
        <v>264.50382048472221</v>
      </c>
      <c r="Z17" s="8">
        <f t="shared" si="9"/>
        <v>19.788301977141771</v>
      </c>
      <c r="AC17" s="182">
        <f t="shared" si="10"/>
        <v>13.349</v>
      </c>
    </row>
    <row r="18" spans="1:29" ht="15">
      <c r="A18" s="131" t="str">
        <f>NameConv!D28</f>
        <v>Pulp &amp; Paper Products</v>
      </c>
      <c r="B18" s="132" t="str">
        <f>VLOOKUP(A18,NameConv!D21:E30,2,FALSE)</f>
        <v>PP</v>
      </c>
      <c r="C18" s="137">
        <f>INDEX('2017 SATIM EB'!$C$31:$M$40,MATCH($A18,'2017 SATIM EB'!$B$31:$B$40,0),MATCH(C$5,'2017 SATIM EB'!$C$30:$M$30,0))</f>
        <v>0</v>
      </c>
      <c r="D18" s="137">
        <f>INDEX('2017 SATIM EB'!$C$31:$M$40,MATCH($A18,'2017 SATIM EB'!$B$31:$B$40,0),MATCH(D$5,'2017 SATIM EB'!$C$30:$M$30,0))</f>
        <v>0</v>
      </c>
      <c r="E18" s="137">
        <f>INDEX('2017 SATIM EB'!$C$31:$M$40,MATCH($A18,'2017 SATIM EB'!$B$31:$B$40,0),MATCH(E$5,'2017 SATIM EB'!$C$30:$M$30,0))</f>
        <v>0</v>
      </c>
      <c r="F18" s="137">
        <f>INDEX('2017 SATIM EB'!$C$31:$M$40,MATCH($A18,'2017 SATIM EB'!$B$31:$B$40,0),MATCH(F$5,'2017 SATIM EB'!$C$30:$M$30,0))</f>
        <v>7.9660000000000002</v>
      </c>
      <c r="G18" s="197">
        <v>4.17</v>
      </c>
      <c r="H18" s="137">
        <f>INDEX('2017 SATIM EB'!$C$31:$M$40,MATCH($A18,'2017 SATIM EB'!$B$31:$B$40,0),MATCH(H$5,'2017 SATIM EB'!$C$30:$M$30,0))</f>
        <v>1.2130000000000001</v>
      </c>
      <c r="I18" s="137">
        <f>INDEX('2017 SATIM EB'!$C$31:$M$40,MATCH($A18,'2017 SATIM EB'!$B$31:$B$40,0),MATCH(I$5,'2017 SATIM EB'!$C$30:$M$30,0))</f>
        <v>0</v>
      </c>
      <c r="J18" s="137">
        <f>INDEX('2017 SATIM EB'!$C$31:$M$40,MATCH($A18,'2017 SATIM EB'!$B$31:$B$40,0),MATCH(J$5,'2017 SATIM EB'!$C$30:$M$30,0))</f>
        <v>0</v>
      </c>
      <c r="K18" s="137">
        <f>INDEX('2017 SATIM EB'!$C$31:$M$40,MATCH($A18,'2017 SATIM EB'!$B$31:$B$40,0),MATCH(K$5,'2017 SATIM EB'!$C$30:$M$30,0))</f>
        <v>0</v>
      </c>
      <c r="L18" s="138">
        <f>INDEX('2017 SATIM EB'!$C$31:$M$40,MATCH($A18,'2017 SATIM EB'!$B$31:$B$40,0),MATCH(L$5,'2017 SATIM EB'!$C$30:$M$30,0))</f>
        <v>0</v>
      </c>
      <c r="M18" s="114">
        <f>IND!M18</f>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4.5999999999999996</v>
      </c>
      <c r="Y18">
        <f t="shared" si="2"/>
        <v>264.50382048472221</v>
      </c>
      <c r="Z18" s="8">
        <f t="shared" si="9"/>
        <v>19.788301977141771</v>
      </c>
      <c r="AC18" s="182">
        <f t="shared" si="10"/>
        <v>133.048</v>
      </c>
    </row>
    <row r="19" spans="1:29" ht="15">
      <c r="A19" s="131" t="str">
        <f>NameConv!D30</f>
        <v>Other</v>
      </c>
      <c r="B19" s="132" t="str">
        <f>VLOOKUP(A19,NameConv!D21:E30,2,FALSE)</f>
        <v>OT</v>
      </c>
      <c r="C19" s="139">
        <f>INDEX('2017 SATIM EB'!$C$31:$M$40,MATCH($A19,'2017 SATIM EB'!$B$31:$B$40,0),MATCH(C$5,'2017 SATIM EB'!$C$30:$M$30,0))</f>
        <v>101.64</v>
      </c>
      <c r="D19" s="139">
        <f>INDEX('2017 SATIM EB'!$C$31:$M$40,MATCH($A19,'2017 SATIM EB'!$B$31:$B$40,0),MATCH(D$5,'2017 SATIM EB'!$C$30:$M$30,0))</f>
        <v>0</v>
      </c>
      <c r="E19" s="139">
        <f>INDEX('2017 SATIM EB'!$C$31:$M$40,MATCH($A19,'2017 SATIM EB'!$B$31:$B$40,0),MATCH(E$5,'2017 SATIM EB'!$C$30:$M$30,0))</f>
        <v>4.2</v>
      </c>
      <c r="F19" s="139">
        <f>INDEX('2017 SATIM EB'!$C$31:$M$40,MATCH($A19,'2017 SATIM EB'!$B$31:$B$40,0),MATCH(F$5,'2017 SATIM EB'!$C$30:$M$30,0))</f>
        <v>22.608000000000001</v>
      </c>
      <c r="G19" s="197">
        <v>4.5999999999999996</v>
      </c>
      <c r="H19" s="139">
        <f>INDEX('2017 SATIM EB'!$C$31:$M$40,MATCH($A19,'2017 SATIM EB'!$B$31:$B$40,0),MATCH(H$5,'2017 SATIM EB'!$C$30:$M$30,0))</f>
        <v>0</v>
      </c>
      <c r="I19" s="139">
        <f>INDEX('2017 SATIM EB'!$C$31:$M$40,MATCH($A19,'2017 SATIM EB'!$B$31:$B$40,0),MATCH(I$5,'2017 SATIM EB'!$C$30:$M$30,0))</f>
        <v>0</v>
      </c>
      <c r="J19" s="139">
        <f>INDEX('2017 SATIM EB'!$C$31:$M$40,MATCH($A19,'2017 SATIM EB'!$B$31:$B$40,0),MATCH(J$5,'2017 SATIM EB'!$C$30:$M$30,0))</f>
        <v>0</v>
      </c>
      <c r="K19" s="139">
        <f>INDEX('2017 SATIM EB'!$C$31:$M$40,MATCH($A19,'2017 SATIM EB'!$B$31:$B$40,0),MATCH(K$5,'2017 SATIM EB'!$C$30:$M$30,0))</f>
        <v>0</v>
      </c>
      <c r="L19" s="140">
        <f>INDEX('2017 SATIM EB'!$C$31:$M$40,MATCH($A19,'2017 SATIM EB'!$B$31:$B$40,0),MATCH(L$5,'2017 SATIM EB'!$C$30:$M$30,0))</f>
        <v>0</v>
      </c>
      <c r="M19" s="114">
        <f>IND!M19</f>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863.06333725472246</v>
      </c>
      <c r="C20" s="141">
        <f t="shared" ref="C20:L20" si="11">SUM(C10:C19)</f>
        <v>361.27599999999995</v>
      </c>
      <c r="D20" s="141">
        <f t="shared" si="11"/>
        <v>75.917000000000002</v>
      </c>
      <c r="E20" s="141">
        <f t="shared" si="11"/>
        <v>29.606351025250525</v>
      </c>
      <c r="F20" s="141">
        <f t="shared" si="11"/>
        <v>285.92430016205014</v>
      </c>
      <c r="G20" s="141">
        <f t="shared" si="11"/>
        <v>55.905828857421881</v>
      </c>
      <c r="H20" s="141">
        <f t="shared" si="11"/>
        <v>10.428999999999998</v>
      </c>
      <c r="I20" s="141">
        <f t="shared" si="11"/>
        <v>3.0048572100000004</v>
      </c>
      <c r="J20" s="141">
        <f t="shared" si="11"/>
        <v>0</v>
      </c>
      <c r="K20" s="141">
        <f t="shared" si="11"/>
        <v>41</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242" t="s">
        <v>474</v>
      </c>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228" t="s">
        <v>321</v>
      </c>
      <c r="B31" s="30" t="s">
        <v>260</v>
      </c>
      <c r="C31" s="36"/>
      <c r="D31" s="42"/>
      <c r="E31" s="36"/>
      <c r="F31" s="36"/>
      <c r="G31" s="36"/>
      <c r="H31" s="36"/>
      <c r="I31" s="36" t="s">
        <v>336</v>
      </c>
      <c r="J31" s="36"/>
      <c r="K31" s="31"/>
      <c r="L31" s="2"/>
      <c r="M31" s="2"/>
      <c r="O31" s="2"/>
      <c r="P31" s="2"/>
      <c r="Q31" s="2"/>
      <c r="R31" s="2"/>
      <c r="S31" s="2"/>
      <c r="T31" s="2"/>
      <c r="U31" s="2"/>
      <c r="V31" s="2"/>
    </row>
    <row r="32" spans="1:29">
      <c r="A32" s="228" t="s">
        <v>280</v>
      </c>
      <c r="B32" s="30" t="s">
        <v>261</v>
      </c>
      <c r="C32" s="36"/>
      <c r="D32" s="42"/>
      <c r="E32" s="36"/>
      <c r="F32" s="36"/>
      <c r="G32" s="36"/>
      <c r="H32" s="36"/>
      <c r="I32" s="36"/>
      <c r="J32" s="36"/>
      <c r="K32" s="31"/>
      <c r="L32" s="2"/>
      <c r="M32" s="2"/>
      <c r="O32" s="2"/>
      <c r="P32" s="2"/>
      <c r="Q32" s="2"/>
      <c r="R32" s="2"/>
      <c r="S32" s="2"/>
      <c r="T32" s="2"/>
      <c r="U32" s="2"/>
      <c r="V32" s="2"/>
    </row>
    <row r="33" spans="1:26">
      <c r="A33" s="228" t="s">
        <v>281</v>
      </c>
      <c r="B33" s="30" t="s">
        <v>262</v>
      </c>
      <c r="C33" s="36"/>
      <c r="E33" s="36"/>
      <c r="F33" s="36"/>
      <c r="G33" s="36"/>
      <c r="H33" s="36"/>
      <c r="I33" s="36" t="s">
        <v>336</v>
      </c>
      <c r="J33" s="36"/>
      <c r="K33" s="31"/>
      <c r="L33" s="2"/>
      <c r="M33" s="2"/>
      <c r="O33" s="2"/>
      <c r="P33" s="2"/>
      <c r="Q33" s="2"/>
      <c r="R33" s="2"/>
      <c r="S33" s="2"/>
      <c r="T33" s="2"/>
      <c r="U33" s="2"/>
      <c r="V33" s="2"/>
    </row>
    <row r="34" spans="1:26">
      <c r="A34" s="228" t="s">
        <v>282</v>
      </c>
      <c r="B34" s="30" t="s">
        <v>264</v>
      </c>
      <c r="C34" s="36"/>
      <c r="D34" s="42"/>
      <c r="E34" s="36"/>
      <c r="F34" s="36"/>
      <c r="G34" s="36"/>
      <c r="H34" s="36"/>
      <c r="I34" s="36"/>
      <c r="J34" s="36"/>
      <c r="K34" s="31"/>
      <c r="L34" s="2"/>
      <c r="M34" s="2"/>
      <c r="O34" s="2"/>
      <c r="P34" s="2"/>
      <c r="Q34" s="2"/>
      <c r="R34" s="2"/>
      <c r="S34" s="2"/>
      <c r="T34" s="2"/>
      <c r="U34" s="2"/>
      <c r="V34" s="2"/>
    </row>
    <row r="35" spans="1:26">
      <c r="A35" s="228" t="s">
        <v>283</v>
      </c>
      <c r="B35" s="30" t="s">
        <v>265</v>
      </c>
      <c r="C35" s="36"/>
      <c r="D35" s="42"/>
      <c r="E35" s="36"/>
      <c r="F35" s="36"/>
      <c r="G35" s="36"/>
      <c r="H35" s="36"/>
      <c r="I35" s="36"/>
      <c r="J35" s="36"/>
      <c r="K35" s="31"/>
      <c r="L35" s="2"/>
      <c r="M35" s="2"/>
      <c r="O35" s="2"/>
      <c r="P35" s="2"/>
      <c r="Q35" s="2"/>
      <c r="R35" s="2"/>
      <c r="S35" s="2"/>
      <c r="T35" s="2"/>
      <c r="U35" s="2"/>
      <c r="V35" s="2"/>
    </row>
    <row r="36" spans="1:26">
      <c r="A36" s="228" t="s">
        <v>284</v>
      </c>
      <c r="B36" s="30" t="s">
        <v>266</v>
      </c>
      <c r="C36" s="36"/>
      <c r="D36" s="36"/>
      <c r="E36" s="36"/>
      <c r="F36" s="36"/>
      <c r="G36" s="36"/>
      <c r="H36" s="36"/>
      <c r="I36" s="36"/>
      <c r="J36" s="36"/>
      <c r="K36" s="31"/>
      <c r="L36" s="2"/>
      <c r="M36" s="2"/>
      <c r="O36" s="2"/>
      <c r="P36" s="2"/>
      <c r="Q36" s="2"/>
      <c r="R36" s="2"/>
      <c r="S36" s="2"/>
      <c r="T36" s="2"/>
      <c r="U36" s="2"/>
      <c r="V36" s="2"/>
    </row>
    <row r="37" spans="1:26">
      <c r="A37" s="228" t="s">
        <v>285</v>
      </c>
      <c r="B37" s="30" t="s">
        <v>267</v>
      </c>
      <c r="C37" s="36"/>
      <c r="D37" s="42"/>
      <c r="E37" s="36"/>
      <c r="F37" s="36"/>
      <c r="G37" s="36"/>
      <c r="H37" s="36"/>
      <c r="I37" s="36"/>
      <c r="J37" s="36"/>
      <c r="K37" s="31"/>
      <c r="L37" s="2"/>
      <c r="M37" s="2"/>
      <c r="O37" s="2"/>
      <c r="P37" s="2"/>
      <c r="Q37" s="2"/>
      <c r="R37" s="2"/>
      <c r="S37" s="2"/>
      <c r="T37" s="2"/>
      <c r="U37" s="2"/>
      <c r="V37" s="2"/>
    </row>
    <row r="38" spans="1:26">
      <c r="A38" s="228" t="s">
        <v>286</v>
      </c>
      <c r="B38" s="43" t="s">
        <v>268</v>
      </c>
      <c r="C38" s="43"/>
      <c r="D38" s="43"/>
      <c r="E38" s="43"/>
      <c r="F38" s="43"/>
      <c r="G38" s="43"/>
      <c r="H38" s="43"/>
      <c r="I38" s="43"/>
      <c r="J38" s="43"/>
      <c r="K38" s="31"/>
      <c r="L38" s="2"/>
      <c r="M38" s="2"/>
      <c r="O38" s="2"/>
      <c r="P38" s="2"/>
      <c r="Q38" s="2"/>
      <c r="R38" s="2"/>
      <c r="S38" s="2"/>
      <c r="T38" s="2"/>
      <c r="U38" s="2"/>
      <c r="V38" s="2"/>
    </row>
    <row r="39" spans="1:26">
      <c r="A39" s="228" t="s">
        <v>287</v>
      </c>
      <c r="B39" s="43" t="s">
        <v>269</v>
      </c>
      <c r="C39" s="43"/>
      <c r="D39" s="43"/>
      <c r="E39" s="43"/>
      <c r="F39" s="43"/>
      <c r="G39" s="43"/>
      <c r="H39" s="43"/>
      <c r="I39" s="43"/>
      <c r="J39" s="43"/>
      <c r="K39" s="31"/>
      <c r="L39" s="2"/>
      <c r="M39" s="2"/>
      <c r="O39" s="2"/>
      <c r="P39" s="2"/>
      <c r="Q39" s="2"/>
      <c r="R39" s="2"/>
      <c r="S39" s="2"/>
      <c r="T39" s="2"/>
      <c r="U39" s="2"/>
      <c r="V39" s="2"/>
    </row>
    <row r="40" spans="1:26">
      <c r="A40" s="228" t="s">
        <v>481</v>
      </c>
      <c r="B40" s="43" t="s">
        <v>270</v>
      </c>
      <c r="C40" s="43"/>
      <c r="D40" s="43"/>
      <c r="E40" s="43"/>
      <c r="F40" s="43"/>
      <c r="G40" s="43"/>
      <c r="H40" s="43"/>
      <c r="I40" s="43"/>
      <c r="J40" s="43"/>
      <c r="K40" s="31"/>
      <c r="L40" s="2"/>
      <c r="M40" s="2"/>
      <c r="O40" s="2"/>
      <c r="P40" s="2"/>
      <c r="Q40" s="2"/>
      <c r="R40" s="2"/>
      <c r="S40" s="2"/>
      <c r="T40" s="2"/>
      <c r="U40" s="2"/>
      <c r="V40" s="2"/>
    </row>
    <row r="41" spans="1:26">
      <c r="A41" s="85" t="s">
        <v>271</v>
      </c>
      <c r="B41" s="86" t="s">
        <v>272</v>
      </c>
      <c r="C41" s="43"/>
      <c r="D41" s="43"/>
      <c r="E41" s="43"/>
      <c r="F41" s="43"/>
      <c r="G41" s="43"/>
      <c r="H41" s="43"/>
      <c r="I41" s="43"/>
      <c r="J41" s="43"/>
      <c r="K41" s="31"/>
      <c r="L41" s="2"/>
      <c r="M41" s="2"/>
      <c r="N41" s="2"/>
      <c r="O41" s="2"/>
      <c r="P41" s="2"/>
      <c r="Q41" s="2"/>
      <c r="R41" s="2"/>
      <c r="S41" s="2"/>
      <c r="T41" s="2"/>
      <c r="U41" s="2"/>
      <c r="V41" s="2"/>
    </row>
    <row r="42" spans="1:26">
      <c r="A42" s="42" t="s">
        <v>273</v>
      </c>
      <c r="B42" s="43" t="s">
        <v>274</v>
      </c>
      <c r="C42" s="43"/>
      <c r="D42" s="43"/>
      <c r="E42" s="43"/>
      <c r="F42" s="43"/>
      <c r="G42" s="43"/>
      <c r="H42" s="43"/>
      <c r="I42" s="43"/>
      <c r="J42" s="43"/>
      <c r="K42" s="31"/>
      <c r="L42" s="2"/>
      <c r="M42" s="2"/>
      <c r="N42" s="2"/>
      <c r="O42" s="2"/>
      <c r="P42" s="2"/>
      <c r="Q42" s="2"/>
      <c r="R42" s="2"/>
      <c r="S42" s="2"/>
      <c r="T42" s="2"/>
      <c r="U42" s="2"/>
      <c r="V42" s="2"/>
    </row>
    <row r="43" spans="1:26">
      <c r="A43" s="42"/>
      <c r="B43" s="43"/>
      <c r="C43" s="43"/>
      <c r="D43" s="43"/>
      <c r="E43" s="43"/>
      <c r="F43" s="43"/>
      <c r="G43" s="43"/>
      <c r="H43" s="43"/>
      <c r="I43" s="43"/>
      <c r="J43" s="43"/>
      <c r="K43" s="31"/>
      <c r="L43" s="2"/>
      <c r="M43" s="2"/>
      <c r="N43" s="2"/>
      <c r="O43" s="2"/>
      <c r="P43" s="2"/>
      <c r="Q43" s="2"/>
      <c r="R43" s="2"/>
      <c r="S43" s="2"/>
      <c r="T43" s="2"/>
      <c r="U43" s="2"/>
      <c r="V43" s="2"/>
    </row>
    <row r="44" spans="1:26">
      <c r="B44" s="2"/>
      <c r="C44" s="32" t="s">
        <v>257</v>
      </c>
      <c r="D44" s="32"/>
      <c r="E44" s="32"/>
      <c r="F44" s="32"/>
      <c r="G44" s="32"/>
      <c r="H44" s="32"/>
      <c r="I44" s="32"/>
      <c r="J44" s="32"/>
      <c r="K44" s="31"/>
      <c r="L44" s="2"/>
      <c r="M44" s="2"/>
      <c r="N44" s="2"/>
      <c r="O44" s="2"/>
      <c r="P44" s="2"/>
      <c r="Q44" s="2"/>
      <c r="R44" s="2"/>
      <c r="S44" s="2"/>
      <c r="T44" s="2"/>
      <c r="U44" s="254"/>
      <c r="V44" s="254"/>
      <c r="W44" s="254"/>
      <c r="X44" s="254"/>
      <c r="Y44" s="254"/>
      <c r="Z44" s="72"/>
    </row>
    <row r="45" spans="1:26">
      <c r="A45" s="40" t="str">
        <f>Methodology!B3</f>
        <v>End-use Fractional Shares by Sub-sector</v>
      </c>
      <c r="B45" s="40" t="str">
        <f>Methodology!C3</f>
        <v>Demand ID</v>
      </c>
      <c r="C45" s="66" t="str">
        <f>Methodology!D3</f>
        <v>MI</v>
      </c>
      <c r="D45" s="66" t="str">
        <f>Methodology!E3</f>
        <v>FA</v>
      </c>
      <c r="E45" s="66" t="str">
        <f>Methodology!F3</f>
        <v>IS</v>
      </c>
      <c r="F45" s="66" t="str">
        <f>Methodology!G3</f>
        <v>AL</v>
      </c>
      <c r="G45" s="66" t="str">
        <f>Methodology!H3</f>
        <v>CP</v>
      </c>
      <c r="H45" s="66" t="str">
        <f>Methodology!I3</f>
        <v>NF</v>
      </c>
      <c r="I45" s="66" t="str">
        <f>Methodology!J3</f>
        <v>NM</v>
      </c>
      <c r="J45" s="66" t="str">
        <f>Methodology!K3</f>
        <v>FB</v>
      </c>
      <c r="K45" s="66" t="str">
        <f>Methodology!L3</f>
        <v>OT</v>
      </c>
      <c r="L45" s="2"/>
      <c r="M45" s="2"/>
      <c r="N45" s="115"/>
      <c r="O45" s="2"/>
      <c r="P45" s="2"/>
      <c r="Q45" s="2"/>
      <c r="R45" s="2"/>
      <c r="S45" s="2"/>
      <c r="T45" s="2"/>
    </row>
    <row r="46" spans="1:26">
      <c r="A46" s="65" t="str">
        <f>Methodology!B4</f>
        <v>Elec Heating</v>
      </c>
      <c r="B46" s="230" t="str">
        <f>Methodology!C4</f>
        <v>K</v>
      </c>
      <c r="C46" s="67">
        <f>Methodology!D4</f>
        <v>0.02</v>
      </c>
      <c r="D46" s="67">
        <v>1</v>
      </c>
      <c r="E46" s="67">
        <f>Methodology!F4</f>
        <v>0.4</v>
      </c>
      <c r="F46" s="67"/>
      <c r="G46" s="67">
        <f>Methodology!H4</f>
        <v>0.02</v>
      </c>
      <c r="H46" s="67">
        <f>Methodology!I4</f>
        <v>0.01</v>
      </c>
      <c r="I46" s="67">
        <f>Methodology!J4</f>
        <v>0.23</v>
      </c>
      <c r="J46" s="67">
        <f>Methodology!K4</f>
        <v>7.0000000000000007E-2</v>
      </c>
      <c r="K46" s="67">
        <f>Methodology!L4</f>
        <v>9.6500000000000002E-2</v>
      </c>
      <c r="L46" s="2"/>
      <c r="M46" s="2"/>
      <c r="N46" s="2"/>
      <c r="O46" s="2"/>
      <c r="P46" s="2"/>
      <c r="Q46" s="2"/>
      <c r="R46" s="2"/>
      <c r="S46" s="2"/>
      <c r="T46" s="2"/>
    </row>
    <row r="47" spans="1:26">
      <c r="A47" s="65" t="str">
        <f>Methodology!B5</f>
        <v>Compressed air</v>
      </c>
      <c r="B47" s="230" t="str">
        <f>Methodology!C5</f>
        <v>A</v>
      </c>
      <c r="C47" s="67">
        <f>Methodology!D5</f>
        <v>0.18584628215542981</v>
      </c>
      <c r="D47" s="67"/>
      <c r="E47" s="67">
        <f>Methodology!F5</f>
        <v>0.05</v>
      </c>
      <c r="F47" s="67"/>
      <c r="G47" s="67">
        <f>Methodology!H5</f>
        <v>0.15</v>
      </c>
      <c r="H47" s="67">
        <f>Methodology!I5</f>
        <v>0</v>
      </c>
      <c r="I47" s="67">
        <f>Methodology!J5</f>
        <v>0.13</v>
      </c>
      <c r="J47" s="67">
        <f>Methodology!K5</f>
        <v>0.04</v>
      </c>
      <c r="K47" s="67">
        <f>Methodology!L5</f>
        <v>0.10929999999999999</v>
      </c>
      <c r="L47" s="2"/>
      <c r="M47" s="2"/>
      <c r="N47" s="2"/>
      <c r="O47" s="2"/>
      <c r="P47" s="2"/>
      <c r="Q47" s="2"/>
      <c r="R47" s="2"/>
      <c r="S47" s="2"/>
      <c r="T47" s="2"/>
    </row>
    <row r="48" spans="1:26">
      <c r="A48" s="65" t="str">
        <f>Methodology!B6</f>
        <v>Lighting</v>
      </c>
      <c r="B48" s="230" t="str">
        <f>Methodology!C6</f>
        <v>L</v>
      </c>
      <c r="C48" s="67">
        <f>Methodology!D6</f>
        <v>4.4999999999999998E-2</v>
      </c>
      <c r="D48" s="67"/>
      <c r="E48" s="67">
        <f>Methodology!F6</f>
        <v>3.5000000000000003E-2</v>
      </c>
      <c r="F48" s="67"/>
      <c r="G48" s="67">
        <f>Methodology!H6</f>
        <v>0.04</v>
      </c>
      <c r="H48" s="67">
        <f>Methodology!I6</f>
        <v>0.01</v>
      </c>
      <c r="I48" s="67">
        <f>Methodology!J6</f>
        <v>0.05</v>
      </c>
      <c r="J48" s="67">
        <f>Methodology!K6</f>
        <v>0.05</v>
      </c>
      <c r="K48" s="67">
        <f>Methodology!L6</f>
        <v>8.0700000000000008E-2</v>
      </c>
      <c r="L48" s="2"/>
      <c r="M48" s="2"/>
      <c r="N48" s="2"/>
      <c r="O48" s="2"/>
      <c r="P48" s="2"/>
      <c r="Q48" s="2"/>
      <c r="R48" s="2"/>
      <c r="S48" s="2"/>
      <c r="T48" s="2"/>
    </row>
    <row r="49" spans="1:39">
      <c r="A49" s="65" t="str">
        <f>Methodology!B7</f>
        <v>Cooling</v>
      </c>
      <c r="B49" s="230" t="str">
        <f>Methodology!C7</f>
        <v>C</v>
      </c>
      <c r="C49" s="67">
        <f>Methodology!D7</f>
        <v>8.1179476487047514E-2</v>
      </c>
      <c r="D49" s="67"/>
      <c r="E49" s="67">
        <f>Methodology!F7</f>
        <v>0.01</v>
      </c>
      <c r="F49" s="67"/>
      <c r="G49" s="67">
        <f>Methodology!H7</f>
        <v>0.05</v>
      </c>
      <c r="H49" s="67">
        <f>Methodology!I7</f>
        <v>0</v>
      </c>
      <c r="I49" s="67">
        <f>Methodology!J7</f>
        <v>0</v>
      </c>
      <c r="J49" s="67">
        <f>Methodology!K7</f>
        <v>0.23</v>
      </c>
      <c r="K49" s="67">
        <f>Methodology!L7</f>
        <v>5.1400000000000008E-2</v>
      </c>
      <c r="L49" s="2"/>
      <c r="M49" s="2"/>
      <c r="N49" s="2"/>
      <c r="O49" s="2"/>
      <c r="P49" s="2"/>
      <c r="Q49" s="2"/>
      <c r="R49" s="2"/>
      <c r="S49" s="2"/>
      <c r="T49" s="2"/>
    </row>
    <row r="50" spans="1:39">
      <c r="A50" s="65" t="str">
        <f>Methodology!B8</f>
        <v>HVAC</v>
      </c>
      <c r="B50" s="230" t="str">
        <f>Methodology!C8</f>
        <v>H</v>
      </c>
      <c r="C50" s="67">
        <f>Methodology!D8</f>
        <v>0.08</v>
      </c>
      <c r="D50" s="67"/>
      <c r="E50" s="67">
        <f>Methodology!F8</f>
        <v>0.02</v>
      </c>
      <c r="F50" s="67"/>
      <c r="G50" s="67">
        <f>Methodology!H8</f>
        <v>0.02</v>
      </c>
      <c r="H50" s="67">
        <f>Methodology!I8</f>
        <v>0.01</v>
      </c>
      <c r="I50" s="67">
        <f>Methodology!J8</f>
        <v>0.02</v>
      </c>
      <c r="J50" s="67">
        <f>Methodology!K8</f>
        <v>0.06</v>
      </c>
      <c r="K50" s="67">
        <f>Methodology!L8</f>
        <v>8.4900000000000003E-2</v>
      </c>
      <c r="L50" s="2"/>
      <c r="M50" s="2"/>
      <c r="N50" s="2"/>
      <c r="O50" s="2"/>
      <c r="P50" s="2"/>
      <c r="Q50" s="2"/>
      <c r="R50" s="2"/>
      <c r="S50" s="2"/>
      <c r="T50" s="2"/>
    </row>
    <row r="51" spans="1:39">
      <c r="A51" s="65" t="str">
        <f>Methodology!B9</f>
        <v>Pumping</v>
      </c>
      <c r="B51" s="230" t="str">
        <f>Methodology!C9</f>
        <v>P</v>
      </c>
      <c r="C51" s="67">
        <f>Methodology!D9</f>
        <v>0.1788716237927602</v>
      </c>
      <c r="D51" s="67"/>
      <c r="E51" s="67">
        <f>Methodology!F9</f>
        <v>2.5000000000000001E-2</v>
      </c>
      <c r="F51" s="67"/>
      <c r="G51" s="67">
        <f>Methodology!H9</f>
        <v>0.35</v>
      </c>
      <c r="H51" s="67">
        <f>Methodology!I9</f>
        <v>0</v>
      </c>
      <c r="I51" s="67">
        <f>Methodology!J9</f>
        <v>8.5000000000000006E-2</v>
      </c>
      <c r="J51" s="67">
        <f>Methodology!K9</f>
        <v>0.28000000000000003</v>
      </c>
      <c r="K51" s="67">
        <f>Methodology!L9</f>
        <v>0.13</v>
      </c>
      <c r="L51" s="2"/>
      <c r="M51" s="2"/>
      <c r="N51" s="2"/>
    </row>
    <row r="52" spans="1:39">
      <c r="A52" s="65" t="str">
        <f>Methodology!B10</f>
        <v>Fans</v>
      </c>
      <c r="B52" s="230" t="str">
        <f>Methodology!C10</f>
        <v>F</v>
      </c>
      <c r="C52" s="67">
        <f>Methodology!D10</f>
        <v>6.8871623792760225E-2</v>
      </c>
      <c r="D52" s="67"/>
      <c r="E52" s="67">
        <f>Methodology!F10</f>
        <v>4.4999999999999998E-2</v>
      </c>
      <c r="F52" s="67"/>
      <c r="G52" s="67">
        <f>Methodology!H10</f>
        <v>0.08</v>
      </c>
      <c r="H52" s="67">
        <f>Methodology!I10</f>
        <v>0</v>
      </c>
      <c r="I52" s="67">
        <f>Methodology!J10</f>
        <v>0.09</v>
      </c>
      <c r="J52" s="67">
        <f>Methodology!K10</f>
        <v>0.04</v>
      </c>
      <c r="K52" s="67">
        <f>Methodology!L10</f>
        <v>5.5350000000000003E-2</v>
      </c>
      <c r="L52" s="2"/>
      <c r="M52" s="2"/>
      <c r="N52" s="2"/>
    </row>
    <row r="53" spans="1:39">
      <c r="A53" s="65" t="str">
        <f>Methodology!B11</f>
        <v>Other motive</v>
      </c>
      <c r="B53" s="230" t="str">
        <f>Methodology!C11</f>
        <v>O</v>
      </c>
      <c r="C53" s="67">
        <f>Methodology!D11</f>
        <v>0.3379309937720022</v>
      </c>
      <c r="D53" s="67"/>
      <c r="E53" s="67">
        <f>Methodology!F11</f>
        <v>0.41499999999999998</v>
      </c>
      <c r="F53" s="67"/>
      <c r="G53" s="67">
        <f>Methodology!H11</f>
        <v>0.2</v>
      </c>
      <c r="H53" s="67">
        <f>Methodology!I11</f>
        <v>7.0000000000000007E-2</v>
      </c>
      <c r="I53" s="67">
        <f>Methodology!J11</f>
        <v>0.39500000000000002</v>
      </c>
      <c r="J53" s="67">
        <f>Methodology!K11</f>
        <v>0.21</v>
      </c>
      <c r="K53" s="67">
        <f>Methodology!L11</f>
        <v>0.36883000000000005</v>
      </c>
      <c r="L53" s="2"/>
      <c r="M53" s="2"/>
      <c r="N53" s="2"/>
    </row>
    <row r="54" spans="1:39">
      <c r="A54" s="65" t="str">
        <f>Methodology!B12</f>
        <v>Electrochemical</v>
      </c>
      <c r="B54" s="230" t="str">
        <f>Methodology!C12</f>
        <v>E</v>
      </c>
      <c r="C54" s="67">
        <f>Methodology!D12</f>
        <v>2.3E-3</v>
      </c>
      <c r="D54" s="67"/>
      <c r="E54" s="67">
        <f>Methodology!F12</f>
        <v>0</v>
      </c>
      <c r="F54" s="67"/>
      <c r="G54" s="67">
        <f>Methodology!H12</f>
        <v>0.08</v>
      </c>
      <c r="H54" s="67">
        <f>Methodology!I12</f>
        <v>0.9</v>
      </c>
      <c r="I54" s="67">
        <f>Methodology!J12</f>
        <v>0</v>
      </c>
      <c r="J54" s="67">
        <f>Methodology!K12</f>
        <v>0</v>
      </c>
      <c r="K54" s="67">
        <f>Methodology!L12</f>
        <v>1.302E-2</v>
      </c>
      <c r="L54" s="2"/>
      <c r="M54" s="2"/>
      <c r="N54" s="2"/>
    </row>
    <row r="55" spans="1:39">
      <c r="A55" s="65" t="str">
        <f>Methodology!B13</f>
        <v>boiler/process heating</v>
      </c>
      <c r="B55" s="230" t="str">
        <f>Methodology!C13</f>
        <v>S</v>
      </c>
      <c r="C55" s="67">
        <f>Methodology!D13</f>
        <v>0</v>
      </c>
      <c r="D55" s="144"/>
      <c r="E55" s="67">
        <f>Methodology!F13</f>
        <v>0</v>
      </c>
      <c r="F55" s="67"/>
      <c r="G55" s="67">
        <f>Methodology!H13</f>
        <v>0.01</v>
      </c>
      <c r="H55" s="67">
        <f>Methodology!I13</f>
        <v>0</v>
      </c>
      <c r="I55" s="67">
        <f>Methodology!J13</f>
        <v>0</v>
      </c>
      <c r="J55" s="67">
        <f>Methodology!K13</f>
        <v>0.02</v>
      </c>
      <c r="K55" s="243">
        <f>Methodology!L13</f>
        <v>0.01</v>
      </c>
      <c r="L55" s="2"/>
      <c r="M55" s="2"/>
      <c r="N55" s="2"/>
    </row>
    <row r="56" spans="1:39">
      <c r="A56" s="65" t="str">
        <f>Methodology!B14</f>
        <v>Non-Energy Use</v>
      </c>
      <c r="B56" s="230" t="str">
        <f>Methodology!C14</f>
        <v>T</v>
      </c>
      <c r="C56" s="67">
        <f>Methodology!D14</f>
        <v>1</v>
      </c>
      <c r="D56" s="67">
        <f>Methodology!E14</f>
        <v>1</v>
      </c>
      <c r="E56" s="67">
        <f>Methodology!F14</f>
        <v>1</v>
      </c>
      <c r="F56" s="67">
        <f>Methodology!G14</f>
        <v>0</v>
      </c>
      <c r="G56" s="67">
        <f>Methodology!H14</f>
        <v>0</v>
      </c>
      <c r="H56" s="67">
        <f>Methodology!I14</f>
        <v>0</v>
      </c>
      <c r="I56" s="67">
        <f>Methodology!J14</f>
        <v>0</v>
      </c>
      <c r="J56" s="67">
        <f>Methodology!K14</f>
        <v>1</v>
      </c>
      <c r="K56" s="67">
        <f>Methodology!L14</f>
        <v>2</v>
      </c>
      <c r="L56" s="2"/>
      <c r="M56" s="2"/>
      <c r="N56" s="2"/>
    </row>
    <row r="57" spans="1:39">
      <c r="A57" s="65" t="str">
        <f>Methodology!B15</f>
        <v>Transport</v>
      </c>
      <c r="B57" s="230" t="str">
        <f>Methodology!C15</f>
        <v>R</v>
      </c>
      <c r="C57" s="67">
        <f>Methodology!D15</f>
        <v>0.18584628215542981</v>
      </c>
      <c r="D57" s="67">
        <v>0.05</v>
      </c>
      <c r="E57" s="67">
        <v>0.15</v>
      </c>
      <c r="F57" s="67">
        <v>0</v>
      </c>
      <c r="G57" s="67">
        <f>Methodology!H15</f>
        <v>0.13</v>
      </c>
      <c r="H57" s="67">
        <f>Methodology!I15</f>
        <v>0.04</v>
      </c>
      <c r="I57" s="67">
        <f>Methodology!J15</f>
        <v>0.35</v>
      </c>
      <c r="J57" s="67">
        <f>Methodology!K15</f>
        <v>0.10929999999999999</v>
      </c>
      <c r="K57" s="67">
        <f>Methodology!L15</f>
        <v>0.01</v>
      </c>
      <c r="L57" s="2"/>
      <c r="M57" s="2"/>
      <c r="N57" s="2"/>
    </row>
    <row r="58" spans="1:39">
      <c r="A58" s="65" t="str">
        <f>Methodology!B16</f>
        <v>Total</v>
      </c>
      <c r="B58" s="230"/>
      <c r="C58" s="47">
        <f t="shared" ref="C58:J58" si="12">SUM(C46:C57)</f>
        <v>2.1858462821554299</v>
      </c>
      <c r="D58" s="47">
        <f t="shared" si="12"/>
        <v>2.0499999999999998</v>
      </c>
      <c r="E58" s="47">
        <f t="shared" si="12"/>
        <v>2.15</v>
      </c>
      <c r="F58" s="47">
        <f t="shared" si="12"/>
        <v>0</v>
      </c>
      <c r="G58" s="47">
        <f t="shared" si="12"/>
        <v>1.1299999999999999</v>
      </c>
      <c r="H58" s="47">
        <f t="shared" si="12"/>
        <v>1.04</v>
      </c>
      <c r="I58" s="47">
        <f t="shared" si="12"/>
        <v>1.35</v>
      </c>
      <c r="J58" s="47">
        <f t="shared" si="12"/>
        <v>2.1093000000000002</v>
      </c>
      <c r="K58" s="47">
        <f>SUM(K46:K57)</f>
        <v>3.01</v>
      </c>
      <c r="L58" s="2"/>
      <c r="M58" s="2"/>
      <c r="N58" s="2"/>
      <c r="AM58" s="72"/>
    </row>
    <row r="59" spans="1:39">
      <c r="A59" s="64"/>
      <c r="B59" s="2"/>
      <c r="C59" s="43"/>
      <c r="D59" s="43"/>
      <c r="E59" s="43"/>
      <c r="F59" s="43"/>
      <c r="G59" s="43"/>
      <c r="H59" s="43"/>
      <c r="I59" s="43"/>
      <c r="J59" s="43"/>
      <c r="K59" s="2"/>
      <c r="L59" s="2"/>
      <c r="M59" s="2"/>
      <c r="N59" s="2"/>
      <c r="AM59" s="72"/>
    </row>
    <row r="60" spans="1:39">
      <c r="A60" s="40" t="s">
        <v>416</v>
      </c>
      <c r="B60" s="40" t="s">
        <v>259</v>
      </c>
      <c r="C60" s="44" t="str">
        <f t="shared" ref="C60:J60" si="13">+C45</f>
        <v>MI</v>
      </c>
      <c r="D60" s="44" t="str">
        <f t="shared" si="13"/>
        <v>FA</v>
      </c>
      <c r="E60" s="44" t="str">
        <f t="shared" si="13"/>
        <v>IS</v>
      </c>
      <c r="F60" s="44" t="str">
        <f t="shared" si="13"/>
        <v>AL</v>
      </c>
      <c r="G60" s="44" t="str">
        <f t="shared" si="13"/>
        <v>CP</v>
      </c>
      <c r="H60" s="44" t="str">
        <f t="shared" si="13"/>
        <v>NF</v>
      </c>
      <c r="I60" s="44" t="str">
        <f t="shared" si="13"/>
        <v>NM</v>
      </c>
      <c r="J60" s="44" t="str">
        <f t="shared" si="13"/>
        <v>FB</v>
      </c>
      <c r="K60" s="44" t="str">
        <f>+K45</f>
        <v>OT</v>
      </c>
      <c r="L60" s="44" t="s">
        <v>275</v>
      </c>
      <c r="M60" s="2"/>
      <c r="N60" s="2"/>
      <c r="O60" s="2"/>
      <c r="AM60" s="72"/>
    </row>
    <row r="61" spans="1:39">
      <c r="A61" s="65" t="str">
        <f>A$31</f>
        <v>Elec Heating</v>
      </c>
      <c r="B61" s="46" t="str">
        <f t="shared" ref="B61:B70" si="14">+B46</f>
        <v>K</v>
      </c>
      <c r="C61" s="39">
        <f t="shared" ref="C61:K61" si="15">C46*INDEX($F$10:$F$19,MATCH(C$60,$B$10:$B$19,0))</f>
        <v>1.5483671599004531</v>
      </c>
      <c r="D61" s="39">
        <f t="shared" si="15"/>
        <v>51.899000000000001</v>
      </c>
      <c r="E61" s="39">
        <f t="shared" si="15"/>
        <v>6.9248000000000012</v>
      </c>
      <c r="F61" s="39">
        <f t="shared" si="15"/>
        <v>0</v>
      </c>
      <c r="G61" s="39">
        <f t="shared" si="15"/>
        <v>0.80918000000000012</v>
      </c>
      <c r="H61" s="39">
        <f t="shared" si="15"/>
        <v>0.10062942167027458</v>
      </c>
      <c r="I61" s="39">
        <f t="shared" si="15"/>
        <v>1.3512500000000001</v>
      </c>
      <c r="J61" s="39">
        <f t="shared" si="15"/>
        <v>1.04664</v>
      </c>
      <c r="K61" s="39">
        <f t="shared" si="15"/>
        <v>2.1816720000000003</v>
      </c>
      <c r="L61" s="48">
        <f>SUM(C61:K61)</f>
        <v>65.861538581570741</v>
      </c>
      <c r="M61" s="7">
        <f t="shared" ref="M61:M70" si="16">L61/$K$73</f>
        <v>0.2737543182517409</v>
      </c>
      <c r="N61" s="2"/>
      <c r="AM61" s="72"/>
    </row>
    <row r="62" spans="1:39">
      <c r="A62" s="65" t="str">
        <f>A$32</f>
        <v>Compressed air</v>
      </c>
      <c r="B62" s="46" t="str">
        <f t="shared" si="14"/>
        <v>A</v>
      </c>
      <c r="C62" s="39">
        <f t="shared" ref="C62:K62" si="17">C47*INDEX($F$10:$F$19,MATCH(C$60,$B$10:$B$19,0))</f>
        <v>14.387914003953057</v>
      </c>
      <c r="D62" s="39">
        <f t="shared" si="17"/>
        <v>0</v>
      </c>
      <c r="E62" s="39">
        <f t="shared" si="17"/>
        <v>0.86560000000000015</v>
      </c>
      <c r="F62" s="39">
        <f t="shared" si="17"/>
        <v>0</v>
      </c>
      <c r="G62" s="39">
        <f t="shared" si="17"/>
        <v>6.0688500000000003</v>
      </c>
      <c r="H62" s="39">
        <f t="shared" si="17"/>
        <v>0</v>
      </c>
      <c r="I62" s="39">
        <f t="shared" si="17"/>
        <v>0.76375000000000004</v>
      </c>
      <c r="J62" s="39">
        <f t="shared" si="17"/>
        <v>0.59808000000000006</v>
      </c>
      <c r="K62" s="39">
        <f t="shared" si="17"/>
        <v>2.4710543999999999</v>
      </c>
      <c r="L62" s="48">
        <f t="shared" ref="L62:L70" si="18">SUM(C62:K62)</f>
        <v>25.15524840395306</v>
      </c>
      <c r="M62" s="7">
        <f t="shared" si="16"/>
        <v>0.10455810820071385</v>
      </c>
      <c r="N62" s="2"/>
      <c r="AM62" s="72"/>
    </row>
    <row r="63" spans="1:39">
      <c r="A63" s="65" t="str">
        <f>A$33</f>
        <v>Lighting</v>
      </c>
      <c r="B63" s="46" t="str">
        <f t="shared" si="14"/>
        <v>L</v>
      </c>
      <c r="C63" s="39">
        <f t="shared" ref="C63:K63" si="19">C48*INDEX($F$10:$F$19,MATCH(C$60,$B$10:$B$19,0))</f>
        <v>3.4838261097760195</v>
      </c>
      <c r="D63" s="39">
        <f t="shared" si="19"/>
        <v>0</v>
      </c>
      <c r="E63" s="39">
        <f t="shared" si="19"/>
        <v>0.60592000000000013</v>
      </c>
      <c r="F63" s="39">
        <f t="shared" si="19"/>
        <v>0</v>
      </c>
      <c r="G63" s="39">
        <f t="shared" si="19"/>
        <v>1.6183600000000002</v>
      </c>
      <c r="H63" s="39">
        <f t="shared" si="19"/>
        <v>0.10062942167027458</v>
      </c>
      <c r="I63" s="39">
        <f t="shared" si="19"/>
        <v>0.29375000000000001</v>
      </c>
      <c r="J63" s="39">
        <f t="shared" si="19"/>
        <v>0.74760000000000004</v>
      </c>
      <c r="K63" s="39">
        <f t="shared" si="19"/>
        <v>1.8244656000000001</v>
      </c>
      <c r="L63" s="48">
        <f t="shared" si="18"/>
        <v>8.6745511314462949</v>
      </c>
      <c r="M63" s="7">
        <f t="shared" si="16"/>
        <v>3.6055881509476778E-2</v>
      </c>
      <c r="N63" s="2"/>
      <c r="AM63" s="72"/>
    </row>
    <row r="64" spans="1:39">
      <c r="A64" s="65" t="str">
        <f>$A$34</f>
        <v>Cooling</v>
      </c>
      <c r="B64" s="46" t="str">
        <f t="shared" si="14"/>
        <v>C</v>
      </c>
      <c r="C64" s="39">
        <f t="shared" ref="C64:K64" si="20">C49*INDEX($F$10:$F$19,MATCH(C$60,$B$10:$B$19,0))</f>
        <v>6.284781772522769</v>
      </c>
      <c r="D64" s="39">
        <f t="shared" si="20"/>
        <v>0</v>
      </c>
      <c r="E64" s="39">
        <f t="shared" si="20"/>
        <v>0.17312000000000002</v>
      </c>
      <c r="F64" s="39">
        <f t="shared" si="20"/>
        <v>0</v>
      </c>
      <c r="G64" s="39">
        <f t="shared" si="20"/>
        <v>2.0229500000000002</v>
      </c>
      <c r="H64" s="39">
        <f t="shared" si="20"/>
        <v>0</v>
      </c>
      <c r="I64" s="39">
        <f t="shared" si="20"/>
        <v>0</v>
      </c>
      <c r="J64" s="39">
        <f t="shared" si="20"/>
        <v>3.4389600000000002</v>
      </c>
      <c r="K64" s="39">
        <f t="shared" si="20"/>
        <v>1.1620512000000003</v>
      </c>
      <c r="L64" s="48">
        <f t="shared" si="18"/>
        <v>13.081862972522769</v>
      </c>
      <c r="M64" s="7">
        <f t="shared" si="16"/>
        <v>5.4374928928668437E-2</v>
      </c>
      <c r="N64" s="2"/>
      <c r="AM64" s="72"/>
    </row>
    <row r="65" spans="1:51">
      <c r="A65" s="65" t="str">
        <f>$A$35</f>
        <v>HVAC</v>
      </c>
      <c r="B65" s="46" t="str">
        <f t="shared" si="14"/>
        <v>H</v>
      </c>
      <c r="C65" s="39">
        <f t="shared" ref="C65:K65" si="21">C50*INDEX($F$10:$F$19,MATCH(C$60,$B$10:$B$19,0))</f>
        <v>6.1934686396018126</v>
      </c>
      <c r="D65" s="39">
        <f t="shared" si="21"/>
        <v>0</v>
      </c>
      <c r="E65" s="39">
        <f t="shared" si="21"/>
        <v>0.34624000000000005</v>
      </c>
      <c r="F65" s="39">
        <f t="shared" si="21"/>
        <v>0</v>
      </c>
      <c r="G65" s="39">
        <f t="shared" si="21"/>
        <v>0.80918000000000012</v>
      </c>
      <c r="H65" s="39">
        <f t="shared" si="21"/>
        <v>0.10062942167027458</v>
      </c>
      <c r="I65" s="39">
        <f t="shared" si="21"/>
        <v>0.11750000000000001</v>
      </c>
      <c r="J65" s="39">
        <f t="shared" si="21"/>
        <v>0.89711999999999992</v>
      </c>
      <c r="K65" s="39">
        <f t="shared" si="21"/>
        <v>1.9194192000000001</v>
      </c>
      <c r="L65" s="48">
        <f t="shared" si="18"/>
        <v>10.383557261272086</v>
      </c>
      <c r="M65" s="7">
        <f t="shared" si="16"/>
        <v>4.315938710673925E-2</v>
      </c>
      <c r="N65" s="2"/>
      <c r="AM65" s="254"/>
    </row>
    <row r="66" spans="1:51">
      <c r="A66" s="65" t="str">
        <f>$A$36</f>
        <v>Pumping</v>
      </c>
      <c r="B66" s="46" t="str">
        <f t="shared" si="14"/>
        <v>P</v>
      </c>
      <c r="C66" s="39">
        <f t="shared" ref="C66:K66" si="22">C51*INDEX($F$10:$F$19,MATCH(C$60,$B$10:$B$19,0))</f>
        <v>13.847947405938921</v>
      </c>
      <c r="D66" s="39">
        <f t="shared" si="22"/>
        <v>0</v>
      </c>
      <c r="E66" s="39">
        <f t="shared" si="22"/>
        <v>0.43280000000000007</v>
      </c>
      <c r="F66" s="39">
        <f t="shared" si="22"/>
        <v>0</v>
      </c>
      <c r="G66" s="39">
        <f t="shared" si="22"/>
        <v>14.16065</v>
      </c>
      <c r="H66" s="39">
        <f t="shared" si="22"/>
        <v>0</v>
      </c>
      <c r="I66" s="39">
        <f t="shared" si="22"/>
        <v>0.49937500000000001</v>
      </c>
      <c r="J66" s="39">
        <f t="shared" si="22"/>
        <v>4.1865600000000001</v>
      </c>
      <c r="K66" s="39">
        <f t="shared" si="22"/>
        <v>2.9390400000000003</v>
      </c>
      <c r="L66" s="48">
        <f t="shared" si="18"/>
        <v>36.066372405938921</v>
      </c>
      <c r="M66" s="7">
        <f t="shared" si="16"/>
        <v>0.1499103331388609</v>
      </c>
      <c r="N66" s="2"/>
      <c r="AM66" s="254"/>
    </row>
    <row r="67" spans="1:51">
      <c r="A67" s="65" t="str">
        <f>$A$37</f>
        <v>Fans</v>
      </c>
      <c r="B67" s="46" t="str">
        <f t="shared" si="14"/>
        <v>F</v>
      </c>
      <c r="C67" s="39">
        <f t="shared" ref="C67:K67" si="23">C52*INDEX($F$10:$F$19,MATCH(C$60,$B$10:$B$19,0))</f>
        <v>5.3319280264864313</v>
      </c>
      <c r="D67" s="39">
        <f t="shared" si="23"/>
        <v>0</v>
      </c>
      <c r="E67" s="39">
        <f t="shared" si="23"/>
        <v>0.77904000000000007</v>
      </c>
      <c r="F67" s="39">
        <f t="shared" si="23"/>
        <v>0</v>
      </c>
      <c r="G67" s="39">
        <f t="shared" si="23"/>
        <v>3.2367200000000005</v>
      </c>
      <c r="H67" s="39">
        <f t="shared" si="23"/>
        <v>0</v>
      </c>
      <c r="I67" s="39">
        <f t="shared" si="23"/>
        <v>0.52874999999999994</v>
      </c>
      <c r="J67" s="39">
        <f t="shared" si="23"/>
        <v>0.59808000000000006</v>
      </c>
      <c r="K67" s="39">
        <f t="shared" si="23"/>
        <v>1.2513528</v>
      </c>
      <c r="L67" s="48">
        <f t="shared" si="18"/>
        <v>11.725870826486432</v>
      </c>
      <c r="M67" s="7">
        <f t="shared" si="16"/>
        <v>4.8738730420594657E-2</v>
      </c>
      <c r="N67" s="2"/>
    </row>
    <row r="68" spans="1:51">
      <c r="A68" s="65" t="str">
        <f>$A$38</f>
        <v>Other motive</v>
      </c>
      <c r="B68" s="46" t="str">
        <f t="shared" si="14"/>
        <v>O</v>
      </c>
      <c r="C68" s="39">
        <f t="shared" ref="C68:K68" si="24">C53*INDEX($F$10:$F$19,MATCH(C$60,$B$10:$B$19,0))</f>
        <v>26.16206265345464</v>
      </c>
      <c r="D68" s="39">
        <f t="shared" si="24"/>
        <v>0</v>
      </c>
      <c r="E68" s="39">
        <f t="shared" si="24"/>
        <v>7.1844799999999998</v>
      </c>
      <c r="F68" s="39">
        <f t="shared" si="24"/>
        <v>0</v>
      </c>
      <c r="G68" s="39">
        <f t="shared" si="24"/>
        <v>8.091800000000001</v>
      </c>
      <c r="H68" s="39">
        <f t="shared" si="24"/>
        <v>0.70440595169192211</v>
      </c>
      <c r="I68" s="39">
        <f t="shared" si="24"/>
        <v>2.3206250000000002</v>
      </c>
      <c r="J68" s="39">
        <f t="shared" si="24"/>
        <v>3.13992</v>
      </c>
      <c r="K68" s="39">
        <f t="shared" si="24"/>
        <v>8.3385086400000006</v>
      </c>
      <c r="L68" s="48">
        <f t="shared" si="18"/>
        <v>55.941802245146562</v>
      </c>
      <c r="M68" s="7">
        <f t="shared" si="16"/>
        <v>0.23252280868638905</v>
      </c>
      <c r="N68" s="2"/>
    </row>
    <row r="69" spans="1:51">
      <c r="A69" s="65" t="str">
        <f>$A$39</f>
        <v>Electrochemical</v>
      </c>
      <c r="B69" s="46" t="str">
        <f t="shared" si="14"/>
        <v>E</v>
      </c>
      <c r="C69" s="39">
        <f t="shared" ref="C69:K69" si="25">C54*INDEX($F$10:$F$19,MATCH(C$60,$B$10:$B$19,0))</f>
        <v>0.17806222338855213</v>
      </c>
      <c r="D69" s="39">
        <f t="shared" si="25"/>
        <v>0</v>
      </c>
      <c r="E69" s="39">
        <f t="shared" si="25"/>
        <v>0</v>
      </c>
      <c r="F69" s="39">
        <f t="shared" si="25"/>
        <v>0</v>
      </c>
      <c r="G69" s="39">
        <f t="shared" si="25"/>
        <v>3.2367200000000005</v>
      </c>
      <c r="H69" s="39">
        <f t="shared" si="25"/>
        <v>9.056647950324713</v>
      </c>
      <c r="I69" s="39">
        <f t="shared" si="25"/>
        <v>0</v>
      </c>
      <c r="J69" s="39">
        <f t="shared" si="25"/>
        <v>0</v>
      </c>
      <c r="K69" s="39">
        <f t="shared" si="25"/>
        <v>0.29435616000000003</v>
      </c>
      <c r="L69" s="48">
        <f t="shared" si="18"/>
        <v>12.765786333713265</v>
      </c>
      <c r="M69" s="7">
        <f t="shared" si="16"/>
        <v>5.3061152381140148E-2</v>
      </c>
      <c r="N69" s="2"/>
    </row>
    <row r="70" spans="1:51">
      <c r="A70" s="143" t="str">
        <f>$A$40</f>
        <v>boiler/process heating</v>
      </c>
      <c r="B70" s="44" t="str">
        <f t="shared" si="14"/>
        <v>S</v>
      </c>
      <c r="C70" s="145">
        <f t="shared" ref="C70:K70" si="26">C55*INDEX($F$10:$F$19,MATCH(C$60,$B$10:$B$19,0))</f>
        <v>0</v>
      </c>
      <c r="D70" s="145">
        <f t="shared" si="26"/>
        <v>0</v>
      </c>
      <c r="E70" s="145">
        <f t="shared" si="26"/>
        <v>0</v>
      </c>
      <c r="F70" s="145">
        <f t="shared" si="26"/>
        <v>0</v>
      </c>
      <c r="G70" s="145">
        <f t="shared" si="26"/>
        <v>0.40459000000000006</v>
      </c>
      <c r="H70" s="145">
        <f t="shared" si="26"/>
        <v>0</v>
      </c>
      <c r="I70" s="145">
        <f t="shared" si="26"/>
        <v>0</v>
      </c>
      <c r="J70" s="145">
        <f t="shared" si="26"/>
        <v>0.29904000000000003</v>
      </c>
      <c r="K70" s="145">
        <f t="shared" si="26"/>
        <v>0.22608</v>
      </c>
      <c r="L70" s="48">
        <f t="shared" si="18"/>
        <v>0.92971000000000004</v>
      </c>
      <c r="M70" s="146">
        <f t="shared" si="16"/>
        <v>3.8643513756759272E-3</v>
      </c>
      <c r="N70" s="2"/>
    </row>
    <row r="71" spans="1:51">
      <c r="A71" s="65" t="str">
        <f>A41</f>
        <v>Non-Energy Use</v>
      </c>
      <c r="B71" s="46" t="s">
        <v>272</v>
      </c>
      <c r="C71" s="39"/>
      <c r="D71" s="39"/>
      <c r="E71" s="39"/>
      <c r="F71" s="39"/>
      <c r="G71" s="39"/>
      <c r="H71" s="39"/>
      <c r="I71" s="39"/>
      <c r="J71" s="39"/>
      <c r="K71" s="48"/>
      <c r="L71" s="7"/>
      <c r="M71" s="2"/>
    </row>
    <row r="72" spans="1:51">
      <c r="A72" s="65" t="str">
        <f>A42</f>
        <v>Transport</v>
      </c>
      <c r="B72" s="46" t="s">
        <v>274</v>
      </c>
      <c r="C72" s="39"/>
      <c r="D72" s="39"/>
      <c r="E72" s="39"/>
      <c r="F72" s="39"/>
      <c r="G72" s="39"/>
      <c r="H72" s="39"/>
      <c r="I72" s="39"/>
      <c r="J72" s="39"/>
      <c r="K72" s="48"/>
      <c r="L72" s="7"/>
      <c r="M72" s="2"/>
    </row>
    <row r="73" spans="1:51">
      <c r="A73" s="49" t="str">
        <f>A58</f>
        <v>Total</v>
      </c>
      <c r="B73" s="45"/>
      <c r="C73" s="48">
        <f>SUM(C61:C70)</f>
        <v>77.418357995022646</v>
      </c>
      <c r="D73" s="48">
        <f t="shared" ref="D73:J73" si="27">SUM(D61:D70)</f>
        <v>51.899000000000001</v>
      </c>
      <c r="E73" s="48">
        <f t="shared" si="27"/>
        <v>17.312000000000001</v>
      </c>
      <c r="F73" s="48">
        <f t="shared" si="27"/>
        <v>0</v>
      </c>
      <c r="G73" s="48">
        <f t="shared" si="27"/>
        <v>40.459000000000003</v>
      </c>
      <c r="H73" s="48">
        <f t="shared" si="27"/>
        <v>10.062942167027458</v>
      </c>
      <c r="I73" s="48">
        <f t="shared" si="27"/>
        <v>5.8750000000000009</v>
      </c>
      <c r="J73" s="48">
        <f t="shared" si="27"/>
        <v>14.952</v>
      </c>
      <c r="K73" s="48">
        <f>SUM(L61:L70)</f>
        <v>240.58630016205015</v>
      </c>
      <c r="L73" s="7">
        <f>K73/$K$73</f>
        <v>1</v>
      </c>
      <c r="M73" s="2"/>
      <c r="P73" s="2"/>
      <c r="Q73" s="2"/>
      <c r="R73" s="2"/>
      <c r="S73" s="2"/>
      <c r="T73" s="2"/>
      <c r="U73" s="2"/>
      <c r="V73" s="2"/>
    </row>
    <row r="74" spans="1:51">
      <c r="A74" s="50"/>
      <c r="B74" s="51"/>
      <c r="C74" s="52"/>
      <c r="D74" s="52"/>
      <c r="E74" s="52"/>
      <c r="F74" s="52"/>
      <c r="G74" s="52"/>
      <c r="H74" s="52"/>
      <c r="I74" s="52"/>
      <c r="J74" s="52"/>
      <c r="K74" s="52"/>
      <c r="L74" s="2"/>
      <c r="M74" s="2"/>
      <c r="N74" s="2"/>
      <c r="O74" s="74"/>
      <c r="P74" s="2"/>
      <c r="Q74" s="2"/>
      <c r="R74" s="2"/>
      <c r="S74" s="2"/>
      <c r="T74" s="2"/>
      <c r="U74" s="2"/>
      <c r="V74" s="2"/>
    </row>
    <row r="75" spans="1:51" ht="12.75" customHeight="1">
      <c r="A75" s="62"/>
      <c r="B75" s="63"/>
      <c r="C75" s="43"/>
      <c r="D75" s="43"/>
      <c r="E75" s="43"/>
      <c r="F75" s="43"/>
      <c r="G75" s="43"/>
      <c r="H75" s="43"/>
      <c r="I75" s="43"/>
      <c r="J75" s="43"/>
      <c r="K75" s="43"/>
      <c r="L75" s="2"/>
      <c r="M75" s="2"/>
      <c r="N75" s="2"/>
      <c r="O75" s="2">
        <v>0.5</v>
      </c>
      <c r="P75" s="2">
        <v>1</v>
      </c>
      <c r="Q75" s="2">
        <v>1</v>
      </c>
      <c r="R75" s="2"/>
      <c r="S75" s="2"/>
      <c r="T75" s="2">
        <v>0.9</v>
      </c>
      <c r="U75" s="2">
        <v>0</v>
      </c>
      <c r="V75" s="2">
        <v>0</v>
      </c>
      <c r="Z75" s="26" t="s">
        <v>413</v>
      </c>
      <c r="AH75" s="255" t="s">
        <v>834</v>
      </c>
      <c r="AI75" s="256"/>
      <c r="AJ75" s="256"/>
      <c r="AK75" s="256"/>
      <c r="AL75" s="256"/>
      <c r="AM75" s="256"/>
      <c r="AO75" s="265" t="s">
        <v>623</v>
      </c>
      <c r="AP75" s="256"/>
      <c r="AQ75" s="256"/>
      <c r="AR75" s="256"/>
      <c r="AS75" s="256"/>
      <c r="AT75" s="256"/>
      <c r="AV75" s="265" t="s">
        <v>835</v>
      </c>
      <c r="AW75" s="265"/>
      <c r="AX75" s="265"/>
      <c r="AY75" s="265"/>
    </row>
    <row r="76" spans="1:51" ht="15">
      <c r="A76" s="2"/>
      <c r="B76" s="2"/>
      <c r="C76" s="36"/>
      <c r="D76" s="268" t="s">
        <v>835</v>
      </c>
      <c r="E76" s="2"/>
      <c r="F76" s="2"/>
      <c r="G76" s="2"/>
      <c r="H76" s="2"/>
      <c r="I76" s="2"/>
      <c r="J76" s="36"/>
      <c r="K76" s="2"/>
      <c r="L76" s="2"/>
      <c r="M76" s="2"/>
      <c r="N76" s="2"/>
      <c r="O76" s="74"/>
      <c r="P76" s="194">
        <v>0</v>
      </c>
      <c r="Q76" s="74"/>
      <c r="R76" s="74"/>
      <c r="S76" s="74"/>
      <c r="T76" s="74"/>
      <c r="U76" s="74"/>
      <c r="V76" s="74"/>
      <c r="W76" s="74"/>
      <c r="X76" s="74"/>
      <c r="Y76" s="74"/>
      <c r="Z76" s="259"/>
      <c r="AA76" s="148"/>
      <c r="AB76" s="148"/>
      <c r="AC76" s="148"/>
      <c r="AD76" s="148"/>
      <c r="AE76" s="118"/>
      <c r="AH76" s="257" t="s">
        <v>431</v>
      </c>
      <c r="AI76" s="257" t="s">
        <v>430</v>
      </c>
      <c r="AJ76" s="257" t="s">
        <v>606</v>
      </c>
      <c r="AK76" s="257" t="s">
        <v>607</v>
      </c>
      <c r="AL76" s="257" t="s">
        <v>608</v>
      </c>
      <c r="AM76" s="257" t="s">
        <v>609</v>
      </c>
      <c r="AO76" s="257" t="s">
        <v>485</v>
      </c>
      <c r="AP76" s="257" t="s">
        <v>486</v>
      </c>
      <c r="AQ76" s="257" t="s">
        <v>487</v>
      </c>
      <c r="AR76" s="257" t="s">
        <v>624</v>
      </c>
      <c r="AS76" s="257" t="s">
        <v>625</v>
      </c>
      <c r="AT76" s="257"/>
      <c r="AV76" s="265" t="s">
        <v>626</v>
      </c>
      <c r="AW76" s="265" t="s">
        <v>485</v>
      </c>
      <c r="AX76" s="265" t="s">
        <v>627</v>
      </c>
      <c r="AY76" s="265">
        <v>2017</v>
      </c>
    </row>
    <row r="77" spans="1:51" ht="38.25">
      <c r="A77" s="53" t="s">
        <v>430</v>
      </c>
      <c r="B77" s="53" t="s">
        <v>431</v>
      </c>
      <c r="C77" s="53" t="s">
        <v>432</v>
      </c>
      <c r="D77" s="53" t="s">
        <v>433</v>
      </c>
      <c r="E77" s="53" t="s">
        <v>477</v>
      </c>
      <c r="F77" s="53" t="s">
        <v>614</v>
      </c>
      <c r="G77" s="53" t="s">
        <v>478</v>
      </c>
      <c r="H77" s="53" t="s">
        <v>479</v>
      </c>
      <c r="I77" s="53" t="s">
        <v>837</v>
      </c>
      <c r="J77" s="53" t="s">
        <v>614</v>
      </c>
      <c r="K77" s="53" t="s">
        <v>614</v>
      </c>
      <c r="L77" s="53" t="s">
        <v>614</v>
      </c>
      <c r="M77" s="53" t="s">
        <v>614</v>
      </c>
      <c r="N77" s="53" t="str">
        <f>"FLO_MARK~UP~"&amp;N79</f>
        <v>FLO_MARK~UP~2017</v>
      </c>
      <c r="O77" s="53" t="str">
        <f t="shared" ref="O77:Q77" si="28">"FLO_MARK~UP~"&amp;O79</f>
        <v>FLO_MARK~UP~2030</v>
      </c>
      <c r="P77" s="53" t="str">
        <f t="shared" si="28"/>
        <v>FLO_MARK~UP~2040</v>
      </c>
      <c r="Q77" s="53" t="str">
        <f t="shared" si="28"/>
        <v>FLO_MARK~UP~2050</v>
      </c>
      <c r="R77" s="53" t="s">
        <v>614</v>
      </c>
      <c r="S77" s="53" t="str">
        <f>"FLO_MARK~LO~"&amp;S79</f>
        <v>FLO_MARK~LO~2017</v>
      </c>
      <c r="T77" s="53" t="str">
        <f t="shared" ref="T77:V77" si="29">"FLO_MARK~LO~"&amp;T79</f>
        <v>FLO_MARK~LO~2030</v>
      </c>
      <c r="U77" s="53" t="str">
        <f t="shared" si="29"/>
        <v>FLO_MARK~LO~2040</v>
      </c>
      <c r="V77" s="53" t="str">
        <f t="shared" si="29"/>
        <v>FLO_MARK~LO~2050</v>
      </c>
      <c r="W77" s="53" t="s">
        <v>614</v>
      </c>
      <c r="X77" s="74"/>
      <c r="Y77" s="74"/>
      <c r="Z77" s="260" t="s">
        <v>621</v>
      </c>
      <c r="AE77" s="13"/>
      <c r="AH77" s="72" t="s">
        <v>476</v>
      </c>
      <c r="AI77" s="72"/>
      <c r="AJ77" s="72"/>
      <c r="AK77" s="72"/>
      <c r="AL77" s="72"/>
      <c r="AM77" s="72"/>
      <c r="AO77" s="72" t="s">
        <v>476</v>
      </c>
      <c r="AP77" s="72"/>
      <c r="AQ77" s="72"/>
      <c r="AR77" s="72"/>
      <c r="AS77" s="72"/>
      <c r="AV77" s="72" t="s">
        <v>476</v>
      </c>
      <c r="AW77" s="72" t="s">
        <v>628</v>
      </c>
      <c r="AX77" s="72" t="s">
        <v>629</v>
      </c>
      <c r="AY77" s="72" t="s">
        <v>630</v>
      </c>
    </row>
    <row r="78" spans="1:51" ht="51.95" customHeight="1" thickBot="1">
      <c r="A78" s="244" t="s">
        <v>615</v>
      </c>
      <c r="B78" s="252" t="s">
        <v>431</v>
      </c>
      <c r="C78" s="252" t="s">
        <v>440</v>
      </c>
      <c r="D78" s="252" t="s">
        <v>441</v>
      </c>
      <c r="E78" s="252" t="s">
        <v>442</v>
      </c>
      <c r="F78" s="252" t="s">
        <v>443</v>
      </c>
      <c r="G78" s="252" t="s">
        <v>444</v>
      </c>
      <c r="H78" s="252" t="s">
        <v>445</v>
      </c>
      <c r="I78" s="80" t="s">
        <v>837</v>
      </c>
      <c r="J78" s="252" t="s">
        <v>446</v>
      </c>
      <c r="K78" s="252" t="s">
        <v>447</v>
      </c>
      <c r="L78" s="252" t="s">
        <v>448</v>
      </c>
      <c r="M78" s="2"/>
      <c r="N78" s="252" t="s">
        <v>622</v>
      </c>
      <c r="O78" s="252"/>
      <c r="P78" s="252"/>
      <c r="Q78" s="252"/>
      <c r="R78" s="252"/>
      <c r="S78" s="252" t="s">
        <v>622</v>
      </c>
      <c r="T78" s="252"/>
      <c r="U78" s="252"/>
      <c r="V78" s="252"/>
      <c r="W78" s="252"/>
      <c r="X78" s="74"/>
      <c r="Y78" s="74"/>
      <c r="Z78" s="261"/>
      <c r="AA78" s="252"/>
      <c r="AB78" s="252"/>
      <c r="AC78" s="252"/>
      <c r="AD78" s="252"/>
      <c r="AE78" s="262"/>
      <c r="AH78" s="72" t="s">
        <v>476</v>
      </c>
      <c r="AI78" s="72"/>
      <c r="AJ78" s="72"/>
      <c r="AK78" s="72"/>
      <c r="AL78" s="72"/>
      <c r="AM78" s="72"/>
      <c r="AO78" s="72" t="s">
        <v>476</v>
      </c>
      <c r="AP78" s="72"/>
      <c r="AQ78" s="72"/>
      <c r="AR78" s="72"/>
      <c r="AS78" s="72"/>
      <c r="AV78" s="72" t="s">
        <v>476</v>
      </c>
      <c r="AW78" s="72"/>
      <c r="AX78" s="72"/>
      <c r="AY78" s="72"/>
    </row>
    <row r="79" spans="1:51">
      <c r="A79" s="12" t="s">
        <v>476</v>
      </c>
      <c r="B79" s="68" t="str">
        <f>+B10</f>
        <v>MI</v>
      </c>
      <c r="C79" s="54"/>
      <c r="D79" s="54"/>
      <c r="E79" s="55" t="s">
        <v>458</v>
      </c>
      <c r="F79" s="55" t="s">
        <v>459</v>
      </c>
      <c r="G79" s="30" t="s">
        <v>460</v>
      </c>
      <c r="H79" s="31" t="s">
        <v>461</v>
      </c>
      <c r="J79" s="30" t="s">
        <v>462</v>
      </c>
      <c r="K79" s="30" t="s">
        <v>463</v>
      </c>
      <c r="L79" s="30" t="s">
        <v>463</v>
      </c>
      <c r="M79" s="2"/>
      <c r="N79" s="74">
        <v>2017</v>
      </c>
      <c r="O79" s="74">
        <v>2030</v>
      </c>
      <c r="P79" s="74">
        <v>2040</v>
      </c>
      <c r="Q79" s="74">
        <v>2050</v>
      </c>
      <c r="R79" s="74"/>
      <c r="S79" s="74">
        <v>2017</v>
      </c>
      <c r="T79" s="74">
        <v>2030</v>
      </c>
      <c r="U79" s="74">
        <v>2040</v>
      </c>
      <c r="V79" s="74">
        <v>2050</v>
      </c>
      <c r="W79" s="74"/>
      <c r="X79" s="74"/>
      <c r="Y79" s="74"/>
      <c r="Z79" s="14">
        <v>2020</v>
      </c>
      <c r="AA79">
        <v>2025</v>
      </c>
      <c r="AB79">
        <v>2030</v>
      </c>
      <c r="AC79">
        <v>2035</v>
      </c>
      <c r="AD79">
        <v>2040</v>
      </c>
      <c r="AE79" s="13">
        <v>2050</v>
      </c>
      <c r="AH79" s="72" t="s">
        <v>476</v>
      </c>
      <c r="AI79" s="72"/>
      <c r="AJ79" s="72"/>
      <c r="AK79" s="72"/>
      <c r="AL79" s="72"/>
      <c r="AM79" s="72"/>
      <c r="AO79" s="72" t="s">
        <v>476</v>
      </c>
      <c r="AP79" s="70"/>
      <c r="AQ79" s="245"/>
      <c r="AR79" s="70"/>
      <c r="AS79" s="70"/>
      <c r="AV79" s="72" t="s">
        <v>476</v>
      </c>
      <c r="AW79" s="72"/>
      <c r="AX79" s="72"/>
      <c r="AY79" s="266"/>
    </row>
    <row r="80" spans="1:51">
      <c r="A80" s="12" t="s">
        <v>476</v>
      </c>
      <c r="B80" s="45"/>
      <c r="C80" s="56">
        <v>1</v>
      </c>
      <c r="D80" s="56">
        <f>C80+1</f>
        <v>2</v>
      </c>
      <c r="E80" s="56">
        <f>D80+1</f>
        <v>3</v>
      </c>
      <c r="F80" s="56">
        <f>E80+1</f>
        <v>4</v>
      </c>
      <c r="G80" s="56">
        <f>F80+1</f>
        <v>5</v>
      </c>
      <c r="H80" s="56">
        <f>G80+1</f>
        <v>6</v>
      </c>
      <c r="J80" s="57"/>
      <c r="K80" s="43"/>
      <c r="L80" s="43"/>
      <c r="M80" s="2"/>
      <c r="N80" s="74"/>
      <c r="O80" s="74"/>
      <c r="P80" s="74"/>
      <c r="Q80" s="74"/>
      <c r="R80" s="74"/>
      <c r="T80" s="74"/>
      <c r="U80" s="74"/>
      <c r="V80" s="74"/>
      <c r="W80" s="74"/>
      <c r="X80" s="74"/>
      <c r="Y80" s="74"/>
      <c r="Z80" s="14"/>
      <c r="AE80" s="13"/>
      <c r="AH80" s="26" t="s">
        <v>476</v>
      </c>
      <c r="AI80" s="70"/>
      <c r="AJ80" s="70"/>
      <c r="AK80" s="70"/>
      <c r="AL80" s="70"/>
      <c r="AM80" s="70"/>
      <c r="AO80" s="72" t="s">
        <v>476</v>
      </c>
      <c r="AP80" s="70"/>
      <c r="AQ80" s="245"/>
      <c r="AR80" s="70"/>
      <c r="AS80" s="70"/>
      <c r="AV80" s="72" t="s">
        <v>476</v>
      </c>
      <c r="AW80" s="72"/>
      <c r="AX80" s="72"/>
      <c r="AY80" s="266"/>
    </row>
    <row r="81" spans="1:51">
      <c r="A81" s="45" t="str">
        <f>IF(VLOOKUP(MID(D81,2,2),$B$10:$M$19,12,FALSE),"","\I:")&amp;A$5&amp;"-"&amp;A$10&amp;"-"&amp;A61&amp;" - Electricity"</f>
        <v>Industry-Mining-Elec Heating - Electricity</v>
      </c>
      <c r="B81" s="45" t="str">
        <f>D81&amp;RIGHT(C81,3)&amp;"-E"</f>
        <v>IMIKELC-E</v>
      </c>
      <c r="C81" s="46" t="str">
        <f t="shared" ref="C81:C89" si="30">$P$10</f>
        <v>IMIELC</v>
      </c>
      <c r="D81" s="46" t="str">
        <f>$B$5&amp;RIGHT($B79,2)&amp;$B$61</f>
        <v>IMIK</v>
      </c>
      <c r="E81" s="58">
        <f>Methodology!C28</f>
        <v>1</v>
      </c>
      <c r="F81" s="60">
        <f>SUMIF(AFA!$C$3:$L$3,RIGHT(D81,1),AFA!$C$4:$L$4)</f>
        <v>0.11433</v>
      </c>
      <c r="G81" s="59">
        <v>100</v>
      </c>
      <c r="H81" s="60">
        <f>L81/F81</f>
        <v>13.542964750288228</v>
      </c>
      <c r="I81">
        <v>0</v>
      </c>
      <c r="J81" s="61">
        <v>1</v>
      </c>
      <c r="K81" s="60">
        <f>J81*SUMIF($C$60:$K$60,$B$79,$C61:$K61)</f>
        <v>1.5483671599004531</v>
      </c>
      <c r="L81" s="60">
        <f>K81*E81</f>
        <v>1.5483671599004531</v>
      </c>
      <c r="M81" s="2"/>
      <c r="N81" s="74" t="str">
        <f>""</f>
        <v/>
      </c>
      <c r="O81" s="74"/>
      <c r="P81" s="74"/>
      <c r="Q81" s="74"/>
      <c r="R81" s="74"/>
      <c r="T81" s="74"/>
      <c r="U81" s="74"/>
      <c r="V81" s="74"/>
      <c r="W81" s="74"/>
      <c r="X81" s="74"/>
      <c r="Y81" s="74"/>
      <c r="Z81" s="14"/>
      <c r="AE81" s="13"/>
      <c r="AH81" t="str">
        <f>B81</f>
        <v>IMIKELC-E</v>
      </c>
      <c r="AI81" t="str">
        <f>A81</f>
        <v>Industry-Mining-Elec Heating - Electricity</v>
      </c>
      <c r="AJ81" s="70" t="s">
        <v>387</v>
      </c>
      <c r="AK81" s="70" t="s">
        <v>610</v>
      </c>
      <c r="AL81" s="70" t="s">
        <v>480</v>
      </c>
      <c r="AM81" s="70" t="s">
        <v>611</v>
      </c>
      <c r="AO81" s="70" t="str">
        <f>D81</f>
        <v>IMIK</v>
      </c>
      <c r="AP81" s="70" t="str">
        <f>"Industry - "&amp;VLOOKUP(RIGHT(LEFT(AO81,3),2),NameConv!$E$21:$F$301,2,FALSE)&amp;" - " &amp;VLOOKUP(RIGHT(AO81,1),NameConv!$D$42:$E$53,2,FALSE)</f>
        <v>Industry - Mining - Elec Heating</v>
      </c>
      <c r="AQ81" s="245" t="s">
        <v>387</v>
      </c>
      <c r="AR81" s="70" t="s">
        <v>631</v>
      </c>
      <c r="AS81" s="70" t="s">
        <v>632</v>
      </c>
      <c r="AV81" s="254" t="s">
        <v>401</v>
      </c>
      <c r="AW81" s="72" t="str">
        <f>AO81</f>
        <v>IMIK</v>
      </c>
      <c r="AX81" s="72" t="s">
        <v>387</v>
      </c>
      <c r="AY81" s="266">
        <f>SUMIFS($L$81:$L$188,$D$81:$D$188,$AW81)</f>
        <v>1.5483671599004531</v>
      </c>
    </row>
    <row r="82" spans="1:51">
      <c r="A82" s="45" t="str">
        <f t="shared" ref="A82:A89" si="31">A$5&amp;"-"&amp;A$10&amp;"-"&amp;A62&amp;" - Electricity"</f>
        <v>Industry-Mining-Compressed air - Electricity</v>
      </c>
      <c r="B82" s="45" t="str">
        <f>D82&amp;RIGHT(C82,3)&amp;"-E"</f>
        <v>IMIAELC-E</v>
      </c>
      <c r="C82" s="46" t="str">
        <f t="shared" si="30"/>
        <v>IMIELC</v>
      </c>
      <c r="D82" s="46" t="str">
        <f>$B$5&amp;RIGHT($B79,2)&amp;$B$62</f>
        <v>IMIA</v>
      </c>
      <c r="E82" s="87">
        <f>Methodology!C29</f>
        <v>0.05</v>
      </c>
      <c r="F82" s="60">
        <f>SUMIF(AFA!$C$3:$L$3,RIGHT(D82,1),AFA!$C$4:$L$4)</f>
        <v>0.11584999999999999</v>
      </c>
      <c r="G82" s="59">
        <v>100</v>
      </c>
      <c r="H82" s="60">
        <f t="shared" ref="H82:H89" si="32">L82/F82</f>
        <v>6.2097168769758557</v>
      </c>
      <c r="I82">
        <v>0</v>
      </c>
      <c r="J82" s="61">
        <v>1</v>
      </c>
      <c r="K82" s="60">
        <f>J82*SUMIF($C$60:$K$60,$B$79,$C62:$K62)</f>
        <v>14.387914003953057</v>
      </c>
      <c r="L82" s="60">
        <f t="shared" ref="L82:L89" si="33">K82*E82</f>
        <v>0.71939570019765287</v>
      </c>
      <c r="N82" s="74" t="str">
        <f>""</f>
        <v/>
      </c>
      <c r="T82" s="74"/>
      <c r="U82" s="74"/>
      <c r="V82" s="74"/>
      <c r="W82" s="74"/>
      <c r="X82" s="74"/>
      <c r="Y82" s="74"/>
      <c r="Z82" s="263">
        <f>'PAMS central control panel'!C46</f>
        <v>0</v>
      </c>
      <c r="AA82" s="4">
        <f>'PAMS central control panel'!D46</f>
        <v>0.03</v>
      </c>
      <c r="AB82" s="4">
        <f>'PAMS central control panel'!E46</f>
        <v>0.04</v>
      </c>
      <c r="AC82" s="4">
        <f>'PAMS central control panel'!F46</f>
        <v>0.04</v>
      </c>
      <c r="AD82" s="4">
        <f>'PAMS central control panel'!G46</f>
        <v>0.04</v>
      </c>
      <c r="AE82" s="264">
        <f>'PAMS central control panel'!H46</f>
        <v>0.04</v>
      </c>
      <c r="AH82" t="str">
        <f t="shared" ref="AH82:AH101" si="34">B82</f>
        <v>IMIAELC-E</v>
      </c>
      <c r="AI82" t="str">
        <f t="shared" ref="AI82:AI101" si="35">A82</f>
        <v>Industry-Mining-Compressed air - Electricity</v>
      </c>
      <c r="AJ82" s="70" t="s">
        <v>387</v>
      </c>
      <c r="AK82" s="70" t="s">
        <v>610</v>
      </c>
      <c r="AL82" s="70" t="s">
        <v>480</v>
      </c>
      <c r="AM82" s="70" t="s">
        <v>611</v>
      </c>
      <c r="AO82" s="70" t="str">
        <f t="shared" ref="AO82:AO89" si="36">D82</f>
        <v>IMIA</v>
      </c>
      <c r="AP82" s="70" t="str">
        <f>"Industry - "&amp;VLOOKUP(RIGHT(LEFT(AO82,3),2),NameConv!$E$21:$F$301,2,FALSE)&amp;" - " &amp;VLOOKUP(RIGHT(AO82,1),NameConv!$D$42:$E$53,2,FALSE)</f>
        <v>Industry - Mining - Compressed air</v>
      </c>
      <c r="AQ82" s="245" t="s">
        <v>387</v>
      </c>
      <c r="AR82" s="70" t="s">
        <v>631</v>
      </c>
      <c r="AS82" s="70" t="s">
        <v>632</v>
      </c>
      <c r="AV82" s="254" t="s">
        <v>401</v>
      </c>
      <c r="AW82" s="72" t="str">
        <f t="shared" ref="AW82:AW84" si="37">AO82</f>
        <v>IMIA</v>
      </c>
      <c r="AX82" s="254" t="s">
        <v>387</v>
      </c>
      <c r="AY82" s="266">
        <f t="shared" ref="AY82:AY101" si="38">SUMIFS($L$81:$L$188,$D$81:$D$188,$AW82)</f>
        <v>0.71939570019765287</v>
      </c>
    </row>
    <row r="83" spans="1:51">
      <c r="A83" s="45" t="str">
        <f t="shared" si="31"/>
        <v>Industry-Mining-Lighting - Electricity</v>
      </c>
      <c r="B83" s="45" t="str">
        <f t="shared" ref="B83:B89" si="39">D83&amp;RIGHT(C83,3)&amp;"-E"</f>
        <v>IMILELC-E</v>
      </c>
      <c r="C83" s="46" t="str">
        <f t="shared" si="30"/>
        <v>IMIELC</v>
      </c>
      <c r="D83" s="46" t="str">
        <f>$B$5&amp;RIGHT($B79,2)&amp;$B$63</f>
        <v>IMIL</v>
      </c>
      <c r="E83" s="58">
        <f>Methodology!C30</f>
        <v>0.3</v>
      </c>
      <c r="F83" s="60">
        <f>SUMIF(AFA!$C$3:$L$3,RIGHT(D83,1),AFA!$C$4:$L$4)</f>
        <v>0.12454999999999999</v>
      </c>
      <c r="G83" s="59">
        <v>100</v>
      </c>
      <c r="H83" s="60">
        <f t="shared" si="32"/>
        <v>8.391391673487</v>
      </c>
      <c r="I83">
        <v>0</v>
      </c>
      <c r="J83" s="61">
        <v>1</v>
      </c>
      <c r="K83" s="60">
        <f t="shared" ref="K83:K89" si="40">J83*SUMIF($C$60:$K$60,$B$79,$C63:$K63)</f>
        <v>3.4838261097760195</v>
      </c>
      <c r="L83" s="60">
        <f t="shared" si="33"/>
        <v>1.0451478329328059</v>
      </c>
      <c r="N83" s="74" t="str">
        <f>""</f>
        <v/>
      </c>
      <c r="T83" s="74"/>
      <c r="U83" s="74"/>
      <c r="V83" s="74"/>
      <c r="W83" s="74"/>
      <c r="X83" s="74"/>
      <c r="Y83" s="74"/>
      <c r="Z83" s="263">
        <f>'PAMS central control panel'!C47</f>
        <v>0</v>
      </c>
      <c r="AA83" s="4">
        <f>'PAMS central control panel'!D47</f>
        <v>0.03</v>
      </c>
      <c r="AB83" s="4">
        <f>'PAMS central control panel'!E47</f>
        <v>0.04</v>
      </c>
      <c r="AC83" s="4">
        <f>'PAMS central control panel'!F47</f>
        <v>0.04</v>
      </c>
      <c r="AD83" s="4">
        <f>'PAMS central control panel'!G47</f>
        <v>0.04</v>
      </c>
      <c r="AE83" s="264">
        <f>'PAMS central control panel'!H47</f>
        <v>0.04</v>
      </c>
      <c r="AH83" t="str">
        <f t="shared" si="34"/>
        <v>IMILELC-E</v>
      </c>
      <c r="AI83" t="str">
        <f t="shared" si="35"/>
        <v>Industry-Mining-Lighting - Electricity</v>
      </c>
      <c r="AJ83" s="70" t="s">
        <v>387</v>
      </c>
      <c r="AK83" s="70" t="s">
        <v>610</v>
      </c>
      <c r="AL83" s="70" t="s">
        <v>480</v>
      </c>
      <c r="AM83" s="70" t="s">
        <v>611</v>
      </c>
      <c r="AO83" s="70" t="str">
        <f t="shared" si="36"/>
        <v>IMIL</v>
      </c>
      <c r="AP83" s="70" t="str">
        <f>"Industry - "&amp;VLOOKUP(RIGHT(LEFT(AO83,3),2),NameConv!$E$21:$F$301,2,FALSE)&amp;" - " &amp;VLOOKUP(RIGHT(AO83,1),NameConv!$D$42:$E$53,2,FALSE)</f>
        <v>Industry - Mining - Lighting</v>
      </c>
      <c r="AQ83" s="245" t="s">
        <v>387</v>
      </c>
      <c r="AR83" s="70" t="s">
        <v>631</v>
      </c>
      <c r="AS83" s="70" t="s">
        <v>632</v>
      </c>
      <c r="AV83" s="254" t="s">
        <v>401</v>
      </c>
      <c r="AW83" s="72" t="str">
        <f t="shared" si="37"/>
        <v>IMIL</v>
      </c>
      <c r="AX83" s="254" t="s">
        <v>387</v>
      </c>
      <c r="AY83" s="266">
        <f t="shared" si="38"/>
        <v>1.0451478329328059</v>
      </c>
    </row>
    <row r="84" spans="1:51">
      <c r="A84" s="45" t="str">
        <f t="shared" si="31"/>
        <v>Industry-Mining-Cooling - Electricity</v>
      </c>
      <c r="B84" s="45" t="str">
        <f t="shared" si="39"/>
        <v>IMICELC-E</v>
      </c>
      <c r="C84" s="46" t="str">
        <f t="shared" si="30"/>
        <v>IMIELC</v>
      </c>
      <c r="D84" s="46" t="str">
        <f>$B$5&amp;RIGHT($B79,2)&amp;$B$64</f>
        <v>IMIC</v>
      </c>
      <c r="E84" s="58">
        <f>Methodology!C31</f>
        <v>2</v>
      </c>
      <c r="F84" s="60">
        <f>SUMIF(AFA!$C$3:$L$3,RIGHT(D84,1),AFA!$C$4:$L$4)</f>
        <v>0.12956000000000001</v>
      </c>
      <c r="G84" s="59">
        <v>100</v>
      </c>
      <c r="H84" s="60">
        <f>L84/F84</f>
        <v>97.017316649008464</v>
      </c>
      <c r="I84">
        <v>0</v>
      </c>
      <c r="J84" s="61">
        <v>1</v>
      </c>
      <c r="K84" s="60">
        <f>J84*SUMIF($C$60:$K$60,$B$79,$C64:$K64)</f>
        <v>6.284781772522769</v>
      </c>
      <c r="L84" s="60">
        <f>K84*E84</f>
        <v>12.569563545045538</v>
      </c>
      <c r="N84" s="74" t="str">
        <f>""</f>
        <v/>
      </c>
      <c r="T84" s="74"/>
      <c r="U84" s="74"/>
      <c r="V84" s="74"/>
      <c r="W84" s="74"/>
      <c r="X84" s="74"/>
      <c r="Y84" s="74"/>
      <c r="Z84" s="263">
        <f>'PAMS central control panel'!C48</f>
        <v>0</v>
      </c>
      <c r="AA84" s="4">
        <f>'PAMS central control panel'!D48</f>
        <v>0.03</v>
      </c>
      <c r="AB84" s="4">
        <f>'PAMS central control panel'!E48</f>
        <v>0.04</v>
      </c>
      <c r="AC84" s="4">
        <f>'PAMS central control panel'!F48</f>
        <v>0.04</v>
      </c>
      <c r="AD84" s="4">
        <f>'PAMS central control panel'!G48</f>
        <v>0.04</v>
      </c>
      <c r="AE84" s="264">
        <f>'PAMS central control panel'!H48</f>
        <v>0.04</v>
      </c>
      <c r="AH84" t="str">
        <f t="shared" si="34"/>
        <v>IMICELC-E</v>
      </c>
      <c r="AI84" t="str">
        <f t="shared" si="35"/>
        <v>Industry-Mining-Cooling - Electricity</v>
      </c>
      <c r="AJ84" s="70" t="s">
        <v>387</v>
      </c>
      <c r="AK84" s="70" t="s">
        <v>610</v>
      </c>
      <c r="AL84" s="70" t="s">
        <v>480</v>
      </c>
      <c r="AM84" s="70" t="s">
        <v>611</v>
      </c>
      <c r="AO84" s="70" t="str">
        <f t="shared" si="36"/>
        <v>IMIC</v>
      </c>
      <c r="AP84" s="70" t="str">
        <f>"Industry - "&amp;VLOOKUP(RIGHT(LEFT(AO84,3),2),NameConv!$E$21:$F$301,2,FALSE)&amp;" - " &amp;VLOOKUP(RIGHT(AO84,1),NameConv!$D$42:$E$53,2,FALSE)</f>
        <v>Industry - Mining - Cooling</v>
      </c>
      <c r="AQ84" s="245" t="s">
        <v>387</v>
      </c>
      <c r="AR84" s="70" t="s">
        <v>631</v>
      </c>
      <c r="AS84" s="70" t="s">
        <v>632</v>
      </c>
      <c r="AV84" s="254" t="s">
        <v>401</v>
      </c>
      <c r="AW84" s="72" t="str">
        <f t="shared" si="37"/>
        <v>IMIC</v>
      </c>
      <c r="AX84" s="72" t="s">
        <v>387</v>
      </c>
      <c r="AY84" s="266">
        <f t="shared" si="38"/>
        <v>12.569563545045538</v>
      </c>
    </row>
    <row r="85" spans="1:51">
      <c r="A85" s="45" t="str">
        <f t="shared" si="31"/>
        <v>Industry-Mining-HVAC - Electricity</v>
      </c>
      <c r="B85" s="45" t="str">
        <f t="shared" si="39"/>
        <v>IMIHELC-E</v>
      </c>
      <c r="C85" s="46" t="str">
        <f t="shared" si="30"/>
        <v>IMIELC</v>
      </c>
      <c r="D85" s="46" t="str">
        <f>$B$5&amp;RIGHT($B79,2)&amp;$B$65</f>
        <v>IMIH</v>
      </c>
      <c r="E85" s="58">
        <f>Methodology!C32</f>
        <v>0.9</v>
      </c>
      <c r="F85" s="60">
        <f>SUMIF(AFA!$C$3:$L$3,RIGHT(D85,1),AFA!$C$4:$L$4)</f>
        <v>0.13161</v>
      </c>
      <c r="G85" s="59">
        <v>100</v>
      </c>
      <c r="H85" s="60">
        <f t="shared" si="32"/>
        <v>42.353330108970681</v>
      </c>
      <c r="I85">
        <v>0</v>
      </c>
      <c r="J85" s="61">
        <v>1</v>
      </c>
      <c r="K85" s="60">
        <f t="shared" si="40"/>
        <v>6.1934686396018126</v>
      </c>
      <c r="L85" s="60">
        <f t="shared" si="33"/>
        <v>5.5741217756416317</v>
      </c>
      <c r="N85" s="74" t="str">
        <f>""</f>
        <v/>
      </c>
      <c r="T85" s="74"/>
      <c r="U85" s="74"/>
      <c r="V85" s="74"/>
      <c r="W85" s="74"/>
      <c r="X85" s="74"/>
      <c r="Y85" s="74"/>
      <c r="Z85" s="263">
        <f>'PAMS central control panel'!C49</f>
        <v>0</v>
      </c>
      <c r="AA85" s="4">
        <f>'PAMS central control panel'!D49</f>
        <v>0.03</v>
      </c>
      <c r="AB85" s="4">
        <f>'PAMS central control panel'!E49</f>
        <v>0.04</v>
      </c>
      <c r="AC85" s="4">
        <f>'PAMS central control panel'!F49</f>
        <v>0.04</v>
      </c>
      <c r="AD85" s="4">
        <f>'PAMS central control panel'!G49</f>
        <v>0.04</v>
      </c>
      <c r="AE85" s="264">
        <f>'PAMS central control panel'!H49</f>
        <v>0.04</v>
      </c>
      <c r="AH85" t="str">
        <f t="shared" si="34"/>
        <v>IMIHELC-E</v>
      </c>
      <c r="AI85" t="str">
        <f t="shared" si="35"/>
        <v>Industry-Mining-HVAC - Electricity</v>
      </c>
      <c r="AJ85" s="70" t="s">
        <v>387</v>
      </c>
      <c r="AK85" s="70" t="s">
        <v>610</v>
      </c>
      <c r="AL85" s="70" t="s">
        <v>480</v>
      </c>
      <c r="AM85" s="70" t="s">
        <v>611</v>
      </c>
      <c r="AO85" s="70" t="str">
        <f t="shared" si="36"/>
        <v>IMIH</v>
      </c>
      <c r="AP85" s="70" t="str">
        <f>"Industry - "&amp;VLOOKUP(RIGHT(LEFT(AO85,3),2),NameConv!$E$21:$F$301,2,FALSE)&amp;" - " &amp;VLOOKUP(RIGHT(AO85,1),NameConv!$D$42:$E$53,2,FALSE)</f>
        <v>Industry - Mining - HVAC</v>
      </c>
      <c r="AQ85" s="245" t="s">
        <v>387</v>
      </c>
      <c r="AR85" s="70" t="s">
        <v>631</v>
      </c>
      <c r="AS85" s="70" t="s">
        <v>632</v>
      </c>
      <c r="AV85" s="254" t="s">
        <v>401</v>
      </c>
      <c r="AW85" s="72" t="str">
        <f t="shared" ref="AW85:AW101" si="41">AO85</f>
        <v>IMIH</v>
      </c>
      <c r="AX85" s="254" t="s">
        <v>387</v>
      </c>
      <c r="AY85" s="266">
        <f t="shared" si="38"/>
        <v>5.5741217756416317</v>
      </c>
    </row>
    <row r="86" spans="1:51">
      <c r="A86" s="45" t="str">
        <f t="shared" si="31"/>
        <v>Industry-Mining-Pumping - Electricity</v>
      </c>
      <c r="B86" s="45" t="str">
        <f t="shared" si="39"/>
        <v>IMIPELC-E</v>
      </c>
      <c r="C86" s="46" t="str">
        <f t="shared" si="30"/>
        <v>IMIELC</v>
      </c>
      <c r="D86" s="46" t="str">
        <f>$B$5&amp;RIGHT($B79,2)&amp;$B$66</f>
        <v>IMIP</v>
      </c>
      <c r="E86" s="58">
        <f>Methodology!C33</f>
        <v>0.8</v>
      </c>
      <c r="F86" s="60">
        <f>SUMIF(AFA!$C$3:$L$3,RIGHT(D86,1),AFA!$C$4:$L$4)</f>
        <v>0.12116</v>
      </c>
      <c r="G86" s="59">
        <v>100</v>
      </c>
      <c r="H86" s="60">
        <f t="shared" si="32"/>
        <v>91.435770260408859</v>
      </c>
      <c r="I86">
        <v>0</v>
      </c>
      <c r="J86" s="61">
        <v>1</v>
      </c>
      <c r="K86" s="60">
        <f t="shared" si="40"/>
        <v>13.847947405938921</v>
      </c>
      <c r="L86" s="60">
        <f t="shared" si="33"/>
        <v>11.078357924751138</v>
      </c>
      <c r="N86" s="74" t="str">
        <f>""</f>
        <v/>
      </c>
      <c r="T86" s="74"/>
      <c r="U86" s="74"/>
      <c r="V86" s="74"/>
      <c r="W86" s="74"/>
      <c r="X86" s="74"/>
      <c r="Y86" s="74"/>
      <c r="Z86" s="263">
        <f>'PAMS central control panel'!C50</f>
        <v>0</v>
      </c>
      <c r="AA86" s="4">
        <f>'PAMS central control panel'!D50</f>
        <v>0.03</v>
      </c>
      <c r="AB86" s="4">
        <f>'PAMS central control panel'!E50</f>
        <v>0.04</v>
      </c>
      <c r="AC86" s="4">
        <f>'PAMS central control panel'!F50</f>
        <v>0.04</v>
      </c>
      <c r="AD86" s="4">
        <f>'PAMS central control panel'!G50</f>
        <v>0.04</v>
      </c>
      <c r="AE86" s="264">
        <f>'PAMS central control panel'!H50</f>
        <v>0.04</v>
      </c>
      <c r="AH86" t="str">
        <f t="shared" si="34"/>
        <v>IMIPELC-E</v>
      </c>
      <c r="AI86" t="str">
        <f t="shared" si="35"/>
        <v>Industry-Mining-Pumping - Electricity</v>
      </c>
      <c r="AJ86" s="70" t="s">
        <v>387</v>
      </c>
      <c r="AK86" s="70" t="s">
        <v>610</v>
      </c>
      <c r="AL86" s="70" t="s">
        <v>480</v>
      </c>
      <c r="AM86" s="70" t="s">
        <v>611</v>
      </c>
      <c r="AO86" s="70" t="str">
        <f t="shared" si="36"/>
        <v>IMIP</v>
      </c>
      <c r="AP86" s="70" t="str">
        <f>"Industry - "&amp;VLOOKUP(RIGHT(LEFT(AO86,3),2),NameConv!$E$21:$F$301,2,FALSE)&amp;" - " &amp;VLOOKUP(RIGHT(AO86,1),NameConv!$D$42:$E$53,2,FALSE)</f>
        <v>Industry - Mining - Pumping</v>
      </c>
      <c r="AQ86" s="245" t="s">
        <v>387</v>
      </c>
      <c r="AR86" s="70" t="s">
        <v>631</v>
      </c>
      <c r="AS86" s="70" t="s">
        <v>632</v>
      </c>
      <c r="AV86" s="254" t="s">
        <v>401</v>
      </c>
      <c r="AW86" s="72" t="str">
        <f t="shared" si="41"/>
        <v>IMIP</v>
      </c>
      <c r="AX86" s="254" t="s">
        <v>387</v>
      </c>
      <c r="AY86" s="266">
        <f t="shared" si="38"/>
        <v>11.078357924751138</v>
      </c>
    </row>
    <row r="87" spans="1:51">
      <c r="A87" s="45" t="str">
        <f t="shared" si="31"/>
        <v>Industry-Mining-Fans - Electricity</v>
      </c>
      <c r="B87" s="45" t="str">
        <f t="shared" si="39"/>
        <v>IMIFELC-E</v>
      </c>
      <c r="C87" s="46" t="str">
        <f t="shared" si="30"/>
        <v>IMIELC</v>
      </c>
      <c r="D87" s="46" t="str">
        <f>$B$5&amp;RIGHT($B79,2)&amp;$B$67</f>
        <v>IMIF</v>
      </c>
      <c r="E87" s="58">
        <f>Methodology!C34</f>
        <v>0.8</v>
      </c>
      <c r="F87" s="60">
        <f>SUMIF(AFA!$C$3:$L$3,RIGHT(D87,1),AFA!$C$4:$L$4)</f>
        <v>0.10936999999999999</v>
      </c>
      <c r="G87" s="59">
        <v>100</v>
      </c>
      <c r="H87" s="60">
        <f t="shared" si="32"/>
        <v>39.001027897861803</v>
      </c>
      <c r="I87">
        <v>0</v>
      </c>
      <c r="J87" s="61">
        <v>1</v>
      </c>
      <c r="K87" s="60">
        <f t="shared" si="40"/>
        <v>5.3319280264864313</v>
      </c>
      <c r="L87" s="60">
        <f t="shared" si="33"/>
        <v>4.2655424211891448</v>
      </c>
      <c r="N87" s="74" t="str">
        <f>""</f>
        <v/>
      </c>
      <c r="T87" s="74"/>
      <c r="U87" s="74"/>
      <c r="V87" s="74"/>
      <c r="W87" s="74"/>
      <c r="X87" s="74"/>
      <c r="Y87" s="74"/>
      <c r="Z87" s="263">
        <f>'PAMS central control panel'!C51</f>
        <v>0</v>
      </c>
      <c r="AA87" s="4">
        <f>'PAMS central control panel'!D51</f>
        <v>0.03</v>
      </c>
      <c r="AB87" s="4">
        <f>'PAMS central control panel'!E51</f>
        <v>0.04</v>
      </c>
      <c r="AC87" s="4">
        <f>'PAMS central control panel'!F51</f>
        <v>0.04</v>
      </c>
      <c r="AD87" s="4">
        <f>'PAMS central control panel'!G51</f>
        <v>0.04</v>
      </c>
      <c r="AE87" s="264">
        <f>'PAMS central control panel'!H51</f>
        <v>0.04</v>
      </c>
      <c r="AH87" t="str">
        <f t="shared" si="34"/>
        <v>IMIFELC-E</v>
      </c>
      <c r="AI87" t="str">
        <f t="shared" si="35"/>
        <v>Industry-Mining-Fans - Electricity</v>
      </c>
      <c r="AJ87" s="70" t="s">
        <v>387</v>
      </c>
      <c r="AK87" s="70" t="s">
        <v>610</v>
      </c>
      <c r="AL87" s="70" t="s">
        <v>480</v>
      </c>
      <c r="AM87" s="70" t="s">
        <v>611</v>
      </c>
      <c r="AO87" s="70" t="str">
        <f t="shared" si="36"/>
        <v>IMIF</v>
      </c>
      <c r="AP87" s="70" t="str">
        <f>"Industry - "&amp;VLOOKUP(RIGHT(LEFT(AO87,3),2),NameConv!$E$21:$F$301,2,FALSE)&amp;" - " &amp;VLOOKUP(RIGHT(AO87,1),NameConv!$D$42:$E$53,2,FALSE)</f>
        <v>Industry - Mining - Fans</v>
      </c>
      <c r="AQ87" s="245" t="s">
        <v>387</v>
      </c>
      <c r="AR87" s="70" t="s">
        <v>631</v>
      </c>
      <c r="AS87" s="70" t="s">
        <v>632</v>
      </c>
      <c r="AV87" s="254" t="s">
        <v>401</v>
      </c>
      <c r="AW87" s="72" t="str">
        <f t="shared" si="41"/>
        <v>IMIF</v>
      </c>
      <c r="AX87" s="72" t="s">
        <v>387</v>
      </c>
      <c r="AY87" s="266">
        <f t="shared" si="38"/>
        <v>4.2655424211891448</v>
      </c>
    </row>
    <row r="88" spans="1:51">
      <c r="A88" s="45" t="str">
        <f t="shared" si="31"/>
        <v>Industry-Mining-Other motive - Electricity</v>
      </c>
      <c r="B88" s="45" t="str">
        <f t="shared" si="39"/>
        <v>IMIOELC-E</v>
      </c>
      <c r="C88" s="46" t="str">
        <f t="shared" si="30"/>
        <v>IMIELC</v>
      </c>
      <c r="D88" s="46" t="str">
        <f>$B$5&amp;RIGHT($B79,2)&amp;$B$68</f>
        <v>IMIO</v>
      </c>
      <c r="E88" s="58">
        <f>Methodology!C35</f>
        <v>0.8</v>
      </c>
      <c r="F88" s="60">
        <f>SUMIF(AFA!$C$3:$L$3,RIGHT(D88,1),AFA!$C$4:$L$4)</f>
        <v>0.13081999999999999</v>
      </c>
      <c r="G88" s="59">
        <v>100</v>
      </c>
      <c r="H88" s="60">
        <f t="shared" si="32"/>
        <v>159.98815259718481</v>
      </c>
      <c r="I88">
        <v>0</v>
      </c>
      <c r="J88" s="61">
        <v>1</v>
      </c>
      <c r="K88" s="60">
        <f t="shared" si="40"/>
        <v>26.16206265345464</v>
      </c>
      <c r="L88" s="60">
        <f t="shared" si="33"/>
        <v>20.929650122763714</v>
      </c>
      <c r="N88" s="74" t="str">
        <f>""</f>
        <v/>
      </c>
      <c r="T88" s="74"/>
      <c r="U88" s="74"/>
      <c r="V88" s="74"/>
      <c r="W88" s="74"/>
      <c r="X88" s="74"/>
      <c r="Y88" s="74"/>
      <c r="Z88" s="263">
        <f>'PAMS central control panel'!C52</f>
        <v>0</v>
      </c>
      <c r="AA88" s="4">
        <f>'PAMS central control panel'!D52</f>
        <v>0.03</v>
      </c>
      <c r="AB88" s="4">
        <f>'PAMS central control panel'!E52</f>
        <v>0.04</v>
      </c>
      <c r="AC88" s="4">
        <f>'PAMS central control panel'!F52</f>
        <v>0.04</v>
      </c>
      <c r="AD88" s="4">
        <f>'PAMS central control panel'!G52</f>
        <v>0.04</v>
      </c>
      <c r="AE88" s="264">
        <f>'PAMS central control panel'!H52</f>
        <v>0.04</v>
      </c>
      <c r="AH88" t="str">
        <f t="shared" si="34"/>
        <v>IMIOELC-E</v>
      </c>
      <c r="AI88" t="str">
        <f t="shared" si="35"/>
        <v>Industry-Mining-Other motive - Electricity</v>
      </c>
      <c r="AJ88" s="70" t="s">
        <v>387</v>
      </c>
      <c r="AK88" s="70" t="s">
        <v>610</v>
      </c>
      <c r="AL88" s="70" t="s">
        <v>480</v>
      </c>
      <c r="AM88" s="70" t="s">
        <v>611</v>
      </c>
      <c r="AO88" s="70" t="str">
        <f t="shared" si="36"/>
        <v>IMIO</v>
      </c>
      <c r="AP88" s="70" t="str">
        <f>"Industry - "&amp;VLOOKUP(RIGHT(LEFT(AO88,3),2),NameConv!$E$21:$F$301,2,FALSE)&amp;" - " &amp;VLOOKUP(RIGHT(AO88,1),NameConv!$D$42:$E$53,2,FALSE)</f>
        <v>Industry - Mining - Other motive</v>
      </c>
      <c r="AQ88" s="245" t="s">
        <v>387</v>
      </c>
      <c r="AR88" s="70" t="s">
        <v>631</v>
      </c>
      <c r="AS88" s="70" t="s">
        <v>632</v>
      </c>
      <c r="AV88" s="254" t="s">
        <v>401</v>
      </c>
      <c r="AW88" s="72" t="str">
        <f t="shared" si="41"/>
        <v>IMIO</v>
      </c>
      <c r="AX88" s="254" t="s">
        <v>387</v>
      </c>
      <c r="AY88" s="266">
        <f t="shared" si="38"/>
        <v>20.929650122763714</v>
      </c>
    </row>
    <row r="89" spans="1:51">
      <c r="A89" s="45" t="str">
        <f t="shared" si="31"/>
        <v>Industry-Mining-Electrochemical - Electricity</v>
      </c>
      <c r="B89" s="45" t="str">
        <f t="shared" si="39"/>
        <v>IMIEELC-E</v>
      </c>
      <c r="C89" s="46" t="str">
        <f t="shared" si="30"/>
        <v>IMIELC</v>
      </c>
      <c r="D89" s="46" t="str">
        <f>$B$5&amp;RIGHT($B79,2)&amp;$B$69</f>
        <v>IMIE</v>
      </c>
      <c r="E89" s="58">
        <f>Methodology!C27</f>
        <v>0.76</v>
      </c>
      <c r="F89" s="60">
        <f>SUMIF(AFA!$C$3:$L$3,RIGHT(D89,1),AFA!$C$4:$L$4)</f>
        <v>0.13233</v>
      </c>
      <c r="G89" s="59">
        <v>100</v>
      </c>
      <c r="H89" s="60">
        <f t="shared" si="32"/>
        <v>1.0226501154333834</v>
      </c>
      <c r="I89">
        <v>0</v>
      </c>
      <c r="J89" s="61">
        <v>1</v>
      </c>
      <c r="K89" s="60">
        <f t="shared" si="40"/>
        <v>0.17806222338855213</v>
      </c>
      <c r="L89" s="60">
        <f t="shared" si="33"/>
        <v>0.13532728977529962</v>
      </c>
      <c r="N89" s="74" t="str">
        <f>""</f>
        <v/>
      </c>
      <c r="T89" s="74"/>
      <c r="U89" s="74"/>
      <c r="V89" s="74"/>
      <c r="W89" s="74"/>
      <c r="X89" s="74"/>
      <c r="Y89" s="74"/>
      <c r="Z89" s="263">
        <f>'PAMS central control panel'!C53</f>
        <v>0</v>
      </c>
      <c r="AA89" s="4">
        <f>'PAMS central control panel'!D53</f>
        <v>0.03</v>
      </c>
      <c r="AB89" s="4">
        <f>'PAMS central control panel'!E53</f>
        <v>0.04</v>
      </c>
      <c r="AC89" s="4">
        <f>'PAMS central control panel'!F53</f>
        <v>0.04</v>
      </c>
      <c r="AD89" s="4">
        <f>'PAMS central control panel'!G53</f>
        <v>0.04</v>
      </c>
      <c r="AE89" s="264">
        <f>'PAMS central control panel'!H53</f>
        <v>0.04</v>
      </c>
      <c r="AH89" t="str">
        <f t="shared" si="34"/>
        <v>IMIEELC-E</v>
      </c>
      <c r="AI89" t="str">
        <f t="shared" si="35"/>
        <v>Industry-Mining-Electrochemical - Electricity</v>
      </c>
      <c r="AJ89" s="70" t="s">
        <v>387</v>
      </c>
      <c r="AK89" s="70" t="s">
        <v>610</v>
      </c>
      <c r="AL89" s="70" t="s">
        <v>480</v>
      </c>
      <c r="AM89" s="70" t="s">
        <v>611</v>
      </c>
      <c r="AO89" s="70" t="str">
        <f t="shared" si="36"/>
        <v>IMIE</v>
      </c>
      <c r="AP89" s="70" t="str">
        <f>"Industry - "&amp;VLOOKUP(RIGHT(LEFT(AO89,3),2),NameConv!$E$21:$F$301,2,FALSE)&amp;" - " &amp;VLOOKUP(RIGHT(AO89,1),NameConv!$D$42:$E$53,2,FALSE)</f>
        <v>Industry - Mining - Electrochemical</v>
      </c>
      <c r="AQ89" s="245" t="s">
        <v>387</v>
      </c>
      <c r="AR89" s="70" t="s">
        <v>631</v>
      </c>
      <c r="AS89" s="70" t="s">
        <v>632</v>
      </c>
      <c r="AV89" s="254" t="s">
        <v>401</v>
      </c>
      <c r="AW89" s="72" t="str">
        <f t="shared" si="41"/>
        <v>IMIE</v>
      </c>
      <c r="AX89" s="254" t="s">
        <v>387</v>
      </c>
      <c r="AY89" s="266">
        <f t="shared" si="38"/>
        <v>0.13532728977529962</v>
      </c>
    </row>
    <row r="90" spans="1:51">
      <c r="A90" s="45" t="s">
        <v>476</v>
      </c>
      <c r="B90" s="45"/>
      <c r="C90" s="45"/>
      <c r="D90" s="45"/>
      <c r="E90" s="45"/>
      <c r="F90" s="45"/>
      <c r="G90" s="45"/>
      <c r="H90" s="45"/>
      <c r="I90" s="45"/>
      <c r="J90" s="45"/>
      <c r="K90" s="60"/>
      <c r="L90" s="45"/>
      <c r="N90" s="74" t="str">
        <f>""</f>
        <v/>
      </c>
      <c r="T90" s="74"/>
      <c r="U90" s="74"/>
      <c r="V90" s="74"/>
      <c r="W90" s="74"/>
      <c r="X90" s="74"/>
      <c r="Y90" s="74"/>
      <c r="Z90" s="263">
        <f>'PAMS central control panel'!C54</f>
        <v>0</v>
      </c>
      <c r="AA90" s="4">
        <f>'PAMS central control panel'!D54</f>
        <v>0.03</v>
      </c>
      <c r="AB90" s="4">
        <f>'PAMS central control panel'!E54</f>
        <v>0.04</v>
      </c>
      <c r="AC90" s="4">
        <f>'PAMS central control panel'!F54</f>
        <v>0.04</v>
      </c>
      <c r="AD90" s="4">
        <f>'PAMS central control panel'!G54</f>
        <v>0.04</v>
      </c>
      <c r="AE90" s="264">
        <f>'PAMS central control panel'!H54</f>
        <v>0.04</v>
      </c>
      <c r="AH90" s="26" t="s">
        <v>476</v>
      </c>
      <c r="AJ90" s="70"/>
      <c r="AK90" s="70"/>
      <c r="AL90" s="70"/>
      <c r="AM90" s="70"/>
      <c r="AO90" s="26" t="s">
        <v>476</v>
      </c>
      <c r="AV90" s="254" t="s">
        <v>476</v>
      </c>
      <c r="AW90" s="72" t="str">
        <f t="shared" si="41"/>
        <v>*</v>
      </c>
      <c r="AX90" s="72" t="s">
        <v>387</v>
      </c>
      <c r="AY90" s="266">
        <f t="shared" si="38"/>
        <v>338.97013191086643</v>
      </c>
    </row>
    <row r="91" spans="1:51">
      <c r="A91" s="45" t="str">
        <f>A$5&amp;"-"&amp;A$10&amp;"-"&amp;A$70&amp;" - "&amp;VLOOKUP(RIGHT(C91,3),NameConv!$E$4:$G$20,2,FALSE)&amp;" - Existing"</f>
        <v>Industry-Mining-boiler/process heating -  - Existing</v>
      </c>
      <c r="B91" s="45" t="str">
        <f t="shared" ref="B91:B98" si="42">D91&amp;RIGHT(C91,3)&amp;"-E"</f>
        <v>IMISCOA-E</v>
      </c>
      <c r="C91" s="46" t="str">
        <f>+$C$6</f>
        <v>INDCOA</v>
      </c>
      <c r="D91" s="46" t="str">
        <f t="shared" ref="D91:D97" si="43">$B$5&amp;RIGHT($B$79,2)&amp;$B$70</f>
        <v>IMIS</v>
      </c>
      <c r="E91" s="58">
        <f>Methodology!C40</f>
        <v>0.64</v>
      </c>
      <c r="F91" s="60">
        <f>SUMIF(AFA!$C$3:$L$3,RIGHT(D91,1),AFA!$C$4:$L$4)</f>
        <v>0.15426999999999999</v>
      </c>
      <c r="G91" s="59">
        <v>100</v>
      </c>
      <c r="H91" s="60">
        <f t="shared" ref="H91:H98" si="44">L91/F91</f>
        <v>158.26382316717445</v>
      </c>
      <c r="I91">
        <v>0</v>
      </c>
      <c r="J91" s="61">
        <v>1</v>
      </c>
      <c r="K91" s="60">
        <f>J91*INDEX($C$10:$L$19,MATCH(B79,$B$10:$B$19,0),MATCH($B$6&amp;RIGHT(C91,3),$C$6:$L$6,0))</f>
        <v>38.149000000000001</v>
      </c>
      <c r="L91" s="60">
        <f t="shared" ref="L91:L98" si="45">K91*E91</f>
        <v>24.41536</v>
      </c>
      <c r="N91" s="78">
        <f t="shared" ref="N91:N98" si="46">L91/(SUMIF($D$81:$D$187,$D91,$L$81:$L$187)+$P$76)</f>
        <v>0.96758960692888052</v>
      </c>
      <c r="O91" s="77">
        <f>MIN(1,$N91+O$75)</f>
        <v>1</v>
      </c>
      <c r="P91" s="77">
        <f t="shared" ref="P91:Q91" si="47">MIN(1,$N91+P$75)</f>
        <v>1</v>
      </c>
      <c r="Q91" s="77">
        <f t="shared" si="47"/>
        <v>1</v>
      </c>
      <c r="R91" s="77"/>
      <c r="S91" s="78">
        <f>N91</f>
        <v>0.96758960692888052</v>
      </c>
      <c r="T91" s="77">
        <f>S91*T$75</f>
        <v>0.87083064623599249</v>
      </c>
      <c r="U91" s="77">
        <f t="shared" ref="U91:V91" si="48">T91*U$75</f>
        <v>0</v>
      </c>
      <c r="V91" s="77">
        <f t="shared" si="48"/>
        <v>0</v>
      </c>
      <c r="W91" s="74"/>
      <c r="X91" s="74"/>
      <c r="Y91" s="74"/>
      <c r="Z91" s="263">
        <f>'PAMS central control panel'!C55</f>
        <v>0</v>
      </c>
      <c r="AA91" s="4">
        <f>'PAMS central control panel'!D55</f>
        <v>0</v>
      </c>
      <c r="AB91" s="4">
        <f>'PAMS central control panel'!E55</f>
        <v>0</v>
      </c>
      <c r="AC91" s="4">
        <f>'PAMS central control panel'!F55</f>
        <v>0</v>
      </c>
      <c r="AD91" s="4">
        <f>'PAMS central control panel'!G55</f>
        <v>0</v>
      </c>
      <c r="AE91" s="264">
        <f>'PAMS central control panel'!H55</f>
        <v>0</v>
      </c>
      <c r="AH91" t="str">
        <f t="shared" si="34"/>
        <v>IMISCOA-E</v>
      </c>
      <c r="AI91" t="str">
        <f t="shared" si="35"/>
        <v>Industry-Mining-boiler/process heating -  - Existing</v>
      </c>
      <c r="AJ91" s="70" t="s">
        <v>387</v>
      </c>
      <c r="AK91" s="70" t="s">
        <v>610</v>
      </c>
      <c r="AL91" s="70" t="s">
        <v>480</v>
      </c>
      <c r="AM91" s="70" t="s">
        <v>611</v>
      </c>
      <c r="AO91" s="70" t="str">
        <f t="shared" ref="AO91" si="49">D91</f>
        <v>IMIS</v>
      </c>
      <c r="AP91" s="70" t="str">
        <f>"Industry - "&amp;VLOOKUP(RIGHT(LEFT(AO91,3),2),NameConv!$E$21:$F$301,2,FALSE)&amp;" - " &amp;VLOOKUP(RIGHT(AO91,1),NameConv!$D$42:$E$53,2,FALSE)</f>
        <v>Industry - Mining - boiler/process heating</v>
      </c>
      <c r="AQ91" s="245" t="s">
        <v>387</v>
      </c>
      <c r="AR91" s="70" t="s">
        <v>631</v>
      </c>
      <c r="AS91" s="70" t="s">
        <v>480</v>
      </c>
      <c r="AV91" s="254" t="s">
        <v>401</v>
      </c>
      <c r="AW91" s="72" t="str">
        <f t="shared" si="41"/>
        <v>IMIS</v>
      </c>
      <c r="AX91" s="254" t="s">
        <v>387</v>
      </c>
      <c r="AY91" s="266">
        <f t="shared" si="38"/>
        <v>25.233177191199999</v>
      </c>
    </row>
    <row r="92" spans="1:51">
      <c r="A92" s="45" t="str">
        <f>A$5&amp;"-"&amp;A$10&amp;"-"&amp;A$70&amp;" - "&amp;VLOOKUP(RIGHT(C92,3),NameConv!$E$4:$G$20,2,FALSE)&amp;" - Existing"</f>
        <v>Industry-Mining-boiler/process heating -  - Existing</v>
      </c>
      <c r="B92" s="45" t="str">
        <f t="shared" si="42"/>
        <v>IMISGAS-E</v>
      </c>
      <c r="C92" s="46" t="str">
        <f>G6</f>
        <v>INDGAS</v>
      </c>
      <c r="D92" s="46" t="str">
        <f t="shared" si="43"/>
        <v>IMIS</v>
      </c>
      <c r="E92" s="58">
        <f>Methodology!C41</f>
        <v>0.72</v>
      </c>
      <c r="F92" s="60">
        <f>SUMIF(AFA!$C$3:$L$3,RIGHT(D92,1),AFA!$C$4:$L$4)</f>
        <v>0.15426999999999999</v>
      </c>
      <c r="G92" s="59">
        <v>100</v>
      </c>
      <c r="H92" s="60">
        <f t="shared" si="44"/>
        <v>4.6671420237246384</v>
      </c>
      <c r="I92">
        <v>0</v>
      </c>
      <c r="J92" s="61">
        <v>1</v>
      </c>
      <c r="K92" s="60">
        <f>J92*INDEX($C$10:$L$19,MATCH(B79,$B$10:$B$19,0),MATCH($B$6&amp;RIGHT(C92,3),$C$6:$L$6,0))</f>
        <v>1</v>
      </c>
      <c r="L92" s="60">
        <f t="shared" si="45"/>
        <v>0.72</v>
      </c>
      <c r="N92" s="78">
        <f t="shared" si="46"/>
        <v>2.8533862166635837E-2</v>
      </c>
      <c r="O92" s="77">
        <f t="shared" ref="O92:Q94" si="50">MIN(1,$N92+O$75)</f>
        <v>0.52853386216663578</v>
      </c>
      <c r="P92" s="77">
        <f t="shared" si="50"/>
        <v>1</v>
      </c>
      <c r="Q92" s="77">
        <f t="shared" si="50"/>
        <v>1</v>
      </c>
      <c r="R92" s="77"/>
      <c r="S92" s="78">
        <f t="shared" ref="S92:S101" si="51">N92</f>
        <v>2.8533862166635837E-2</v>
      </c>
      <c r="T92" s="77">
        <f t="shared" ref="T92:V92" si="52">S92*T$75</f>
        <v>2.5680475949972255E-2</v>
      </c>
      <c r="U92" s="77">
        <f t="shared" si="52"/>
        <v>0</v>
      </c>
      <c r="V92" s="77">
        <f t="shared" si="52"/>
        <v>0</v>
      </c>
      <c r="W92" s="74"/>
      <c r="X92" s="74"/>
      <c r="Y92" s="74"/>
      <c r="Z92" s="14"/>
      <c r="AE92" s="13"/>
      <c r="AH92" t="str">
        <f t="shared" si="34"/>
        <v>IMISGAS-E</v>
      </c>
      <c r="AI92" t="str">
        <f t="shared" si="35"/>
        <v>Industry-Mining-boiler/process heating -  - Existing</v>
      </c>
      <c r="AJ92" s="70" t="s">
        <v>387</v>
      </c>
      <c r="AK92" s="70" t="s">
        <v>610</v>
      </c>
      <c r="AL92" s="70" t="s">
        <v>480</v>
      </c>
      <c r="AM92" s="70" t="s">
        <v>611</v>
      </c>
      <c r="AO92" s="26" t="s">
        <v>476</v>
      </c>
      <c r="AP92" s="70" t="str">
        <f t="shared" ref="AP92:AP98" si="53">A92</f>
        <v>Industry-Mining-boiler/process heating -  - Existing</v>
      </c>
      <c r="AQ92" s="245" t="s">
        <v>387</v>
      </c>
      <c r="AR92" s="70" t="s">
        <v>631</v>
      </c>
      <c r="AS92" s="70" t="s">
        <v>480</v>
      </c>
      <c r="AV92" s="72" t="s">
        <v>476</v>
      </c>
      <c r="AW92" s="72" t="str">
        <f t="shared" si="41"/>
        <v>*</v>
      </c>
      <c r="AX92" s="254" t="s">
        <v>387</v>
      </c>
      <c r="AY92" s="266">
        <f t="shared" si="38"/>
        <v>338.97013191086643</v>
      </c>
    </row>
    <row r="93" spans="1:51">
      <c r="A93" s="45" t="str">
        <f>A$5&amp;"-"&amp;A$10&amp;"-"&amp;A$70&amp;" - "&amp;VLOOKUP(RIGHT(C93,3),NameConv!$E$4:$G$20,2,FALSE)&amp;" - Existing"</f>
        <v>Industry-Mining-boiler/process heating -  - Existing</v>
      </c>
      <c r="B93" s="45" t="str">
        <f t="shared" si="42"/>
        <v>IMISOHF-E</v>
      </c>
      <c r="C93" s="46" t="str">
        <f>+$H$6</f>
        <v>INDOHF</v>
      </c>
      <c r="D93" s="46" t="str">
        <f t="shared" si="43"/>
        <v>IMIS</v>
      </c>
      <c r="E93" s="58">
        <f>Methodology!C42</f>
        <v>0.68</v>
      </c>
      <c r="F93" s="60">
        <f>SUMIF(AFA!$C$3:$L$3,RIGHT(D93,1),AFA!$C$4:$L$4)</f>
        <v>0.15426999999999999</v>
      </c>
      <c r="G93" s="59">
        <v>100</v>
      </c>
      <c r="H93" s="60">
        <f t="shared" si="44"/>
        <v>0</v>
      </c>
      <c r="I93">
        <v>0</v>
      </c>
      <c r="J93" s="61">
        <v>1</v>
      </c>
      <c r="K93" s="60">
        <f>J93*INDEX($C$10:$L$19,MATCH(B79,$B$10:$B$19,0),MATCH($B$6&amp;RIGHT(C93,3),$C$6:$L$6,0))</f>
        <v>0</v>
      </c>
      <c r="L93" s="60">
        <f t="shared" si="45"/>
        <v>0</v>
      </c>
      <c r="N93" s="78">
        <f t="shared" si="46"/>
        <v>0</v>
      </c>
      <c r="O93" s="77">
        <f t="shared" si="50"/>
        <v>0.5</v>
      </c>
      <c r="P93" s="77">
        <f t="shared" si="50"/>
        <v>1</v>
      </c>
      <c r="Q93" s="77">
        <f t="shared" si="50"/>
        <v>1</v>
      </c>
      <c r="R93" s="77"/>
      <c r="S93" s="78">
        <f t="shared" si="51"/>
        <v>0</v>
      </c>
      <c r="T93" s="77">
        <f t="shared" ref="T93:V93" si="54">S93*T$75</f>
        <v>0</v>
      </c>
      <c r="U93" s="77">
        <f t="shared" si="54"/>
        <v>0</v>
      </c>
      <c r="V93" s="77">
        <f t="shared" si="54"/>
        <v>0</v>
      </c>
      <c r="W93" s="74"/>
      <c r="Y93" s="74"/>
      <c r="Z93" s="14"/>
      <c r="AE93" s="13"/>
      <c r="AH93" t="str">
        <f t="shared" si="34"/>
        <v>IMISOHF-E</v>
      </c>
      <c r="AI93" t="str">
        <f t="shared" si="35"/>
        <v>Industry-Mining-boiler/process heating -  - Existing</v>
      </c>
      <c r="AJ93" s="70" t="s">
        <v>387</v>
      </c>
      <c r="AK93" s="70" t="s">
        <v>610</v>
      </c>
      <c r="AL93" s="70" t="s">
        <v>480</v>
      </c>
      <c r="AM93" s="70" t="s">
        <v>611</v>
      </c>
      <c r="AO93" s="26" t="s">
        <v>476</v>
      </c>
      <c r="AP93" s="70" t="str">
        <f t="shared" si="53"/>
        <v>Industry-Mining-boiler/process heating -  - Existing</v>
      </c>
      <c r="AQ93" s="245" t="s">
        <v>387</v>
      </c>
      <c r="AR93" s="70" t="s">
        <v>631</v>
      </c>
      <c r="AS93" s="70" t="s">
        <v>480</v>
      </c>
      <c r="AV93" s="72" t="s">
        <v>476</v>
      </c>
      <c r="AW93" s="72" t="str">
        <f t="shared" si="41"/>
        <v>*</v>
      </c>
      <c r="AX93" s="72" t="s">
        <v>387</v>
      </c>
      <c r="AY93" s="266">
        <f t="shared" si="38"/>
        <v>338.97013191086643</v>
      </c>
    </row>
    <row r="94" spans="1:51">
      <c r="A94" s="45" t="str">
        <f>A$5&amp;"-"&amp;A$10&amp;"-"&amp;A$70&amp;" - "&amp;VLOOKUP(RIGHT(C94,3),NameConv!$E$4:$G$20,2,FALSE)&amp;" - Existing"</f>
        <v>Industry-Mining-boiler/process heating -  - Existing</v>
      </c>
      <c r="B94" s="45" t="str">
        <f t="shared" si="42"/>
        <v>IMISOLP-E</v>
      </c>
      <c r="C94" s="46" t="str">
        <f>+$I$6</f>
        <v>INDOLP</v>
      </c>
      <c r="D94" s="46" t="str">
        <f t="shared" si="43"/>
        <v>IMIS</v>
      </c>
      <c r="E94" s="58">
        <f>Methodology!C43</f>
        <v>0.72</v>
      </c>
      <c r="F94" s="60">
        <f>SUMIF(AFA!$C$3:$L$3,RIGHT(D94,1),AFA!$C$4:$L$4)</f>
        <v>0.15426999999999999</v>
      </c>
      <c r="G94" s="59">
        <v>100</v>
      </c>
      <c r="H94" s="60">
        <f t="shared" si="44"/>
        <v>0.63406489401698329</v>
      </c>
      <c r="I94">
        <v>0</v>
      </c>
      <c r="J94" s="61">
        <v>1</v>
      </c>
      <c r="K94" s="60">
        <f>J94*INDEX($C$10:$L$19,MATCH(B79,$B$10:$B$19,0),MATCH($B$6&amp;RIGHT(C94,3),$C$6:$L$6,0))</f>
        <v>0.13585721000000001</v>
      </c>
      <c r="L94" s="60">
        <f t="shared" si="45"/>
        <v>9.78171912E-2</v>
      </c>
      <c r="N94" s="78">
        <f t="shared" si="46"/>
        <v>3.8765309044836997E-3</v>
      </c>
      <c r="O94" s="77">
        <f t="shared" si="50"/>
        <v>0.5038765309044837</v>
      </c>
      <c r="P94" s="77">
        <f t="shared" si="50"/>
        <v>1</v>
      </c>
      <c r="Q94" s="77">
        <f t="shared" si="50"/>
        <v>1</v>
      </c>
      <c r="R94" s="77"/>
      <c r="S94" s="78">
        <f t="shared" si="51"/>
        <v>3.8765309044836997E-3</v>
      </c>
      <c r="T94" s="77">
        <f t="shared" ref="T94:V94" si="55">S94*T$75</f>
        <v>3.4888778140353296E-3</v>
      </c>
      <c r="U94" s="77">
        <f t="shared" si="55"/>
        <v>0</v>
      </c>
      <c r="V94" s="77">
        <f t="shared" si="55"/>
        <v>0</v>
      </c>
      <c r="W94" s="74"/>
      <c r="Y94" s="74"/>
      <c r="Z94" s="14"/>
      <c r="AE94" s="13"/>
      <c r="AH94" t="str">
        <f t="shared" si="34"/>
        <v>IMISOLP-E</v>
      </c>
      <c r="AI94" t="str">
        <f t="shared" si="35"/>
        <v>Industry-Mining-boiler/process heating -  - Existing</v>
      </c>
      <c r="AJ94" s="70" t="s">
        <v>387</v>
      </c>
      <c r="AK94" s="70" t="s">
        <v>610</v>
      </c>
      <c r="AL94" s="70" t="s">
        <v>480</v>
      </c>
      <c r="AM94" s="70" t="s">
        <v>611</v>
      </c>
      <c r="AO94" s="26" t="s">
        <v>476</v>
      </c>
      <c r="AP94" s="70" t="str">
        <f t="shared" si="53"/>
        <v>Industry-Mining-boiler/process heating -  - Existing</v>
      </c>
      <c r="AQ94" s="245" t="s">
        <v>387</v>
      </c>
      <c r="AR94" s="70" t="s">
        <v>631</v>
      </c>
      <c r="AS94" s="70" t="s">
        <v>480</v>
      </c>
      <c r="AV94" s="72" t="s">
        <v>476</v>
      </c>
      <c r="AW94" s="72" t="str">
        <f t="shared" si="41"/>
        <v>*</v>
      </c>
      <c r="AX94" s="254" t="s">
        <v>387</v>
      </c>
      <c r="AY94" s="266">
        <f t="shared" si="38"/>
        <v>338.97013191086643</v>
      </c>
    </row>
    <row r="95" spans="1:51" ht="15">
      <c r="A95" s="45" t="str">
        <f>A$5&amp;"-"&amp;A$10&amp;"-"&amp;A$70&amp;" - "&amp;VLOOKUP(RIGHT(C95,3),NameConv!$E$4:$G$20,2,FALSE)&amp;" - Existing"</f>
        <v>Industry-Mining-boiler/process heating -  - Existing</v>
      </c>
      <c r="B95" s="45" t="str">
        <f t="shared" si="42"/>
        <v>IMISELC-E</v>
      </c>
      <c r="C95" s="46" t="str">
        <f>$P$10</f>
        <v>IMIELC</v>
      </c>
      <c r="D95" s="46" t="str">
        <f t="shared" si="43"/>
        <v>IMIS</v>
      </c>
      <c r="E95" s="58">
        <f>Methodology!C44</f>
        <v>0.6</v>
      </c>
      <c r="F95" s="60">
        <f>SUMIF(AFA!$C$3:$L$3,RIGHT(D95,1),AFA!$C$4:$L$4)</f>
        <v>0.15426999999999999</v>
      </c>
      <c r="G95" s="59">
        <v>100</v>
      </c>
      <c r="H95" s="60">
        <f t="shared" si="44"/>
        <v>0</v>
      </c>
      <c r="I95">
        <v>0</v>
      </c>
      <c r="J95" s="61">
        <v>1</v>
      </c>
      <c r="K95" s="60">
        <f>J95*INDEX($C$70:$J$70,MATCH($B79,$C$60:$J$60,0))</f>
        <v>0</v>
      </c>
      <c r="L95" s="60">
        <f>K95*E95</f>
        <v>0</v>
      </c>
      <c r="N95" s="78">
        <f t="shared" si="46"/>
        <v>0</v>
      </c>
      <c r="O95" s="216">
        <v>0.25</v>
      </c>
      <c r="P95" s="216">
        <f>90%-P96</f>
        <v>0.84000000000000008</v>
      </c>
      <c r="Q95" s="216">
        <f>90%-Q96</f>
        <v>0.84000000000000008</v>
      </c>
      <c r="R95" s="77"/>
      <c r="S95" s="78">
        <f t="shared" si="51"/>
        <v>0</v>
      </c>
      <c r="T95" s="77">
        <f t="shared" ref="T95:V95" si="56">S95*T$75</f>
        <v>0</v>
      </c>
      <c r="U95" s="77">
        <f t="shared" si="56"/>
        <v>0</v>
      </c>
      <c r="V95" s="77">
        <f t="shared" si="56"/>
        <v>0</v>
      </c>
      <c r="W95" s="74"/>
      <c r="Y95" s="74"/>
      <c r="Z95" s="14"/>
      <c r="AE95" s="13"/>
      <c r="AH95" t="str">
        <f t="shared" si="34"/>
        <v>IMISELC-E</v>
      </c>
      <c r="AI95" t="str">
        <f t="shared" si="35"/>
        <v>Industry-Mining-boiler/process heating -  - Existing</v>
      </c>
      <c r="AJ95" s="70" t="s">
        <v>387</v>
      </c>
      <c r="AK95" s="70" t="s">
        <v>610</v>
      </c>
      <c r="AL95" s="70" t="s">
        <v>480</v>
      </c>
      <c r="AM95" s="70" t="s">
        <v>611</v>
      </c>
      <c r="AO95" s="26" t="s">
        <v>476</v>
      </c>
      <c r="AP95" s="70" t="str">
        <f t="shared" si="53"/>
        <v>Industry-Mining-boiler/process heating -  - Existing</v>
      </c>
      <c r="AQ95" s="245" t="s">
        <v>387</v>
      </c>
      <c r="AR95" s="70" t="s">
        <v>631</v>
      </c>
      <c r="AS95" s="70" t="s">
        <v>632</v>
      </c>
      <c r="AV95" s="72" t="s">
        <v>476</v>
      </c>
      <c r="AW95" s="72" t="str">
        <f t="shared" si="41"/>
        <v>*</v>
      </c>
      <c r="AX95" s="254" t="s">
        <v>387</v>
      </c>
      <c r="AY95" s="266">
        <f t="shared" si="38"/>
        <v>338.97013191086643</v>
      </c>
    </row>
    <row r="96" spans="1:51" ht="15">
      <c r="A96" s="45" t="str">
        <f>A$5&amp;"-"&amp;A$10&amp;"-"&amp;A$70&amp;" - "&amp;VLOOKUP(RIGHT(C96,3),NameConv!$E$4:$G$20,2,FALSE)&amp;" - Heat Pump New"</f>
        <v>Industry-Mining-boiler/process heating -  - Heat Pump New</v>
      </c>
      <c r="B96" s="45" t="str">
        <f>D96&amp;RIGHT(C96,3)&amp;"-N"</f>
        <v>IMISELC-N</v>
      </c>
      <c r="C96" s="46" t="str">
        <f>$P$10</f>
        <v>IMIELC</v>
      </c>
      <c r="D96" s="46" t="str">
        <f t="shared" si="43"/>
        <v>IMIS</v>
      </c>
      <c r="E96" s="58">
        <v>3.34</v>
      </c>
      <c r="F96" s="60">
        <f>SUMIF(AFA!$C$3:$L$3,RIGHT(D96,1),AFA!$C$4:$L$4)</f>
        <v>0.15426999999999999</v>
      </c>
      <c r="G96" s="59">
        <v>100</v>
      </c>
      <c r="H96" s="60">
        <v>0</v>
      </c>
      <c r="I96">
        <v>0</v>
      </c>
      <c r="J96" s="61">
        <v>1</v>
      </c>
      <c r="K96" s="60">
        <v>0</v>
      </c>
      <c r="L96" s="60">
        <f>K96*E96</f>
        <v>0</v>
      </c>
      <c r="N96" s="78">
        <f t="shared" si="46"/>
        <v>0</v>
      </c>
      <c r="O96" s="216">
        <v>0</v>
      </c>
      <c r="P96" s="216">
        <v>0.06</v>
      </c>
      <c r="Q96" s="216">
        <v>0.06</v>
      </c>
      <c r="R96" s="77"/>
      <c r="S96" s="78">
        <f t="shared" si="51"/>
        <v>0</v>
      </c>
      <c r="T96" s="77">
        <f t="shared" ref="T96:V96" si="57">S96*T$75</f>
        <v>0</v>
      </c>
      <c r="U96" s="77">
        <f t="shared" si="57"/>
        <v>0</v>
      </c>
      <c r="V96" s="77">
        <f t="shared" si="57"/>
        <v>0</v>
      </c>
      <c r="W96" s="74"/>
      <c r="Y96" s="74"/>
      <c r="Z96" s="14"/>
      <c r="AE96" s="13"/>
      <c r="AH96" t="str">
        <f t="shared" si="34"/>
        <v>IMISELC-N</v>
      </c>
      <c r="AI96" t="str">
        <f t="shared" si="35"/>
        <v>Industry-Mining-boiler/process heating -  - Heat Pump New</v>
      </c>
      <c r="AJ96" s="70" t="s">
        <v>387</v>
      </c>
      <c r="AK96" s="70" t="s">
        <v>610</v>
      </c>
      <c r="AL96" s="70" t="s">
        <v>480</v>
      </c>
      <c r="AM96" s="70" t="s">
        <v>611</v>
      </c>
      <c r="AO96" s="26" t="s">
        <v>476</v>
      </c>
      <c r="AP96" s="70" t="str">
        <f t="shared" si="53"/>
        <v>Industry-Mining-boiler/process heating -  - Heat Pump New</v>
      </c>
      <c r="AQ96" s="245" t="s">
        <v>387</v>
      </c>
      <c r="AR96" s="70" t="s">
        <v>631</v>
      </c>
      <c r="AS96" s="70" t="s">
        <v>480</v>
      </c>
      <c r="AV96" s="72" t="s">
        <v>476</v>
      </c>
      <c r="AW96" s="72" t="str">
        <f t="shared" si="41"/>
        <v>*</v>
      </c>
      <c r="AX96" s="72" t="s">
        <v>387</v>
      </c>
      <c r="AY96" s="266">
        <f t="shared" si="38"/>
        <v>338.97013191086643</v>
      </c>
    </row>
    <row r="97" spans="1:51">
      <c r="A97" s="45" t="s">
        <v>466</v>
      </c>
      <c r="B97" s="45" t="str">
        <f>D97&amp;RIGHT(C97,3)&amp;"-N"</f>
        <v>IMISHGN-N</v>
      </c>
      <c r="C97" s="46" t="s">
        <v>467</v>
      </c>
      <c r="D97" s="46" t="str">
        <f t="shared" si="43"/>
        <v>IMIS</v>
      </c>
      <c r="E97" s="58">
        <f>Methodology!C27</f>
        <v>0.76</v>
      </c>
      <c r="F97" s="60">
        <f>SUMIF(AFA!$C$3:$L$3,RIGHT(D97,1),AFA!$C$4:$L$4)</f>
        <v>0.15426999999999999</v>
      </c>
      <c r="G97" s="59">
        <v>100</v>
      </c>
      <c r="H97" s="60">
        <v>0</v>
      </c>
      <c r="I97">
        <v>0</v>
      </c>
      <c r="J97" s="61">
        <v>1</v>
      </c>
      <c r="K97" s="60">
        <v>0</v>
      </c>
      <c r="L97" s="60">
        <f>K97*E97</f>
        <v>0</v>
      </c>
      <c r="N97" s="78">
        <f t="shared" si="46"/>
        <v>0</v>
      </c>
      <c r="O97" s="77">
        <f t="shared" ref="O97:Q98" si="58">MIN(1,$N97+O$75)</f>
        <v>0.5</v>
      </c>
      <c r="P97" s="77">
        <f t="shared" si="58"/>
        <v>1</v>
      </c>
      <c r="Q97" s="77">
        <f t="shared" si="58"/>
        <v>1</v>
      </c>
      <c r="R97" s="77"/>
      <c r="S97" s="78">
        <f t="shared" si="51"/>
        <v>0</v>
      </c>
      <c r="T97" s="77">
        <f t="shared" ref="T97:V97" si="59">S97*T$75</f>
        <v>0</v>
      </c>
      <c r="U97" s="77">
        <f t="shared" si="59"/>
        <v>0</v>
      </c>
      <c r="V97" s="77">
        <f t="shared" si="59"/>
        <v>0</v>
      </c>
      <c r="W97" s="74"/>
      <c r="Y97" s="74"/>
      <c r="Z97" s="14"/>
      <c r="AE97" s="13"/>
      <c r="AH97" t="str">
        <f t="shared" si="34"/>
        <v>IMISHGN-N</v>
      </c>
      <c r="AI97" t="str">
        <f t="shared" si="35"/>
        <v>Industry-Mining-boiler/process heating - Hydrogen - New</v>
      </c>
      <c r="AJ97" s="70" t="s">
        <v>387</v>
      </c>
      <c r="AK97" s="70" t="s">
        <v>610</v>
      </c>
      <c r="AL97" s="70" t="s">
        <v>480</v>
      </c>
      <c r="AM97" s="70" t="s">
        <v>611</v>
      </c>
      <c r="AO97" s="26" t="s">
        <v>476</v>
      </c>
      <c r="AP97" s="70" t="str">
        <f t="shared" si="53"/>
        <v>Industry-Mining-boiler/process heating - Hydrogen - New</v>
      </c>
      <c r="AQ97" s="245" t="s">
        <v>387</v>
      </c>
      <c r="AR97" s="70" t="s">
        <v>631</v>
      </c>
      <c r="AS97" s="70" t="s">
        <v>480</v>
      </c>
      <c r="AV97" s="72" t="s">
        <v>476</v>
      </c>
      <c r="AW97" s="72" t="str">
        <f t="shared" si="41"/>
        <v>*</v>
      </c>
      <c r="AX97" s="254" t="s">
        <v>387</v>
      </c>
      <c r="AY97" s="266">
        <f t="shared" si="38"/>
        <v>338.97013191086643</v>
      </c>
    </row>
    <row r="98" spans="1:51">
      <c r="A98" s="45" t="str">
        <f>A$5&amp;"-"&amp;A$10&amp;"-"&amp;A$70&amp;" - "&amp;VLOOKUP(RIGHT(C98,3),NameConv!$E$4:$G$20,2,FALSE)&amp;" - Existing"</f>
        <v>Industry-Mining-boiler/process heating -  - Existing</v>
      </c>
      <c r="B98" s="45" t="str">
        <f t="shared" si="42"/>
        <v>IMISWAS-E</v>
      </c>
      <c r="C98" s="46" t="str">
        <f>$L$6</f>
        <v>INDWAS</v>
      </c>
      <c r="D98" s="46" t="str">
        <f>$B$5&amp;RIGHT($B79,2)&amp;$B$70</f>
        <v>IMIS</v>
      </c>
      <c r="E98" s="58">
        <f>Methodology!C52</f>
        <v>0.6</v>
      </c>
      <c r="F98" s="60">
        <f>SUMIF(AFA!$C$3:$L$3,RIGHT(D98,1),AFA!$C$4:$L$4)</f>
        <v>0.15426999999999999</v>
      </c>
      <c r="G98" s="59">
        <v>100</v>
      </c>
      <c r="H98" s="60">
        <f t="shared" si="44"/>
        <v>0</v>
      </c>
      <c r="I98">
        <v>0</v>
      </c>
      <c r="J98" s="61">
        <v>1</v>
      </c>
      <c r="K98" s="60">
        <f>J98*INDEX($C$10:$L$19,MATCH(B79,$B$10:$B$19,0),MATCH($B$6&amp;RIGHT(C98,3),$C$6:$L$6,0))</f>
        <v>0</v>
      </c>
      <c r="L98" s="60">
        <f t="shared" si="45"/>
        <v>0</v>
      </c>
      <c r="N98" s="78">
        <f t="shared" si="46"/>
        <v>0</v>
      </c>
      <c r="O98" s="77">
        <f t="shared" si="58"/>
        <v>0.5</v>
      </c>
      <c r="P98" s="77">
        <f t="shared" si="58"/>
        <v>1</v>
      </c>
      <c r="Q98" s="77">
        <f t="shared" si="58"/>
        <v>1</v>
      </c>
      <c r="R98" s="77"/>
      <c r="S98" s="78">
        <f t="shared" si="51"/>
        <v>0</v>
      </c>
      <c r="T98" s="77">
        <f t="shared" ref="T98:V98" si="60">S98*T$75</f>
        <v>0</v>
      </c>
      <c r="U98" s="77">
        <f t="shared" si="60"/>
        <v>0</v>
      </c>
      <c r="V98" s="77">
        <f t="shared" si="60"/>
        <v>0</v>
      </c>
      <c r="W98" s="74"/>
      <c r="Y98" s="74"/>
      <c r="Z98" s="14"/>
      <c r="AE98" s="13"/>
      <c r="AH98" t="str">
        <f t="shared" si="34"/>
        <v>IMISWAS-E</v>
      </c>
      <c r="AI98" t="str">
        <f t="shared" si="35"/>
        <v>Industry-Mining-boiler/process heating -  - Existing</v>
      </c>
      <c r="AJ98" s="70" t="s">
        <v>387</v>
      </c>
      <c r="AK98" s="70" t="s">
        <v>610</v>
      </c>
      <c r="AL98" s="70" t="s">
        <v>480</v>
      </c>
      <c r="AM98" s="70" t="s">
        <v>611</v>
      </c>
      <c r="AO98" s="26" t="s">
        <v>476</v>
      </c>
      <c r="AP98" s="70" t="str">
        <f t="shared" si="53"/>
        <v>Industry-Mining-boiler/process heating -  - Existing</v>
      </c>
      <c r="AQ98" s="245" t="s">
        <v>387</v>
      </c>
      <c r="AR98" s="70" t="s">
        <v>631</v>
      </c>
      <c r="AS98" s="70" t="s">
        <v>480</v>
      </c>
      <c r="AV98" s="72" t="s">
        <v>476</v>
      </c>
      <c r="AW98" s="72" t="str">
        <f t="shared" si="41"/>
        <v>*</v>
      </c>
      <c r="AX98" s="254" t="s">
        <v>387</v>
      </c>
      <c r="AY98" s="266">
        <f t="shared" si="38"/>
        <v>338.97013191086643</v>
      </c>
    </row>
    <row r="99" spans="1:51">
      <c r="A99" s="45" t="s">
        <v>618</v>
      </c>
      <c r="B99" s="45"/>
      <c r="C99" s="46"/>
      <c r="D99" s="46"/>
      <c r="E99" s="58"/>
      <c r="F99" s="60">
        <f>SUMIF(AFA!$C$3:$L$3,RIGHT(D99,1),AFA!$C$4:$L$4)</f>
        <v>0</v>
      </c>
      <c r="G99" s="59"/>
      <c r="H99" s="60"/>
      <c r="J99" s="61"/>
      <c r="K99" s="60"/>
      <c r="L99" s="60"/>
      <c r="N99" s="78"/>
      <c r="O99" s="77"/>
      <c r="P99" s="77"/>
      <c r="Q99" s="77"/>
      <c r="R99" s="77"/>
      <c r="S99" s="78"/>
      <c r="T99" s="74"/>
      <c r="U99" s="74"/>
      <c r="V99" s="74"/>
      <c r="W99" s="74"/>
      <c r="Y99" s="74"/>
      <c r="Z99" s="14"/>
      <c r="AE99" s="13"/>
      <c r="AH99" s="26" t="s">
        <v>476</v>
      </c>
      <c r="AJ99" s="70"/>
      <c r="AK99" s="70"/>
      <c r="AL99" s="70"/>
      <c r="AM99" s="70"/>
      <c r="AO99" s="26" t="s">
        <v>476</v>
      </c>
      <c r="AV99" s="72" t="s">
        <v>476</v>
      </c>
      <c r="AW99" s="72" t="str">
        <f t="shared" si="41"/>
        <v>*</v>
      </c>
      <c r="AX99" s="72" t="s">
        <v>387</v>
      </c>
      <c r="AY99" s="266">
        <f t="shared" si="38"/>
        <v>338.97013191086643</v>
      </c>
    </row>
    <row r="100" spans="1:51">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25.406351025250526</v>
      </c>
      <c r="I100">
        <v>0</v>
      </c>
      <c r="J100" s="61">
        <v>1</v>
      </c>
      <c r="K100" s="60">
        <f>J100*SUMIF($C$6:$K$6,C100,$C$10:$K$10)</f>
        <v>25.406351025250526</v>
      </c>
      <c r="L100" s="60">
        <f>K100*E100</f>
        <v>25.406351025250526</v>
      </c>
      <c r="N100" s="78">
        <f>L100/(SUMIF($D$81:$D$187,$D100,$L$81:$L$187)+$P$76)</f>
        <v>1</v>
      </c>
      <c r="O100" s="77">
        <f t="shared" ref="O100:Q101" si="61">MIN(1,$N100+O$75)</f>
        <v>1</v>
      </c>
      <c r="P100" s="77">
        <f t="shared" si="61"/>
        <v>1</v>
      </c>
      <c r="Q100" s="77">
        <f t="shared" si="61"/>
        <v>1</v>
      </c>
      <c r="R100" s="77"/>
      <c r="S100" s="78">
        <f t="shared" si="51"/>
        <v>1</v>
      </c>
      <c r="T100" s="77">
        <f t="shared" ref="T100:V100" si="62">S100*T$75</f>
        <v>0.9</v>
      </c>
      <c r="U100" s="77">
        <f t="shared" si="62"/>
        <v>0</v>
      </c>
      <c r="V100" s="77">
        <f t="shared" si="62"/>
        <v>0</v>
      </c>
      <c r="W100" s="74"/>
      <c r="Y100" s="74"/>
      <c r="Z100" s="14"/>
      <c r="AE100" s="13"/>
      <c r="AH100" t="str">
        <f t="shared" si="34"/>
        <v>IMIRODS-E</v>
      </c>
      <c r="AI100" t="str">
        <f t="shared" si="35"/>
        <v>Industry-Mining-Transport -  - Existing</v>
      </c>
      <c r="AJ100" s="70" t="s">
        <v>387</v>
      </c>
      <c r="AK100" s="70" t="s">
        <v>610</v>
      </c>
      <c r="AL100" s="70" t="s">
        <v>480</v>
      </c>
      <c r="AM100" s="70" t="s">
        <v>611</v>
      </c>
      <c r="AO100" s="70" t="str">
        <f t="shared" ref="AO100" si="63">D100</f>
        <v>IMIR</v>
      </c>
      <c r="AP100" s="70" t="str">
        <f>"Industry - "&amp;VLOOKUP(RIGHT(LEFT(AO100,3),2),NameConv!$E$21:$F$301,2,FALSE)&amp;" - " &amp;VLOOKUP(RIGHT(AO100,1),NameConv!$D$42:$E$53,2,FALSE)</f>
        <v>Industry - Mining - Transport</v>
      </c>
      <c r="AQ100" s="245" t="s">
        <v>387</v>
      </c>
      <c r="AR100" s="70" t="s">
        <v>631</v>
      </c>
      <c r="AS100" s="70" t="s">
        <v>480</v>
      </c>
      <c r="AV100" s="254" t="s">
        <v>401</v>
      </c>
      <c r="AW100" s="72" t="str">
        <f t="shared" si="41"/>
        <v>IMIR</v>
      </c>
      <c r="AX100" s="254" t="s">
        <v>387</v>
      </c>
      <c r="AY100" s="266">
        <f t="shared" si="38"/>
        <v>25.406351025250526</v>
      </c>
    </row>
    <row r="101" spans="1:51" ht="15">
      <c r="A101" s="45" t="str">
        <f>A$5&amp;"-"&amp;A$10&amp;"-"&amp;A$42&amp;" - "&amp;VLOOKUP(RIGHT(C101,3),NameConv!$E$4:$G$20,2,FALSE)&amp;" - New"</f>
        <v>Industry-Mining-Transport -  - New</v>
      </c>
      <c r="B101" s="45" t="str">
        <f>D101&amp;RIGHT(C101,3)&amp;"-E"</f>
        <v>IMIRELC-E</v>
      </c>
      <c r="C101" s="213" t="str">
        <f>C81</f>
        <v>IMIELC</v>
      </c>
      <c r="D101" s="46" t="str">
        <f>$B$5&amp;RIGHT($B$79,2)&amp;$B$42</f>
        <v>IMIR</v>
      </c>
      <c r="E101" s="58">
        <v>1</v>
      </c>
      <c r="F101" s="60">
        <v>1</v>
      </c>
      <c r="G101" s="59">
        <v>100</v>
      </c>
      <c r="H101" s="60">
        <f>L101/F101</f>
        <v>0</v>
      </c>
      <c r="I101">
        <v>0</v>
      </c>
      <c r="J101" s="61">
        <v>1</v>
      </c>
      <c r="K101" s="60">
        <f>J101*SUMIF($C$6:$K$6,C101,$C$10:$K$10)</f>
        <v>0</v>
      </c>
      <c r="L101" s="60">
        <f>K101*E101</f>
        <v>0</v>
      </c>
      <c r="N101" s="78">
        <f>L101/(SUMIF($D$81:$D$187,$D101,$L$81:$L$187)+$P$76)</f>
        <v>0</v>
      </c>
      <c r="O101" s="77">
        <f t="shared" si="61"/>
        <v>0.5</v>
      </c>
      <c r="P101" s="77">
        <f t="shared" si="61"/>
        <v>1</v>
      </c>
      <c r="Q101" s="77">
        <f t="shared" si="61"/>
        <v>1</v>
      </c>
      <c r="R101" s="77"/>
      <c r="S101" s="78">
        <f t="shared" si="51"/>
        <v>0</v>
      </c>
      <c r="T101" s="77">
        <f t="shared" ref="T101:V101" si="64">S101*T$75</f>
        <v>0</v>
      </c>
      <c r="U101" s="77">
        <f t="shared" si="64"/>
        <v>0</v>
      </c>
      <c r="V101" s="77">
        <f t="shared" si="64"/>
        <v>0</v>
      </c>
      <c r="W101" s="74"/>
      <c r="Y101" s="74"/>
      <c r="Z101" s="14"/>
      <c r="AE101" s="13"/>
      <c r="AH101" t="str">
        <f t="shared" si="34"/>
        <v>IMIRELC-E</v>
      </c>
      <c r="AI101" t="str">
        <f t="shared" si="35"/>
        <v>Industry-Mining-Transport -  - New</v>
      </c>
      <c r="AJ101" s="70" t="s">
        <v>387</v>
      </c>
      <c r="AK101" s="70" t="s">
        <v>610</v>
      </c>
      <c r="AL101" s="70" t="s">
        <v>480</v>
      </c>
      <c r="AM101" s="70" t="s">
        <v>611</v>
      </c>
      <c r="AO101" s="70" t="s">
        <v>476</v>
      </c>
      <c r="AP101" s="70" t="str">
        <f t="shared" ref="AP101" si="65">A101</f>
        <v>Industry-Mining-Transport -  - New</v>
      </c>
      <c r="AQ101" s="245" t="s">
        <v>387</v>
      </c>
      <c r="AR101" s="70" t="s">
        <v>631</v>
      </c>
      <c r="AS101" s="70" t="s">
        <v>632</v>
      </c>
      <c r="AV101" s="72" t="s">
        <v>476</v>
      </c>
      <c r="AW101" s="72" t="str">
        <f t="shared" si="41"/>
        <v>*</v>
      </c>
      <c r="AX101" s="254" t="s">
        <v>387</v>
      </c>
      <c r="AY101" s="266">
        <f t="shared" si="38"/>
        <v>338.97013191086643</v>
      </c>
    </row>
    <row r="102" spans="1:51" ht="51.95" customHeight="1" thickBot="1">
      <c r="A102" s="244" t="s">
        <v>616</v>
      </c>
      <c r="B102" s="252"/>
      <c r="C102" s="252"/>
      <c r="D102" s="252"/>
      <c r="E102" s="252"/>
      <c r="F102" s="252"/>
      <c r="G102" s="252"/>
      <c r="H102" s="252"/>
      <c r="J102" s="252"/>
      <c r="K102" s="252"/>
      <c r="L102" s="252"/>
      <c r="N102" s="74" t="str">
        <f>""</f>
        <v/>
      </c>
      <c r="S102" s="78"/>
      <c r="T102" s="74"/>
      <c r="U102" s="74"/>
      <c r="V102" s="74"/>
      <c r="W102" s="74"/>
      <c r="Y102" s="74"/>
      <c r="Z102" s="14"/>
      <c r="AE102" s="13"/>
      <c r="AH102" s="26" t="s">
        <v>476</v>
      </c>
      <c r="AJ102" s="70"/>
      <c r="AK102" s="70"/>
      <c r="AL102" s="70"/>
      <c r="AM102" s="70"/>
      <c r="AO102" s="26" t="s">
        <v>476</v>
      </c>
      <c r="AV102" s="72" t="s">
        <v>476</v>
      </c>
      <c r="AW102" s="72" t="str">
        <f t="shared" ref="AW102:AW104" si="66">AO102</f>
        <v>*</v>
      </c>
    </row>
    <row r="103" spans="1:51">
      <c r="A103" s="12" t="s">
        <v>476</v>
      </c>
      <c r="B103" s="69" t="str">
        <f>+B14</f>
        <v>CP</v>
      </c>
      <c r="C103" s="54"/>
      <c r="D103" s="54"/>
      <c r="E103" s="55"/>
      <c r="F103" s="55"/>
      <c r="G103" s="30"/>
      <c r="H103" s="31"/>
      <c r="J103" s="30"/>
      <c r="K103" s="30"/>
      <c r="L103" s="30"/>
      <c r="N103" s="74" t="str">
        <f>""</f>
        <v/>
      </c>
      <c r="S103" s="78"/>
      <c r="T103" s="74"/>
      <c r="U103" s="74"/>
      <c r="V103" s="74"/>
      <c r="W103" s="74"/>
      <c r="Y103" s="74"/>
      <c r="Z103" s="14"/>
      <c r="AE103" s="13"/>
      <c r="AH103" s="26" t="s">
        <v>476</v>
      </c>
      <c r="AJ103" s="70"/>
      <c r="AK103" s="70"/>
      <c r="AL103" s="70"/>
      <c r="AM103" s="70"/>
      <c r="AO103" s="26" t="s">
        <v>476</v>
      </c>
      <c r="AV103" s="72" t="s">
        <v>476</v>
      </c>
      <c r="AW103" s="72" t="str">
        <f t="shared" si="66"/>
        <v>*</v>
      </c>
    </row>
    <row r="104" spans="1:51">
      <c r="A104" s="12" t="s">
        <v>476</v>
      </c>
      <c r="B104" s="45"/>
      <c r="C104" s="56">
        <v>1</v>
      </c>
      <c r="D104" s="56">
        <f>C104+1</f>
        <v>2</v>
      </c>
      <c r="E104" s="56">
        <f>D104+1</f>
        <v>3</v>
      </c>
      <c r="F104" s="56">
        <f>E104+1</f>
        <v>4</v>
      </c>
      <c r="G104" s="56">
        <f>F104+1</f>
        <v>5</v>
      </c>
      <c r="H104" s="56">
        <f>G104+1</f>
        <v>6</v>
      </c>
      <c r="J104" s="57"/>
      <c r="K104" s="43"/>
      <c r="L104" s="43"/>
      <c r="N104" s="74" t="str">
        <f>""</f>
        <v/>
      </c>
      <c r="S104" s="78"/>
      <c r="T104" s="74"/>
      <c r="U104" s="74"/>
      <c r="V104" s="74"/>
      <c r="W104" s="74"/>
      <c r="Y104" s="74"/>
      <c r="Z104" s="14"/>
      <c r="AE104" s="13"/>
      <c r="AH104" s="26" t="s">
        <v>476</v>
      </c>
      <c r="AJ104" s="70"/>
      <c r="AK104" s="70"/>
      <c r="AL104" s="70"/>
      <c r="AM104" s="70"/>
      <c r="AO104" s="26" t="s">
        <v>476</v>
      </c>
      <c r="AV104" s="72" t="s">
        <v>476</v>
      </c>
      <c r="AW104" s="72" t="str">
        <f t="shared" si="66"/>
        <v>*</v>
      </c>
    </row>
    <row r="105" spans="1:51">
      <c r="A105" s="45" t="str">
        <f t="shared" ref="A105:A113" si="67">A$5&amp;"-"&amp;A$14&amp;"-"&amp;A31&amp;" - Electricity"</f>
        <v>Industry-Chemicals-Elec Heating - Electricity</v>
      </c>
      <c r="B105" s="45" t="str">
        <f>D105&amp;RIGHT(C105,3)&amp;"-E"</f>
        <v>ICPKELC-E</v>
      </c>
      <c r="C105" s="46" t="str">
        <f t="shared" ref="C105:C113" si="68">$P$13</f>
        <v>ICPELC</v>
      </c>
      <c r="D105" s="46" t="str">
        <f>$B$5&amp;RIGHT($B103,2)&amp;$B$61</f>
        <v>ICPK</v>
      </c>
      <c r="E105" s="58">
        <f>Methodology!C28</f>
        <v>1</v>
      </c>
      <c r="F105" s="60">
        <f>SUMIF(AFA!$C$3:$L$3,RIGHT(D105,1),AFA!$C$4:$L$4)</f>
        <v>0.11433</v>
      </c>
      <c r="G105" s="59">
        <v>100</v>
      </c>
      <c r="H105" s="60">
        <f>L105/F105</f>
        <v>7.0775824368057387</v>
      </c>
      <c r="I105">
        <v>0</v>
      </c>
      <c r="J105" s="61">
        <v>1</v>
      </c>
      <c r="K105" s="60">
        <f t="shared" ref="K105:K113" si="69">J105*SUMIF($C$60:$K$60,$B$103,$C61:$K61)</f>
        <v>0.80918000000000012</v>
      </c>
      <c r="L105" s="60">
        <f>K105*E105</f>
        <v>0.80918000000000012</v>
      </c>
      <c r="N105" s="74" t="str">
        <f>""</f>
        <v/>
      </c>
      <c r="S105" s="78"/>
      <c r="T105" s="74"/>
      <c r="U105" s="74"/>
      <c r="V105" s="74"/>
      <c r="W105" s="74"/>
      <c r="Y105" s="74"/>
      <c r="Z105" s="14"/>
      <c r="AE105" s="13"/>
      <c r="AH105" t="str">
        <f t="shared" ref="AH105:AH165" si="70">B105</f>
        <v>ICPKELC-E</v>
      </c>
      <c r="AI105" t="str">
        <f t="shared" ref="AI105:AI165" si="71">A105</f>
        <v>Industry-Chemicals-Elec Heating - Electricity</v>
      </c>
      <c r="AJ105" s="70" t="s">
        <v>387</v>
      </c>
      <c r="AK105" s="70" t="s">
        <v>610</v>
      </c>
      <c r="AL105" s="70" t="s">
        <v>480</v>
      </c>
      <c r="AM105" s="70" t="s">
        <v>611</v>
      </c>
      <c r="AO105" s="70" t="str">
        <f t="shared" ref="AO105:AO113" si="72">D105</f>
        <v>ICPK</v>
      </c>
      <c r="AP105" s="70" t="str">
        <f>"Industry - "&amp;VLOOKUP(RIGHT(LEFT(AO105,3),2),NameConv!$E$21:$F$301,2,FALSE)&amp;" - " &amp;VLOOKUP(RIGHT(AO105,1),NameConv!$D$42:$E$53,2,FALSE)</f>
        <v>Industry - Chemicals - Elec Heating</v>
      </c>
      <c r="AQ105" s="245" t="s">
        <v>387</v>
      </c>
      <c r="AR105" s="70" t="s">
        <v>631</v>
      </c>
      <c r="AS105" s="70" t="s">
        <v>632</v>
      </c>
      <c r="AV105" s="254" t="s">
        <v>401</v>
      </c>
      <c r="AW105" s="72" t="str">
        <f t="shared" ref="AW105:AW168" si="73">AO105</f>
        <v>ICPK</v>
      </c>
      <c r="AX105" s="254" t="s">
        <v>387</v>
      </c>
      <c r="AY105" s="266">
        <f t="shared" ref="AY105:AY168" si="74">SUMIFS($L$81:$L$188,$D$81:$D$188,$AW105)</f>
        <v>0.80918000000000012</v>
      </c>
    </row>
    <row r="106" spans="1:51">
      <c r="A106" s="45" t="str">
        <f t="shared" si="67"/>
        <v>Industry-Chemicals-Compressed air - Electricity</v>
      </c>
      <c r="B106" s="45" t="str">
        <f>D106&amp;RIGHT(C106,3)&amp;"-E"</f>
        <v>ICPAELC-E</v>
      </c>
      <c r="C106" s="46" t="str">
        <f t="shared" si="68"/>
        <v>ICPELC</v>
      </c>
      <c r="D106" s="46" t="str">
        <f>$B$5&amp;RIGHT($B103,2)&amp;$B$62</f>
        <v>ICPA</v>
      </c>
      <c r="E106" s="58">
        <f>Methodology!C29</f>
        <v>0.05</v>
      </c>
      <c r="F106" s="60">
        <f>SUMIF(AFA!$C$3:$L$3,RIGHT(D106,1),AFA!$C$4:$L$4)</f>
        <v>0.11584999999999999</v>
      </c>
      <c r="G106" s="59">
        <v>100</v>
      </c>
      <c r="H106" s="60">
        <f t="shared" ref="H106:H113" si="75">L106/F106</f>
        <v>2.6192706085455337</v>
      </c>
      <c r="I106">
        <v>0</v>
      </c>
      <c r="J106" s="61">
        <v>1</v>
      </c>
      <c r="K106" s="60">
        <f t="shared" si="69"/>
        <v>6.0688500000000003</v>
      </c>
      <c r="L106" s="60">
        <f t="shared" ref="L106:L113" si="76">K106*E106</f>
        <v>0.30344250000000006</v>
      </c>
      <c r="N106" s="74" t="str">
        <f>""</f>
        <v/>
      </c>
      <c r="S106" s="78"/>
      <c r="T106" s="74"/>
      <c r="U106" s="74"/>
      <c r="V106" s="74"/>
      <c r="W106" s="74"/>
      <c r="Y106" s="74"/>
      <c r="Z106" s="14"/>
      <c r="AE106" s="13"/>
      <c r="AH106" t="str">
        <f t="shared" si="70"/>
        <v>ICPAELC-E</v>
      </c>
      <c r="AI106" t="str">
        <f t="shared" si="71"/>
        <v>Industry-Chemicals-Compressed air - Electricity</v>
      </c>
      <c r="AJ106" s="70" t="s">
        <v>387</v>
      </c>
      <c r="AK106" s="70" t="s">
        <v>610</v>
      </c>
      <c r="AL106" s="70" t="s">
        <v>480</v>
      </c>
      <c r="AM106" s="70" t="s">
        <v>611</v>
      </c>
      <c r="AO106" s="70" t="str">
        <f t="shared" si="72"/>
        <v>ICPA</v>
      </c>
      <c r="AP106" s="70" t="str">
        <f>"Industry - "&amp;VLOOKUP(RIGHT(LEFT(AO106,3),2),NameConv!$E$21:$F$301,2,FALSE)&amp;" - " &amp;VLOOKUP(RIGHT(AO106,1),NameConv!$D$42:$E$53,2,FALSE)</f>
        <v>Industry - Chemicals - Compressed air</v>
      </c>
      <c r="AQ106" s="245" t="s">
        <v>387</v>
      </c>
      <c r="AR106" s="70" t="s">
        <v>631</v>
      </c>
      <c r="AS106" s="70" t="s">
        <v>632</v>
      </c>
      <c r="AV106" s="254" t="s">
        <v>401</v>
      </c>
      <c r="AW106" s="72" t="str">
        <f t="shared" si="73"/>
        <v>ICPA</v>
      </c>
      <c r="AX106" s="254" t="s">
        <v>387</v>
      </c>
      <c r="AY106" s="266">
        <f t="shared" si="74"/>
        <v>0.30344250000000006</v>
      </c>
    </row>
    <row r="107" spans="1:51">
      <c r="A107" s="45" t="str">
        <f t="shared" si="67"/>
        <v>Industry-Chemicals-Lighting - Electricity</v>
      </c>
      <c r="B107" s="45" t="str">
        <f t="shared" ref="B107:B113" si="77">D107&amp;RIGHT(C107,3)&amp;"-E"</f>
        <v>ICPLELC-E</v>
      </c>
      <c r="C107" s="46" t="str">
        <f t="shared" si="68"/>
        <v>ICPELC</v>
      </c>
      <c r="D107" s="46" t="str">
        <f>$B$5&amp;RIGHT($B103,2)&amp;$B$63</f>
        <v>ICPL</v>
      </c>
      <c r="E107" s="58">
        <f>Methodology!C30</f>
        <v>0.3</v>
      </c>
      <c r="F107" s="60">
        <f>SUMIF(AFA!$C$3:$L$3,RIGHT(D107,1),AFA!$C$4:$L$4)</f>
        <v>0.12454999999999999</v>
      </c>
      <c r="G107" s="59">
        <v>100</v>
      </c>
      <c r="H107" s="60">
        <f t="shared" si="75"/>
        <v>3.8980971497390611</v>
      </c>
      <c r="I107">
        <v>0</v>
      </c>
      <c r="J107" s="61">
        <v>1</v>
      </c>
      <c r="K107" s="60">
        <f t="shared" si="69"/>
        <v>1.6183600000000002</v>
      </c>
      <c r="L107" s="60">
        <f t="shared" si="76"/>
        <v>0.48550800000000005</v>
      </c>
      <c r="N107" s="74" t="str">
        <f>""</f>
        <v/>
      </c>
      <c r="S107" s="78"/>
      <c r="T107" s="74"/>
      <c r="U107" s="74"/>
      <c r="V107" s="74"/>
      <c r="W107" s="74"/>
      <c r="Y107" s="74"/>
      <c r="Z107" s="14"/>
      <c r="AE107" s="13"/>
      <c r="AH107" t="str">
        <f t="shared" si="70"/>
        <v>ICPLELC-E</v>
      </c>
      <c r="AI107" t="str">
        <f t="shared" si="71"/>
        <v>Industry-Chemicals-Lighting - Electricity</v>
      </c>
      <c r="AJ107" s="70" t="s">
        <v>387</v>
      </c>
      <c r="AK107" s="70" t="s">
        <v>610</v>
      </c>
      <c r="AL107" s="70" t="s">
        <v>480</v>
      </c>
      <c r="AM107" s="70" t="s">
        <v>611</v>
      </c>
      <c r="AO107" s="70" t="str">
        <f t="shared" si="72"/>
        <v>ICPL</v>
      </c>
      <c r="AP107" s="70" t="str">
        <f>"Industry - "&amp;VLOOKUP(RIGHT(LEFT(AO107,3),2),NameConv!$E$21:$F$301,2,FALSE)&amp;" - " &amp;VLOOKUP(RIGHT(AO107,1),NameConv!$D$42:$E$53,2,FALSE)</f>
        <v>Industry - Chemicals - Lighting</v>
      </c>
      <c r="AQ107" s="245" t="s">
        <v>387</v>
      </c>
      <c r="AR107" s="70" t="s">
        <v>631</v>
      </c>
      <c r="AS107" s="70" t="s">
        <v>632</v>
      </c>
      <c r="AV107" s="254" t="s">
        <v>401</v>
      </c>
      <c r="AW107" s="72" t="str">
        <f t="shared" si="73"/>
        <v>ICPL</v>
      </c>
      <c r="AX107" s="254" t="s">
        <v>387</v>
      </c>
      <c r="AY107" s="266">
        <f t="shared" si="74"/>
        <v>0.48550800000000005</v>
      </c>
    </row>
    <row r="108" spans="1:51">
      <c r="A108" s="45" t="str">
        <f t="shared" si="67"/>
        <v>Industry-Chemicals-Cooling - Electricity</v>
      </c>
      <c r="B108" s="45" t="str">
        <f t="shared" si="77"/>
        <v>ICPCELC-E</v>
      </c>
      <c r="C108" s="46" t="str">
        <f t="shared" si="68"/>
        <v>ICPELC</v>
      </c>
      <c r="D108" s="46" t="str">
        <f>$B$5&amp;RIGHT($B103,2)&amp;$B$64</f>
        <v>ICPC</v>
      </c>
      <c r="E108" s="58">
        <f>Methodology!C31</f>
        <v>2</v>
      </c>
      <c r="F108" s="60">
        <f>SUMIF(AFA!$C$3:$L$3,RIGHT(D108,1),AFA!$C$4:$L$4)</f>
        <v>0.12956000000000001</v>
      </c>
      <c r="G108" s="59">
        <v>100</v>
      </c>
      <c r="H108" s="60">
        <f t="shared" si="75"/>
        <v>31.228002469898119</v>
      </c>
      <c r="I108">
        <v>0</v>
      </c>
      <c r="J108" s="61">
        <v>1</v>
      </c>
      <c r="K108" s="60">
        <f t="shared" si="69"/>
        <v>2.0229500000000002</v>
      </c>
      <c r="L108" s="60">
        <f t="shared" si="76"/>
        <v>4.0459000000000005</v>
      </c>
      <c r="N108" s="74" t="str">
        <f>""</f>
        <v/>
      </c>
      <c r="S108" s="78"/>
      <c r="T108" s="74"/>
      <c r="U108" s="74"/>
      <c r="V108" s="74"/>
      <c r="W108" s="74"/>
      <c r="Y108" s="74"/>
      <c r="Z108" s="14"/>
      <c r="AE108" s="13"/>
      <c r="AH108" t="str">
        <f t="shared" si="70"/>
        <v>ICPCELC-E</v>
      </c>
      <c r="AI108" t="str">
        <f t="shared" si="71"/>
        <v>Industry-Chemicals-Cooling - Electricity</v>
      </c>
      <c r="AJ108" s="70" t="s">
        <v>387</v>
      </c>
      <c r="AK108" s="70" t="s">
        <v>610</v>
      </c>
      <c r="AL108" s="70" t="s">
        <v>480</v>
      </c>
      <c r="AM108" s="70" t="s">
        <v>611</v>
      </c>
      <c r="AO108" s="70" t="str">
        <f t="shared" si="72"/>
        <v>ICPC</v>
      </c>
      <c r="AP108" s="70" t="str">
        <f>"Industry - "&amp;VLOOKUP(RIGHT(LEFT(AO108,3),2),NameConv!$E$21:$F$301,2,FALSE)&amp;" - " &amp;VLOOKUP(RIGHT(AO108,1),NameConv!$D$42:$E$53,2,FALSE)</f>
        <v>Industry - Chemicals - Cooling</v>
      </c>
      <c r="AQ108" s="245" t="s">
        <v>387</v>
      </c>
      <c r="AR108" s="70" t="s">
        <v>631</v>
      </c>
      <c r="AS108" s="70" t="s">
        <v>632</v>
      </c>
      <c r="AV108" s="254" t="s">
        <v>401</v>
      </c>
      <c r="AW108" s="72" t="str">
        <f t="shared" si="73"/>
        <v>ICPC</v>
      </c>
      <c r="AX108" s="254" t="s">
        <v>387</v>
      </c>
      <c r="AY108" s="266">
        <f t="shared" si="74"/>
        <v>4.0459000000000005</v>
      </c>
    </row>
    <row r="109" spans="1:51">
      <c r="A109" s="45" t="str">
        <f t="shared" si="67"/>
        <v>Industry-Chemicals-HVAC - Electricity</v>
      </c>
      <c r="B109" s="45" t="str">
        <f t="shared" si="77"/>
        <v>ICPHELC-E</v>
      </c>
      <c r="C109" s="46" t="str">
        <f t="shared" si="68"/>
        <v>ICPELC</v>
      </c>
      <c r="D109" s="46" t="str">
        <f>$B$5&amp;RIGHT($B103,2)&amp;$B$65</f>
        <v>ICPH</v>
      </c>
      <c r="E109" s="58">
        <f>Methodology!C32</f>
        <v>0.9</v>
      </c>
      <c r="F109" s="60">
        <f>SUMIF(AFA!$C$3:$L$3,RIGHT(D109,1),AFA!$C$4:$L$4)</f>
        <v>0.13161</v>
      </c>
      <c r="G109" s="59">
        <v>100</v>
      </c>
      <c r="H109" s="60">
        <f t="shared" si="75"/>
        <v>5.5334852974697979</v>
      </c>
      <c r="I109">
        <v>0</v>
      </c>
      <c r="J109" s="61">
        <v>1</v>
      </c>
      <c r="K109" s="60">
        <f t="shared" si="69"/>
        <v>0.80918000000000012</v>
      </c>
      <c r="L109" s="60">
        <f t="shared" si="76"/>
        <v>0.72826200000000008</v>
      </c>
      <c r="N109" s="74" t="str">
        <f>""</f>
        <v/>
      </c>
      <c r="S109" s="78"/>
      <c r="T109" s="74"/>
      <c r="U109" s="74"/>
      <c r="V109" s="74"/>
      <c r="W109" s="74"/>
      <c r="Y109" s="74"/>
      <c r="Z109" s="14"/>
      <c r="AE109" s="13"/>
      <c r="AH109" t="str">
        <f t="shared" si="70"/>
        <v>ICPHELC-E</v>
      </c>
      <c r="AI109" t="str">
        <f t="shared" si="71"/>
        <v>Industry-Chemicals-HVAC - Electricity</v>
      </c>
      <c r="AJ109" s="70" t="s">
        <v>387</v>
      </c>
      <c r="AK109" s="70" t="s">
        <v>610</v>
      </c>
      <c r="AL109" s="70" t="s">
        <v>480</v>
      </c>
      <c r="AM109" s="70" t="s">
        <v>611</v>
      </c>
      <c r="AO109" s="70" t="str">
        <f t="shared" si="72"/>
        <v>ICPH</v>
      </c>
      <c r="AP109" s="70" t="str">
        <f>"Industry - "&amp;VLOOKUP(RIGHT(LEFT(AO109,3),2),NameConv!$E$21:$F$301,2,FALSE)&amp;" - " &amp;VLOOKUP(RIGHT(AO109,1),NameConv!$D$42:$E$53,2,FALSE)</f>
        <v>Industry - Chemicals - HVAC</v>
      </c>
      <c r="AQ109" s="245" t="s">
        <v>387</v>
      </c>
      <c r="AR109" s="70" t="s">
        <v>631</v>
      </c>
      <c r="AS109" s="70" t="s">
        <v>632</v>
      </c>
      <c r="AV109" s="254" t="s">
        <v>401</v>
      </c>
      <c r="AW109" s="72" t="str">
        <f t="shared" si="73"/>
        <v>ICPH</v>
      </c>
      <c r="AX109" s="254" t="s">
        <v>387</v>
      </c>
      <c r="AY109" s="266">
        <f t="shared" si="74"/>
        <v>0.72826200000000008</v>
      </c>
    </row>
    <row r="110" spans="1:51">
      <c r="A110" s="45" t="str">
        <f t="shared" si="67"/>
        <v>Industry-Chemicals-Pumping - Electricity</v>
      </c>
      <c r="B110" s="45" t="str">
        <f t="shared" si="77"/>
        <v>ICPPELC-E</v>
      </c>
      <c r="C110" s="46" t="str">
        <f t="shared" si="68"/>
        <v>ICPELC</v>
      </c>
      <c r="D110" s="46" t="str">
        <f>$B$5&amp;RIGHT($B103,2)&amp;$B$66</f>
        <v>ICPP</v>
      </c>
      <c r="E110" s="58">
        <f>Methodology!C33</f>
        <v>0.8</v>
      </c>
      <c r="F110" s="60">
        <f>SUMIF(AFA!$C$3:$L$3,RIGHT(D110,1),AFA!$C$4:$L$4)</f>
        <v>0.12116</v>
      </c>
      <c r="G110" s="59">
        <v>100</v>
      </c>
      <c r="H110" s="60">
        <f t="shared" si="75"/>
        <v>93.500495212941573</v>
      </c>
      <c r="I110">
        <v>0</v>
      </c>
      <c r="J110" s="61">
        <v>1</v>
      </c>
      <c r="K110" s="60">
        <f t="shared" si="69"/>
        <v>14.16065</v>
      </c>
      <c r="L110" s="60">
        <f>K110*E110</f>
        <v>11.328520000000001</v>
      </c>
      <c r="N110" s="74" t="str">
        <f>""</f>
        <v/>
      </c>
      <c r="S110" s="78"/>
      <c r="T110" s="74"/>
      <c r="U110" s="74"/>
      <c r="V110" s="74"/>
      <c r="W110" s="74"/>
      <c r="Y110" s="74"/>
      <c r="Z110" s="14"/>
      <c r="AE110" s="13"/>
      <c r="AH110" t="str">
        <f t="shared" si="70"/>
        <v>ICPPELC-E</v>
      </c>
      <c r="AI110" t="str">
        <f t="shared" si="71"/>
        <v>Industry-Chemicals-Pumping - Electricity</v>
      </c>
      <c r="AJ110" s="70" t="s">
        <v>387</v>
      </c>
      <c r="AK110" s="70" t="s">
        <v>610</v>
      </c>
      <c r="AL110" s="70" t="s">
        <v>480</v>
      </c>
      <c r="AM110" s="70" t="s">
        <v>611</v>
      </c>
      <c r="AO110" s="70" t="str">
        <f t="shared" si="72"/>
        <v>ICPP</v>
      </c>
      <c r="AP110" s="70" t="str">
        <f>"Industry - "&amp;VLOOKUP(RIGHT(LEFT(AO110,3),2),NameConv!$E$21:$F$301,2,FALSE)&amp;" - " &amp;VLOOKUP(RIGHT(AO110,1),NameConv!$D$42:$E$53,2,FALSE)</f>
        <v>Industry - Chemicals - Pumping</v>
      </c>
      <c r="AQ110" s="245" t="s">
        <v>387</v>
      </c>
      <c r="AR110" s="70" t="s">
        <v>631</v>
      </c>
      <c r="AS110" s="70" t="s">
        <v>632</v>
      </c>
      <c r="AV110" s="254" t="s">
        <v>401</v>
      </c>
      <c r="AW110" s="72" t="str">
        <f t="shared" si="73"/>
        <v>ICPP</v>
      </c>
      <c r="AX110" s="254" t="s">
        <v>387</v>
      </c>
      <c r="AY110" s="266">
        <f t="shared" si="74"/>
        <v>11.328520000000001</v>
      </c>
    </row>
    <row r="111" spans="1:51">
      <c r="A111" s="45" t="str">
        <f t="shared" si="67"/>
        <v>Industry-Chemicals-Fans - Electricity</v>
      </c>
      <c r="B111" s="45" t="str">
        <f t="shared" si="77"/>
        <v>ICPFELC-E</v>
      </c>
      <c r="C111" s="46" t="str">
        <f t="shared" si="68"/>
        <v>ICPELC</v>
      </c>
      <c r="D111" s="46" t="str">
        <f>$B$5&amp;RIGHT($B103,2)&amp;$B$67</f>
        <v>ICPF</v>
      </c>
      <c r="E111" s="58">
        <f>Methodology!C34</f>
        <v>0.8</v>
      </c>
      <c r="F111" s="60">
        <f>SUMIF(AFA!$C$3:$L$3,RIGHT(D111,1),AFA!$C$4:$L$4)</f>
        <v>0.10936999999999999</v>
      </c>
      <c r="G111" s="59">
        <v>100</v>
      </c>
      <c r="H111" s="60">
        <f t="shared" si="75"/>
        <v>23.675377160098755</v>
      </c>
      <c r="I111">
        <v>0</v>
      </c>
      <c r="J111" s="61">
        <v>1</v>
      </c>
      <c r="K111" s="60">
        <f t="shared" si="69"/>
        <v>3.2367200000000005</v>
      </c>
      <c r="L111" s="60">
        <f t="shared" si="76"/>
        <v>2.5893760000000006</v>
      </c>
      <c r="N111" s="74" t="str">
        <f>""</f>
        <v/>
      </c>
      <c r="S111" s="78"/>
      <c r="T111" s="74"/>
      <c r="U111" s="74"/>
      <c r="V111" s="74"/>
      <c r="W111" s="74"/>
      <c r="Y111" s="74"/>
      <c r="Z111" s="14"/>
      <c r="AE111" s="13"/>
      <c r="AH111" t="str">
        <f t="shared" si="70"/>
        <v>ICPFELC-E</v>
      </c>
      <c r="AI111" t="str">
        <f t="shared" si="71"/>
        <v>Industry-Chemicals-Fans - Electricity</v>
      </c>
      <c r="AJ111" s="70" t="s">
        <v>387</v>
      </c>
      <c r="AK111" s="70" t="s">
        <v>610</v>
      </c>
      <c r="AL111" s="70" t="s">
        <v>480</v>
      </c>
      <c r="AM111" s="70" t="s">
        <v>611</v>
      </c>
      <c r="AO111" s="70" t="str">
        <f t="shared" si="72"/>
        <v>ICPF</v>
      </c>
      <c r="AP111" s="70" t="str">
        <f>"Industry - "&amp;VLOOKUP(RIGHT(LEFT(AO111,3),2),NameConv!$E$21:$F$301,2,FALSE)&amp;" - " &amp;VLOOKUP(RIGHT(AO111,1),NameConv!$D$42:$E$53,2,FALSE)</f>
        <v>Industry - Chemicals - Fans</v>
      </c>
      <c r="AQ111" s="245" t="s">
        <v>387</v>
      </c>
      <c r="AR111" s="70" t="s">
        <v>631</v>
      </c>
      <c r="AS111" s="70" t="s">
        <v>632</v>
      </c>
      <c r="AV111" s="254" t="s">
        <v>401</v>
      </c>
      <c r="AW111" s="72" t="str">
        <f t="shared" si="73"/>
        <v>ICPF</v>
      </c>
      <c r="AX111" s="254" t="s">
        <v>387</v>
      </c>
      <c r="AY111" s="266">
        <f t="shared" si="74"/>
        <v>2.5893760000000006</v>
      </c>
    </row>
    <row r="112" spans="1:51">
      <c r="A112" s="45" t="str">
        <f t="shared" si="67"/>
        <v>Industry-Chemicals-Other motive - Electricity</v>
      </c>
      <c r="B112" s="45" t="str">
        <f t="shared" si="77"/>
        <v>ICPOELC-E</v>
      </c>
      <c r="C112" s="46" t="str">
        <f t="shared" si="68"/>
        <v>ICPELC</v>
      </c>
      <c r="D112" s="46" t="str">
        <f>$B$5&amp;RIGHT($B103,2)&amp;$B$68</f>
        <v>ICPO</v>
      </c>
      <c r="E112" s="58">
        <f>Methodology!C35</f>
        <v>0.8</v>
      </c>
      <c r="F112" s="60">
        <f>SUMIF(AFA!$C$3:$L$3,RIGHT(D112,1),AFA!$C$4:$L$4)</f>
        <v>0.13081999999999999</v>
      </c>
      <c r="G112" s="59">
        <v>100</v>
      </c>
      <c r="H112" s="60">
        <f t="shared" si="75"/>
        <v>49.483565204097246</v>
      </c>
      <c r="I112">
        <v>0</v>
      </c>
      <c r="J112" s="61">
        <v>1</v>
      </c>
      <c r="K112" s="60">
        <f t="shared" si="69"/>
        <v>8.091800000000001</v>
      </c>
      <c r="L112" s="60">
        <f t="shared" si="76"/>
        <v>6.473440000000001</v>
      </c>
      <c r="N112" s="74" t="str">
        <f>""</f>
        <v/>
      </c>
      <c r="S112" s="78"/>
      <c r="T112" s="74"/>
      <c r="U112" s="74"/>
      <c r="V112" s="74"/>
      <c r="W112" s="74"/>
      <c r="Y112" s="74"/>
      <c r="Z112" s="14"/>
      <c r="AE112" s="13"/>
      <c r="AH112" t="str">
        <f t="shared" si="70"/>
        <v>ICPOELC-E</v>
      </c>
      <c r="AI112" t="str">
        <f t="shared" si="71"/>
        <v>Industry-Chemicals-Other motive - Electricity</v>
      </c>
      <c r="AJ112" s="70" t="s">
        <v>387</v>
      </c>
      <c r="AK112" s="70" t="s">
        <v>610</v>
      </c>
      <c r="AL112" s="70" t="s">
        <v>480</v>
      </c>
      <c r="AM112" s="70" t="s">
        <v>611</v>
      </c>
      <c r="AO112" s="70" t="str">
        <f t="shared" si="72"/>
        <v>ICPO</v>
      </c>
      <c r="AP112" s="70" t="str">
        <f>"Industry - "&amp;VLOOKUP(RIGHT(LEFT(AO112,3),2),NameConv!$E$21:$F$301,2,FALSE)&amp;" - " &amp;VLOOKUP(RIGHT(AO112,1),NameConv!$D$42:$E$53,2,FALSE)</f>
        <v>Industry - Chemicals - Other motive</v>
      </c>
      <c r="AQ112" s="245" t="s">
        <v>387</v>
      </c>
      <c r="AR112" s="70" t="s">
        <v>631</v>
      </c>
      <c r="AS112" s="70" t="s">
        <v>632</v>
      </c>
      <c r="AV112" s="254" t="s">
        <v>401</v>
      </c>
      <c r="AW112" s="72" t="str">
        <f t="shared" si="73"/>
        <v>ICPO</v>
      </c>
      <c r="AX112" s="254" t="s">
        <v>387</v>
      </c>
      <c r="AY112" s="266">
        <f t="shared" si="74"/>
        <v>6.473440000000001</v>
      </c>
    </row>
    <row r="113" spans="1:51">
      <c r="A113" s="45" t="str">
        <f t="shared" si="67"/>
        <v>Industry-Chemicals-Electrochemical - Electricity</v>
      </c>
      <c r="B113" s="45" t="str">
        <f t="shared" si="77"/>
        <v>ICPEELC-E</v>
      </c>
      <c r="C113" s="46" t="str">
        <f t="shared" si="68"/>
        <v>ICPELC</v>
      </c>
      <c r="D113" s="46" t="str">
        <f>$B$5&amp;RIGHT($B103,2)&amp;$B$69</f>
        <v>ICPE</v>
      </c>
      <c r="E113" s="58">
        <f>Methodology!C27</f>
        <v>0.76</v>
      </c>
      <c r="F113" s="60">
        <f>SUMIF(AFA!$C$3:$L$3,RIGHT(D113,1),AFA!$C$4:$L$4)</f>
        <v>0.13233</v>
      </c>
      <c r="G113" s="59">
        <v>100</v>
      </c>
      <c r="H113" s="60">
        <f t="shared" si="75"/>
        <v>18.589187636968187</v>
      </c>
      <c r="I113">
        <v>0</v>
      </c>
      <c r="J113" s="61">
        <v>1</v>
      </c>
      <c r="K113" s="60">
        <f t="shared" si="69"/>
        <v>3.2367200000000005</v>
      </c>
      <c r="L113" s="60">
        <f t="shared" si="76"/>
        <v>2.4599072000000004</v>
      </c>
      <c r="N113" s="74" t="str">
        <f>""</f>
        <v/>
      </c>
      <c r="S113" s="78"/>
      <c r="T113" s="74"/>
      <c r="U113" s="74"/>
      <c r="V113" s="74"/>
      <c r="W113" s="74"/>
      <c r="Y113" s="74"/>
      <c r="Z113" s="14"/>
      <c r="AE113" s="13"/>
      <c r="AH113" t="str">
        <f t="shared" si="70"/>
        <v>ICPEELC-E</v>
      </c>
      <c r="AI113" t="str">
        <f t="shared" si="71"/>
        <v>Industry-Chemicals-Electrochemical - Electricity</v>
      </c>
      <c r="AJ113" s="70" t="s">
        <v>387</v>
      </c>
      <c r="AK113" s="70" t="s">
        <v>610</v>
      </c>
      <c r="AL113" s="70" t="s">
        <v>480</v>
      </c>
      <c r="AM113" s="70" t="s">
        <v>611</v>
      </c>
      <c r="AO113" s="70" t="str">
        <f t="shared" si="72"/>
        <v>ICPE</v>
      </c>
      <c r="AP113" s="70" t="str">
        <f>"Industry - "&amp;VLOOKUP(RIGHT(LEFT(AO113,3),2),NameConv!$E$21:$F$301,2,FALSE)&amp;" - " &amp;VLOOKUP(RIGHT(AO113,1),NameConv!$D$42:$E$53,2,FALSE)</f>
        <v>Industry - Chemicals - Electrochemical</v>
      </c>
      <c r="AQ113" s="245" t="s">
        <v>387</v>
      </c>
      <c r="AR113" s="70" t="s">
        <v>631</v>
      </c>
      <c r="AS113" s="70" t="s">
        <v>632</v>
      </c>
      <c r="AV113" s="254" t="s">
        <v>401</v>
      </c>
      <c r="AW113" s="72" t="str">
        <f t="shared" si="73"/>
        <v>ICPE</v>
      </c>
      <c r="AX113" s="254" t="s">
        <v>387</v>
      </c>
      <c r="AY113" s="266">
        <f t="shared" si="74"/>
        <v>2.4599072000000004</v>
      </c>
    </row>
    <row r="114" spans="1:51">
      <c r="A114" s="45" t="s">
        <v>476</v>
      </c>
      <c r="B114" s="45"/>
      <c r="C114" s="46"/>
      <c r="D114" s="46" t="s">
        <v>336</v>
      </c>
      <c r="E114" s="58"/>
      <c r="F114" s="60">
        <f>SUMIF(AFA!$C$3:$L$3,RIGHT(D114,1),AFA!$C$4:$L$4)</f>
        <v>0</v>
      </c>
      <c r="G114" s="59"/>
      <c r="H114" s="60"/>
      <c r="J114" s="61"/>
      <c r="K114" s="60"/>
      <c r="L114" s="60"/>
      <c r="N114" s="74" t="str">
        <f>""</f>
        <v/>
      </c>
      <c r="S114" s="78"/>
      <c r="T114" s="74"/>
      <c r="U114" s="74"/>
      <c r="V114" s="74"/>
      <c r="W114" s="74"/>
      <c r="Y114" s="74"/>
      <c r="Z114" s="14"/>
      <c r="AE114" s="13"/>
      <c r="AH114" s="26" t="s">
        <v>476</v>
      </c>
      <c r="AJ114" s="70"/>
      <c r="AK114" s="70"/>
      <c r="AL114" s="70"/>
      <c r="AM114" s="70"/>
      <c r="AO114" s="26" t="s">
        <v>476</v>
      </c>
      <c r="AV114" s="72" t="s">
        <v>476</v>
      </c>
      <c r="AW114" s="72" t="str">
        <f t="shared" si="73"/>
        <v>*</v>
      </c>
      <c r="AX114" s="254" t="s">
        <v>387</v>
      </c>
      <c r="AY114" s="266">
        <f t="shared" si="74"/>
        <v>338.97013191086643</v>
      </c>
    </row>
    <row r="115" spans="1:51" ht="14.25" customHeight="1">
      <c r="A115" s="45" t="str">
        <f>A$5&amp;"-"&amp;A$14&amp;"-"&amp;A$70&amp;" - "&amp;VLOOKUP(RIGHT(C115,3),NameConv!$E$4:$G$20,2,FALSE)&amp;" - Existing"</f>
        <v>Industry-Chemicals-boiler/process heating -  - Existing</v>
      </c>
      <c r="B115" s="45" t="str">
        <f t="shared" ref="B115:B122" si="78">D115&amp;RIGHT(C115,3)&amp;"-E"</f>
        <v>ICPSCLE-E</v>
      </c>
      <c r="C115" s="46" t="s">
        <v>468</v>
      </c>
      <c r="D115" s="46" t="str">
        <f>$B$5&amp;RIGHT($B103,2)&amp;$B$70</f>
        <v>ICPS</v>
      </c>
      <c r="E115" s="87">
        <f>Methodology!C40</f>
        <v>0.64</v>
      </c>
      <c r="F115" s="60">
        <f>SUMIF(AFA!$C$3:$L$3,RIGHT(D115,1),AFA!$C$4:$L$4)</f>
        <v>0.15426999999999999</v>
      </c>
      <c r="G115" s="59">
        <v>100</v>
      </c>
      <c r="H115" s="60">
        <f t="shared" ref="H115:H124" si="79">L115/F115</f>
        <v>101.08822194853181</v>
      </c>
      <c r="I115">
        <v>0</v>
      </c>
      <c r="J115" s="61">
        <v>1</v>
      </c>
      <c r="K115" s="60">
        <f>J115*C14</f>
        <v>24.367000000000001</v>
      </c>
      <c r="L115" s="60">
        <f t="shared" ref="L115:L122" si="80">K115*E115</f>
        <v>15.594880000000002</v>
      </c>
      <c r="N115" s="196">
        <f t="shared" ref="N115:N122" si="81">L115/(SUMIF($D$81:$D$187,$D115,$L$81:$L$187)+$P$76)</f>
        <v>0.8077248655478656</v>
      </c>
      <c r="O115" s="77">
        <f t="shared" ref="O115:Q124" si="82">MIN(1,$N115+O$75)</f>
        <v>1</v>
      </c>
      <c r="P115" s="77">
        <f t="shared" si="82"/>
        <v>1</v>
      </c>
      <c r="Q115" s="77">
        <f t="shared" si="82"/>
        <v>1</v>
      </c>
      <c r="R115" s="77"/>
      <c r="S115" s="78">
        <f t="shared" ref="S115:S122" si="83">N115</f>
        <v>0.8077248655478656</v>
      </c>
      <c r="T115" s="77">
        <f t="shared" ref="T115:V115" si="84">S115*T$75</f>
        <v>0.72695237899307907</v>
      </c>
      <c r="U115" s="77">
        <f t="shared" si="84"/>
        <v>0</v>
      </c>
      <c r="V115" s="77">
        <f t="shared" si="84"/>
        <v>0</v>
      </c>
      <c r="W115" s="74"/>
      <c r="Y115" s="74"/>
      <c r="Z115" s="14"/>
      <c r="AE115" s="13"/>
      <c r="AH115" t="str">
        <f t="shared" si="70"/>
        <v>ICPSCLE-E</v>
      </c>
      <c r="AI115" t="str">
        <f t="shared" si="71"/>
        <v>Industry-Chemicals-boiler/process heating -  - Existing</v>
      </c>
      <c r="AJ115" s="70" t="s">
        <v>387</v>
      </c>
      <c r="AK115" s="70" t="s">
        <v>610</v>
      </c>
      <c r="AL115" s="70" t="s">
        <v>480</v>
      </c>
      <c r="AM115" s="70" t="s">
        <v>611</v>
      </c>
      <c r="AO115" s="70" t="str">
        <f t="shared" ref="AO115" si="85">D115</f>
        <v>ICPS</v>
      </c>
      <c r="AP115" s="70" t="str">
        <f>"Industry - "&amp;VLOOKUP(RIGHT(LEFT(AO115,3),2),NameConv!$E$21:$F$301,2,FALSE)&amp;" - " &amp;VLOOKUP(RIGHT(AO115,1),NameConv!$D$42:$E$53,2,FALSE)</f>
        <v>Industry - Chemicals - boiler/process heating</v>
      </c>
      <c r="AQ115" s="245" t="s">
        <v>387</v>
      </c>
      <c r="AR115" s="70" t="s">
        <v>631</v>
      </c>
      <c r="AS115" s="70" t="s">
        <v>480</v>
      </c>
      <c r="AV115" s="254" t="s">
        <v>401</v>
      </c>
      <c r="AW115" s="72" t="str">
        <f t="shared" si="73"/>
        <v>ICPS</v>
      </c>
      <c r="AX115" s="254" t="s">
        <v>387</v>
      </c>
      <c r="AY115" s="266">
        <f t="shared" si="74"/>
        <v>19.307168400000002</v>
      </c>
    </row>
    <row r="116" spans="1:51">
      <c r="A116" s="45" t="str">
        <f>A$5&amp;"-"&amp;A$14&amp;"-"&amp;A$70&amp;" - "&amp;VLOOKUP(RIGHT(C116,3),NameConv!$E$4:$G$20,2,FALSE)&amp;" - Existing"</f>
        <v>Industry-Chemicals-boiler/process heating -  - Existing</v>
      </c>
      <c r="B116" s="45" t="str">
        <f t="shared" si="78"/>
        <v>ICPSGAS-E</v>
      </c>
      <c r="C116" s="46" t="str">
        <f>G6</f>
        <v>INDGAS</v>
      </c>
      <c r="D116" s="46" t="str">
        <f>$B$5&amp;RIGHT($B103,2)&amp;$B$70</f>
        <v>ICPS</v>
      </c>
      <c r="E116" s="87">
        <f>Methodology!C41</f>
        <v>0.72</v>
      </c>
      <c r="F116" s="60">
        <f>SUMIF(AFA!$C$3:$L$3,RIGHT(D116,1),AFA!$C$4:$L$4)</f>
        <v>0.15426999999999999</v>
      </c>
      <c r="G116" s="59">
        <v>100</v>
      </c>
      <c r="H116" s="60">
        <f t="shared" si="79"/>
        <v>17.22175406754392</v>
      </c>
      <c r="I116">
        <v>0</v>
      </c>
      <c r="J116" s="61">
        <v>1</v>
      </c>
      <c r="K116" s="60">
        <f>J116*G14</f>
        <v>3.69</v>
      </c>
      <c r="L116" s="60">
        <f t="shared" si="80"/>
        <v>2.6568000000000001</v>
      </c>
      <c r="N116" s="78">
        <f t="shared" si="81"/>
        <v>0.13760692116820195</v>
      </c>
      <c r="O116" s="77">
        <f t="shared" si="82"/>
        <v>0.63760692116820195</v>
      </c>
      <c r="P116" s="77">
        <f t="shared" si="82"/>
        <v>1</v>
      </c>
      <c r="Q116" s="77">
        <f t="shared" si="82"/>
        <v>1</v>
      </c>
      <c r="R116" s="77"/>
      <c r="S116" s="78">
        <f t="shared" si="83"/>
        <v>0.13760692116820195</v>
      </c>
      <c r="T116" s="77">
        <f t="shared" ref="T116:V116" si="86">S116*T$75</f>
        <v>0.12384622905138175</v>
      </c>
      <c r="U116" s="77">
        <f t="shared" si="86"/>
        <v>0</v>
      </c>
      <c r="V116" s="77">
        <f t="shared" si="86"/>
        <v>0</v>
      </c>
      <c r="W116" s="74"/>
      <c r="Y116" s="74"/>
      <c r="Z116" s="14"/>
      <c r="AE116" s="13"/>
      <c r="AH116" t="str">
        <f t="shared" si="70"/>
        <v>ICPSGAS-E</v>
      </c>
      <c r="AI116" t="str">
        <f t="shared" si="71"/>
        <v>Industry-Chemicals-boiler/process heating -  - Existing</v>
      </c>
      <c r="AJ116" s="70" t="s">
        <v>387</v>
      </c>
      <c r="AK116" s="70" t="s">
        <v>610</v>
      </c>
      <c r="AL116" s="70" t="s">
        <v>480</v>
      </c>
      <c r="AM116" s="70" t="s">
        <v>611</v>
      </c>
      <c r="AO116" s="26" t="s">
        <v>476</v>
      </c>
      <c r="AP116" s="70" t="str">
        <f t="shared" ref="AP116:AP122" si="87">A116</f>
        <v>Industry-Chemicals-boiler/process heating -  - Existing</v>
      </c>
      <c r="AQ116" s="245" t="s">
        <v>387</v>
      </c>
      <c r="AR116" s="70" t="s">
        <v>631</v>
      </c>
      <c r="AS116" s="70" t="s">
        <v>480</v>
      </c>
      <c r="AV116" s="72" t="s">
        <v>476</v>
      </c>
      <c r="AW116" s="72" t="str">
        <f t="shared" si="73"/>
        <v>*</v>
      </c>
      <c r="AX116" s="254" t="s">
        <v>387</v>
      </c>
      <c r="AY116" s="266">
        <f t="shared" si="74"/>
        <v>338.97013191086643</v>
      </c>
    </row>
    <row r="117" spans="1:51">
      <c r="A117" s="45" t="str">
        <f>A$5&amp;"-"&amp;A$14&amp;"-"&amp;A$70&amp;" - "&amp;VLOOKUP(RIGHT(C117,3),NameConv!$E$4:$G$20,2,FALSE)&amp;" - Existing"</f>
        <v>Industry-Chemicals-boiler/process heating -  - Existing</v>
      </c>
      <c r="B117" s="45" t="str">
        <f t="shared" si="78"/>
        <v>ICPSOHF-E</v>
      </c>
      <c r="C117" s="46" t="str">
        <f>+$H$6</f>
        <v>INDOHF</v>
      </c>
      <c r="D117" s="46" t="str">
        <f>$B$5&amp;RIGHT($B103,2)&amp;$B$70</f>
        <v>ICPS</v>
      </c>
      <c r="E117" s="87">
        <f>Methodology!C42</f>
        <v>0.68</v>
      </c>
      <c r="F117" s="60">
        <f>SUMIF(AFA!$C$3:$L$3,RIGHT(D117,1),AFA!$C$4:$L$4)</f>
        <v>0.15426999999999999</v>
      </c>
      <c r="G117" s="59">
        <v>100</v>
      </c>
      <c r="H117" s="60">
        <f t="shared" si="79"/>
        <v>4.8486419913139311</v>
      </c>
      <c r="I117">
        <v>0</v>
      </c>
      <c r="J117" s="61">
        <v>1</v>
      </c>
      <c r="K117" s="60">
        <f>J117*INDEX($C$10:$L$19,MATCH(B103,$B$10:$B$19,0),MATCH($B$6&amp;RIGHT(C117,3),$C$6:$L$6,0))</f>
        <v>1.1000000000000001</v>
      </c>
      <c r="L117" s="60">
        <f t="shared" si="80"/>
        <v>0.74800000000000011</v>
      </c>
      <c r="N117" s="78">
        <f t="shared" si="81"/>
        <v>3.8742087109987604E-2</v>
      </c>
      <c r="O117" s="77">
        <f t="shared" si="82"/>
        <v>0.53874208710998761</v>
      </c>
      <c r="P117" s="77">
        <f t="shared" si="82"/>
        <v>1</v>
      </c>
      <c r="Q117" s="77">
        <f t="shared" si="82"/>
        <v>1</v>
      </c>
      <c r="R117" s="77"/>
      <c r="S117" s="78">
        <f t="shared" si="83"/>
        <v>3.8742087109987604E-2</v>
      </c>
      <c r="T117" s="77">
        <f t="shared" ref="T117:V117" si="88">S117*T$75</f>
        <v>3.4867878398988847E-2</v>
      </c>
      <c r="U117" s="77">
        <f t="shared" si="88"/>
        <v>0</v>
      </c>
      <c r="V117" s="77">
        <f t="shared" si="88"/>
        <v>0</v>
      </c>
      <c r="W117" s="74"/>
      <c r="Y117" s="74"/>
      <c r="Z117" s="14"/>
      <c r="AE117" s="13"/>
      <c r="AH117" t="str">
        <f t="shared" si="70"/>
        <v>ICPSOHF-E</v>
      </c>
      <c r="AI117" t="str">
        <f t="shared" si="71"/>
        <v>Industry-Chemicals-boiler/process heating -  - Existing</v>
      </c>
      <c r="AJ117" s="70" t="s">
        <v>387</v>
      </c>
      <c r="AK117" s="70" t="s">
        <v>610</v>
      </c>
      <c r="AL117" s="70" t="s">
        <v>480</v>
      </c>
      <c r="AM117" s="70" t="s">
        <v>611</v>
      </c>
      <c r="AO117" s="26" t="s">
        <v>476</v>
      </c>
      <c r="AP117" s="70" t="str">
        <f t="shared" si="87"/>
        <v>Industry-Chemicals-boiler/process heating -  - Existing</v>
      </c>
      <c r="AQ117" s="245" t="s">
        <v>387</v>
      </c>
      <c r="AR117" s="70" t="s">
        <v>631</v>
      </c>
      <c r="AS117" s="70" t="s">
        <v>480</v>
      </c>
      <c r="AV117" s="72" t="s">
        <v>476</v>
      </c>
      <c r="AW117" s="72" t="str">
        <f t="shared" si="73"/>
        <v>*</v>
      </c>
      <c r="AX117" s="254" t="s">
        <v>387</v>
      </c>
      <c r="AY117" s="266">
        <f t="shared" si="74"/>
        <v>338.97013191086643</v>
      </c>
    </row>
    <row r="118" spans="1:51">
      <c r="A118" s="45" t="str">
        <f>A$5&amp;"-"&amp;A$14&amp;"-"&amp;A$70&amp;" - "&amp;VLOOKUP(RIGHT(C118,3),NameConv!$E$4:$G$20,2,FALSE)&amp;" - Existing"</f>
        <v>Industry-Chemicals-boiler/process heating -  - Existing</v>
      </c>
      <c r="B118" s="45" t="str">
        <f t="shared" si="78"/>
        <v>ICPSOLP-E</v>
      </c>
      <c r="C118" s="46" t="str">
        <f>+$I$6</f>
        <v>INDOLP</v>
      </c>
      <c r="D118" s="46" t="str">
        <f>$B$5&amp;RIGHT($B103,2)&amp;$B$70</f>
        <v>ICPS</v>
      </c>
      <c r="E118" s="87">
        <f>Methodology!C43</f>
        <v>0.72</v>
      </c>
      <c r="F118" s="60">
        <f>SUMIF(AFA!$C$3:$L$3,RIGHT(D118,1),AFA!$C$4:$L$4)</f>
        <v>0.15426999999999999</v>
      </c>
      <c r="G118" s="59">
        <v>100</v>
      </c>
      <c r="H118" s="60">
        <f t="shared" si="79"/>
        <v>0</v>
      </c>
      <c r="I118">
        <v>0</v>
      </c>
      <c r="J118" s="61">
        <v>1</v>
      </c>
      <c r="K118" s="60">
        <f>J118*INDEX($C$10:$L$19,MATCH(B103,$B$10:$B$19,0),MATCH($B$6&amp;RIGHT(C118,3),$C$6:$L$6,0))</f>
        <v>0</v>
      </c>
      <c r="L118" s="60">
        <f t="shared" si="80"/>
        <v>0</v>
      </c>
      <c r="N118" s="78">
        <f t="shared" si="81"/>
        <v>0</v>
      </c>
      <c r="O118" s="77">
        <f t="shared" si="82"/>
        <v>0.5</v>
      </c>
      <c r="P118" s="77">
        <f t="shared" si="82"/>
        <v>1</v>
      </c>
      <c r="Q118" s="77">
        <f t="shared" si="82"/>
        <v>1</v>
      </c>
      <c r="R118" s="77"/>
      <c r="S118" s="78">
        <f t="shared" si="83"/>
        <v>0</v>
      </c>
      <c r="T118" s="77">
        <f t="shared" ref="T118:V118" si="89">S118*T$75</f>
        <v>0</v>
      </c>
      <c r="U118" s="77">
        <f t="shared" si="89"/>
        <v>0</v>
      </c>
      <c r="V118" s="77">
        <f t="shared" si="89"/>
        <v>0</v>
      </c>
      <c r="W118" s="74"/>
      <c r="Y118" s="74"/>
      <c r="Z118" s="14"/>
      <c r="AE118" s="13"/>
      <c r="AH118" t="str">
        <f t="shared" si="70"/>
        <v>ICPSOLP-E</v>
      </c>
      <c r="AI118" t="str">
        <f t="shared" si="71"/>
        <v>Industry-Chemicals-boiler/process heating -  - Existing</v>
      </c>
      <c r="AJ118" s="70" t="s">
        <v>387</v>
      </c>
      <c r="AK118" s="70" t="s">
        <v>610</v>
      </c>
      <c r="AL118" s="70" t="s">
        <v>480</v>
      </c>
      <c r="AM118" s="70" t="s">
        <v>611</v>
      </c>
      <c r="AO118" s="26" t="s">
        <v>476</v>
      </c>
      <c r="AP118" s="70" t="str">
        <f t="shared" si="87"/>
        <v>Industry-Chemicals-boiler/process heating -  - Existing</v>
      </c>
      <c r="AQ118" s="245" t="s">
        <v>387</v>
      </c>
      <c r="AR118" s="70" t="s">
        <v>631</v>
      </c>
      <c r="AS118" s="70" t="s">
        <v>480</v>
      </c>
      <c r="AV118" s="72" t="s">
        <v>476</v>
      </c>
      <c r="AW118" s="72" t="str">
        <f t="shared" si="73"/>
        <v>*</v>
      </c>
      <c r="AX118" s="254" t="s">
        <v>387</v>
      </c>
      <c r="AY118" s="266">
        <f t="shared" si="74"/>
        <v>338.97013191086643</v>
      </c>
    </row>
    <row r="119" spans="1:51" ht="15">
      <c r="A119" s="45" t="str">
        <f>A$5&amp;"-"&amp;A$14&amp;"-"&amp;A$70&amp;" - "&amp;VLOOKUP(RIGHT(C119,3),NameConv!$E$4:$G$20,2,FALSE)&amp;" - Existing"</f>
        <v>Industry-Chemicals-boiler/process heating -  - Existing</v>
      </c>
      <c r="B119" s="45" t="str">
        <f t="shared" si="78"/>
        <v>ICPSELC-E</v>
      </c>
      <c r="C119" s="46" t="str">
        <f>$P$13</f>
        <v>ICPELC</v>
      </c>
      <c r="D119" s="46" t="str">
        <f>$B$5&amp;RIGHT($B103,2)&amp;$B$70</f>
        <v>ICPS</v>
      </c>
      <c r="E119" s="87">
        <f>Methodology!C27</f>
        <v>0.76</v>
      </c>
      <c r="F119" s="60">
        <f>SUMIF(AFA!$C$3:$L$3,RIGHT(D119,1),AFA!$C$4:$L$4)</f>
        <v>0.15426999999999999</v>
      </c>
      <c r="G119" s="59">
        <v>100</v>
      </c>
      <c r="H119" s="60">
        <f t="shared" si="79"/>
        <v>1.9931833797886827</v>
      </c>
      <c r="I119">
        <v>0</v>
      </c>
      <c r="J119" s="61">
        <v>1</v>
      </c>
      <c r="K119" s="60">
        <f>J119*INDEX($C$70:$J$70,MATCH($B103,$C$60:$J$60,0))</f>
        <v>0.40459000000000006</v>
      </c>
      <c r="L119" s="60">
        <f t="shared" si="80"/>
        <v>0.30748840000000005</v>
      </c>
      <c r="N119" s="196">
        <f t="shared" si="81"/>
        <v>1.5926126173944805E-2</v>
      </c>
      <c r="O119" s="77">
        <f t="shared" si="82"/>
        <v>0.51592612617394484</v>
      </c>
      <c r="P119" s="216">
        <f>90%-P120</f>
        <v>0.69000000000000006</v>
      </c>
      <c r="Q119" s="216">
        <f>90%-Q120</f>
        <v>0.69000000000000006</v>
      </c>
      <c r="R119" s="77"/>
      <c r="S119" s="78">
        <f t="shared" si="83"/>
        <v>1.5926126173944805E-2</v>
      </c>
      <c r="T119" s="77">
        <f t="shared" ref="T119:V119" si="90">S119*T$75</f>
        <v>1.4333513556550326E-2</v>
      </c>
      <c r="U119" s="77">
        <f t="shared" si="90"/>
        <v>0</v>
      </c>
      <c r="V119" s="77">
        <f t="shared" si="90"/>
        <v>0</v>
      </c>
      <c r="W119" s="74"/>
      <c r="Y119" s="74"/>
      <c r="Z119" s="14"/>
      <c r="AE119" s="13"/>
      <c r="AH119" t="str">
        <f t="shared" si="70"/>
        <v>ICPSELC-E</v>
      </c>
      <c r="AI119" t="str">
        <f t="shared" si="71"/>
        <v>Industry-Chemicals-boiler/process heating -  - Existing</v>
      </c>
      <c r="AJ119" s="70" t="s">
        <v>387</v>
      </c>
      <c r="AK119" s="70" t="s">
        <v>610</v>
      </c>
      <c r="AL119" s="70" t="s">
        <v>480</v>
      </c>
      <c r="AM119" s="70" t="s">
        <v>611</v>
      </c>
      <c r="AO119" s="26" t="s">
        <v>476</v>
      </c>
      <c r="AP119" s="70" t="str">
        <f t="shared" si="87"/>
        <v>Industry-Chemicals-boiler/process heating -  - Existing</v>
      </c>
      <c r="AQ119" s="245" t="s">
        <v>387</v>
      </c>
      <c r="AR119" s="70" t="s">
        <v>631</v>
      </c>
      <c r="AS119" s="70" t="s">
        <v>632</v>
      </c>
      <c r="AV119" s="72" t="s">
        <v>476</v>
      </c>
      <c r="AW119" s="72" t="str">
        <f t="shared" si="73"/>
        <v>*</v>
      </c>
      <c r="AX119" s="254" t="s">
        <v>387</v>
      </c>
      <c r="AY119" s="266">
        <f t="shared" si="74"/>
        <v>338.97013191086643</v>
      </c>
    </row>
    <row r="120" spans="1:51" ht="15">
      <c r="A120" s="45" t="str">
        <f>A$5&amp;"-"&amp;A$14&amp;"-"&amp;A$70&amp;" - "&amp;VLOOKUP(RIGHT(C120,3),NameConv!$E$4:$G$20,2,FALSE)&amp;" - Heat Pump New"</f>
        <v>Industry-Chemicals-boiler/process heating -  - Heat Pump New</v>
      </c>
      <c r="B120" s="45" t="str">
        <f>D120&amp;RIGHT(C120,3)&amp;"-N"</f>
        <v>ICPSELC-N</v>
      </c>
      <c r="C120" s="46" t="str">
        <f>$P$13</f>
        <v>ICPELC</v>
      </c>
      <c r="D120" s="46" t="str">
        <f>$B$5&amp;RIGHT($B103,2)&amp;$B$70</f>
        <v>ICPS</v>
      </c>
      <c r="E120" s="87">
        <f>E96</f>
        <v>3.34</v>
      </c>
      <c r="F120" s="60">
        <f>SUMIF(AFA!$C$3:$L$3,RIGHT(D120,1),AFA!$C$4:$L$4)</f>
        <v>0.15426999999999999</v>
      </c>
      <c r="G120" s="59">
        <v>100</v>
      </c>
      <c r="H120" s="60">
        <v>0</v>
      </c>
      <c r="I120">
        <v>0</v>
      </c>
      <c r="J120" s="61">
        <v>1</v>
      </c>
      <c r="K120" s="60">
        <v>0</v>
      </c>
      <c r="L120" s="60">
        <f>K120*E120</f>
        <v>0</v>
      </c>
      <c r="N120" s="196">
        <f t="shared" si="81"/>
        <v>0</v>
      </c>
      <c r="O120" s="216">
        <v>0.02</v>
      </c>
      <c r="P120" s="216">
        <v>0.21</v>
      </c>
      <c r="Q120" s="216">
        <v>0.21</v>
      </c>
      <c r="R120" s="77"/>
      <c r="S120" s="78">
        <f t="shared" si="83"/>
        <v>0</v>
      </c>
      <c r="T120" s="77">
        <f t="shared" ref="T120:V120" si="91">S120*T$75</f>
        <v>0</v>
      </c>
      <c r="U120" s="77">
        <f t="shared" si="91"/>
        <v>0</v>
      </c>
      <c r="V120" s="77">
        <f t="shared" si="91"/>
        <v>0</v>
      </c>
      <c r="W120" s="74"/>
      <c r="Y120" s="74"/>
      <c r="Z120" s="14"/>
      <c r="AE120" s="13"/>
      <c r="AH120" t="str">
        <f t="shared" si="70"/>
        <v>ICPSELC-N</v>
      </c>
      <c r="AI120" t="str">
        <f t="shared" si="71"/>
        <v>Industry-Chemicals-boiler/process heating -  - Heat Pump New</v>
      </c>
      <c r="AJ120" s="70" t="s">
        <v>387</v>
      </c>
      <c r="AK120" s="70" t="s">
        <v>610</v>
      </c>
      <c r="AL120" s="70" t="s">
        <v>480</v>
      </c>
      <c r="AM120" s="70" t="s">
        <v>611</v>
      </c>
      <c r="AO120" s="26" t="s">
        <v>476</v>
      </c>
      <c r="AP120" s="70" t="str">
        <f t="shared" si="87"/>
        <v>Industry-Chemicals-boiler/process heating -  - Heat Pump New</v>
      </c>
      <c r="AQ120" s="245" t="s">
        <v>387</v>
      </c>
      <c r="AR120" s="70" t="s">
        <v>631</v>
      </c>
      <c r="AS120" s="70" t="s">
        <v>632</v>
      </c>
      <c r="AV120" s="72" t="s">
        <v>476</v>
      </c>
      <c r="AW120" s="72" t="str">
        <f t="shared" si="73"/>
        <v>*</v>
      </c>
      <c r="AX120" s="254" t="s">
        <v>387</v>
      </c>
      <c r="AY120" s="266">
        <f t="shared" si="74"/>
        <v>338.97013191086643</v>
      </c>
    </row>
    <row r="121" spans="1:51">
      <c r="A121" s="45" t="s">
        <v>469</v>
      </c>
      <c r="B121" s="45" t="str">
        <f>D121&amp;RIGHT(C121,3)&amp;"-N"</f>
        <v>ICPSHGN-N</v>
      </c>
      <c r="C121" s="46" t="s">
        <v>467</v>
      </c>
      <c r="D121" s="46" t="str">
        <f>$B$5&amp;RIGHT($B103,2)&amp;$B$70</f>
        <v>ICPS</v>
      </c>
      <c r="E121" s="87">
        <f>E97</f>
        <v>0.76</v>
      </c>
      <c r="F121" s="60">
        <f>SUMIF(AFA!$C$3:$L$3,RIGHT(D121,1),AFA!$C$4:$L$4)</f>
        <v>0.15426999999999999</v>
      </c>
      <c r="G121" s="59">
        <v>100</v>
      </c>
      <c r="H121" s="60">
        <v>0</v>
      </c>
      <c r="I121">
        <v>0</v>
      </c>
      <c r="J121" s="61">
        <v>1</v>
      </c>
      <c r="K121" s="60">
        <v>0</v>
      </c>
      <c r="L121" s="60">
        <f>K121*E121</f>
        <v>0</v>
      </c>
      <c r="N121" s="196">
        <f t="shared" si="81"/>
        <v>0</v>
      </c>
      <c r="O121" s="77">
        <f t="shared" si="82"/>
        <v>0.5</v>
      </c>
      <c r="P121" s="77">
        <f t="shared" si="82"/>
        <v>1</v>
      </c>
      <c r="Q121" s="77">
        <f t="shared" si="82"/>
        <v>1</v>
      </c>
      <c r="R121" s="77"/>
      <c r="S121" s="78">
        <f t="shared" si="83"/>
        <v>0</v>
      </c>
      <c r="T121" s="77">
        <f t="shared" ref="T121:V121" si="92">S121*T$75</f>
        <v>0</v>
      </c>
      <c r="U121" s="77">
        <f t="shared" si="92"/>
        <v>0</v>
      </c>
      <c r="V121" s="77">
        <f t="shared" si="92"/>
        <v>0</v>
      </c>
      <c r="W121" s="74"/>
      <c r="Y121" s="74"/>
      <c r="Z121" s="14"/>
      <c r="AE121" s="13"/>
      <c r="AH121" t="str">
        <f t="shared" si="70"/>
        <v>ICPSHGN-N</v>
      </c>
      <c r="AI121" t="str">
        <f t="shared" si="71"/>
        <v>Industry-Chemicals-boiler/process heating - Hydrogen - New</v>
      </c>
      <c r="AJ121" s="70" t="s">
        <v>387</v>
      </c>
      <c r="AK121" s="70" t="s">
        <v>610</v>
      </c>
      <c r="AL121" s="70" t="s">
        <v>480</v>
      </c>
      <c r="AM121" s="70" t="s">
        <v>611</v>
      </c>
      <c r="AO121" s="26" t="s">
        <v>476</v>
      </c>
      <c r="AP121" s="70" t="str">
        <f t="shared" si="87"/>
        <v>Industry-Chemicals-boiler/process heating - Hydrogen - New</v>
      </c>
      <c r="AQ121" s="245" t="s">
        <v>387</v>
      </c>
      <c r="AR121" s="70" t="s">
        <v>631</v>
      </c>
      <c r="AS121" s="70" t="s">
        <v>480</v>
      </c>
      <c r="AV121" s="72" t="s">
        <v>476</v>
      </c>
      <c r="AW121" s="72" t="str">
        <f t="shared" si="73"/>
        <v>*</v>
      </c>
      <c r="AX121" s="254" t="s">
        <v>387</v>
      </c>
      <c r="AY121" s="266">
        <f t="shared" si="74"/>
        <v>338.97013191086643</v>
      </c>
    </row>
    <row r="122" spans="1:51">
      <c r="A122" s="45" t="str">
        <f>A$5&amp;"-"&amp;A$14&amp;"-"&amp;A$70&amp;" - "&amp;VLOOKUP(RIGHT(C122,3),NameConv!$E$4:$G$20,2,FALSE)&amp;" - Existing"</f>
        <v>Industry-Chemicals-boiler/process heating -  - Existing</v>
      </c>
      <c r="B122" s="45" t="str">
        <f t="shared" si="78"/>
        <v>ICPSWAS-E</v>
      </c>
      <c r="C122" s="46" t="str">
        <f>$L$6</f>
        <v>INDWAS</v>
      </c>
      <c r="D122" s="46" t="str">
        <f>$B$5&amp;RIGHT($B103,2)&amp;$B$70</f>
        <v>ICPS</v>
      </c>
      <c r="E122" s="87">
        <f>Methodology!C46</f>
        <v>0.6</v>
      </c>
      <c r="F122" s="60">
        <f>SUMIF(AFA!$C$3:$L$3,RIGHT(D122,1),AFA!$C$4:$L$4)</f>
        <v>0.15426999999999999</v>
      </c>
      <c r="G122" s="59">
        <v>100</v>
      </c>
      <c r="H122" s="60">
        <f t="shared" si="79"/>
        <v>0</v>
      </c>
      <c r="I122">
        <v>0</v>
      </c>
      <c r="J122" s="61">
        <v>1</v>
      </c>
      <c r="K122" s="60">
        <f>J122*INDEX($C$10:$L$19,MATCH(B103,$B$10:$B$19,0),MATCH($B$6&amp;RIGHT(C122,3),$C$6:$L$6,0))</f>
        <v>0</v>
      </c>
      <c r="L122" s="60">
        <f t="shared" si="80"/>
        <v>0</v>
      </c>
      <c r="N122" s="78">
        <f t="shared" si="81"/>
        <v>0</v>
      </c>
      <c r="O122" s="77">
        <f t="shared" si="82"/>
        <v>0.5</v>
      </c>
      <c r="P122" s="77">
        <f t="shared" si="82"/>
        <v>1</v>
      </c>
      <c r="Q122" s="77">
        <f t="shared" si="82"/>
        <v>1</v>
      </c>
      <c r="R122" s="77"/>
      <c r="S122" s="78">
        <f t="shared" si="83"/>
        <v>0</v>
      </c>
      <c r="T122" s="77">
        <f t="shared" ref="T122:V122" si="93">S122*T$75</f>
        <v>0</v>
      </c>
      <c r="U122" s="77">
        <f t="shared" si="93"/>
        <v>0</v>
      </c>
      <c r="V122" s="77">
        <f t="shared" si="93"/>
        <v>0</v>
      </c>
      <c r="W122" s="74"/>
      <c r="Y122" s="74"/>
      <c r="Z122" s="14"/>
      <c r="AE122" s="13"/>
      <c r="AH122" t="str">
        <f t="shared" si="70"/>
        <v>ICPSWAS-E</v>
      </c>
      <c r="AI122" t="str">
        <f t="shared" si="71"/>
        <v>Industry-Chemicals-boiler/process heating -  - Existing</v>
      </c>
      <c r="AJ122" s="70" t="s">
        <v>387</v>
      </c>
      <c r="AK122" s="70" t="s">
        <v>610</v>
      </c>
      <c r="AL122" s="70" t="s">
        <v>480</v>
      </c>
      <c r="AM122" s="70" t="s">
        <v>611</v>
      </c>
      <c r="AO122" s="26" t="s">
        <v>476</v>
      </c>
      <c r="AP122" s="70" t="str">
        <f t="shared" si="87"/>
        <v>Industry-Chemicals-boiler/process heating -  - Existing</v>
      </c>
      <c r="AQ122" s="245" t="s">
        <v>387</v>
      </c>
      <c r="AR122" s="70" t="s">
        <v>631</v>
      </c>
      <c r="AS122" s="70" t="s">
        <v>480</v>
      </c>
      <c r="AV122" s="72" t="s">
        <v>476</v>
      </c>
      <c r="AW122" s="72" t="str">
        <f t="shared" si="73"/>
        <v>*</v>
      </c>
      <c r="AX122" s="254" t="s">
        <v>387</v>
      </c>
      <c r="AY122" s="266">
        <f t="shared" si="74"/>
        <v>338.97013191086643</v>
      </c>
    </row>
    <row r="123" spans="1:51">
      <c r="A123" s="45" t="s">
        <v>619</v>
      </c>
      <c r="B123" s="45"/>
      <c r="C123" s="46"/>
      <c r="D123" s="46"/>
      <c r="E123" s="87"/>
      <c r="F123" s="60">
        <f>SUMIF(AFA!$C$3:$L$3,RIGHT(D123,1),AFA!$C$4:$L$4)</f>
        <v>0</v>
      </c>
      <c r="G123" s="59"/>
      <c r="H123" s="60"/>
      <c r="J123" s="61"/>
      <c r="K123" s="60"/>
      <c r="L123" s="60"/>
      <c r="N123" s="78"/>
      <c r="O123" s="77"/>
      <c r="P123" s="77"/>
      <c r="Q123" s="77"/>
      <c r="R123" s="77"/>
      <c r="S123" s="78"/>
      <c r="T123" s="74"/>
      <c r="U123" s="74"/>
      <c r="V123" s="74"/>
      <c r="W123" s="74"/>
      <c r="Y123" s="74"/>
      <c r="Z123" s="14"/>
      <c r="AE123" s="13"/>
      <c r="AH123" s="26" t="s">
        <v>476</v>
      </c>
      <c r="AJ123" s="70"/>
      <c r="AK123" s="70"/>
      <c r="AL123" s="70"/>
      <c r="AM123" s="70"/>
      <c r="AO123" s="26" t="s">
        <v>476</v>
      </c>
      <c r="AV123" s="72" t="s">
        <v>476</v>
      </c>
      <c r="AW123" s="72" t="str">
        <f t="shared" si="73"/>
        <v>*</v>
      </c>
      <c r="AX123" s="254" t="s">
        <v>387</v>
      </c>
      <c r="AY123" s="266">
        <f t="shared" si="74"/>
        <v>338.97013191086643</v>
      </c>
    </row>
    <row r="124" spans="1:51" ht="15">
      <c r="A124" s="45" t="str">
        <f>A$5&amp;"-"&amp;A$14&amp;"-"&amp;A$71&amp;" - "&amp;VLOOKUP(RIGHT(C124,3),NameConv!$E$4:$G$20,2,FALSE)&amp;" - Existing"</f>
        <v>Industry-Chemicals-Non-Energy Use -  - Existing</v>
      </c>
      <c r="B124" s="45" t="str">
        <f>D124&amp;RIGHT(C124,3)&amp;"-E"</f>
        <v>ICPTGMU-E</v>
      </c>
      <c r="C124" s="213" t="s">
        <v>836</v>
      </c>
      <c r="D124" s="46" t="str">
        <f>$B$5&amp;RIGHT($B103,2)&amp;$B$71</f>
        <v>ICPT</v>
      </c>
      <c r="E124" s="87">
        <v>1</v>
      </c>
      <c r="F124" s="60">
        <v>1</v>
      </c>
      <c r="G124" s="59">
        <v>100</v>
      </c>
      <c r="H124" s="60">
        <f t="shared" si="79"/>
        <v>26.6</v>
      </c>
      <c r="I124">
        <v>0</v>
      </c>
      <c r="J124" s="61">
        <f>1-J116</f>
        <v>0</v>
      </c>
      <c r="K124" s="221">
        <v>26.6</v>
      </c>
      <c r="L124" s="60">
        <f>K124*E124</f>
        <v>26.6</v>
      </c>
      <c r="N124" s="78">
        <f>L124/(SUMIF($D$81:$D$187,$D124,$L$81:$L$187)+$P$76)</f>
        <v>1</v>
      </c>
      <c r="O124" s="77">
        <f t="shared" si="82"/>
        <v>1</v>
      </c>
      <c r="P124" s="77">
        <f t="shared" si="82"/>
        <v>1</v>
      </c>
      <c r="Q124" s="77">
        <f t="shared" si="82"/>
        <v>1</v>
      </c>
      <c r="R124" s="77"/>
      <c r="S124" s="78">
        <f t="shared" ref="S124" si="94">N124</f>
        <v>1</v>
      </c>
      <c r="T124" s="77">
        <f>S124*T$75</f>
        <v>0.9</v>
      </c>
      <c r="U124" s="77">
        <f t="shared" ref="U124:V124" si="95">T124*U$75</f>
        <v>0</v>
      </c>
      <c r="V124" s="77">
        <f t="shared" si="95"/>
        <v>0</v>
      </c>
      <c r="W124" s="74"/>
      <c r="X124" s="77"/>
      <c r="Y124" s="74"/>
      <c r="Z124" s="14"/>
      <c r="AE124" s="13"/>
      <c r="AH124" t="str">
        <f t="shared" si="70"/>
        <v>ICPTGMU-E</v>
      </c>
      <c r="AI124" t="str">
        <f t="shared" si="71"/>
        <v>Industry-Chemicals-Non-Energy Use -  - Existing</v>
      </c>
      <c r="AJ124" s="70" t="s">
        <v>387</v>
      </c>
      <c r="AK124" s="70" t="s">
        <v>610</v>
      </c>
      <c r="AL124" s="70" t="s">
        <v>480</v>
      </c>
      <c r="AM124" s="70" t="s">
        <v>611</v>
      </c>
      <c r="AO124" s="70" t="str">
        <f>D124</f>
        <v>ICPT</v>
      </c>
      <c r="AP124" s="70" t="str">
        <f>"Industry - "&amp;VLOOKUP(RIGHT(LEFT(AO124,3),2),NameConv!$E$21:$F$301,2,FALSE)&amp;" - " &amp;VLOOKUP(RIGHT(AO124,1),NameConv!$D$42:$E$53,2,FALSE)</f>
        <v>Industry - Chemicals - Non-Energy Use</v>
      </c>
      <c r="AQ124" s="245" t="s">
        <v>387</v>
      </c>
      <c r="AR124" s="70" t="s">
        <v>631</v>
      </c>
      <c r="AS124" s="70" t="s">
        <v>480</v>
      </c>
      <c r="AV124" s="254" t="s">
        <v>401</v>
      </c>
      <c r="AW124" s="72" t="str">
        <f t="shared" si="73"/>
        <v>ICPT</v>
      </c>
      <c r="AX124" s="254" t="s">
        <v>387</v>
      </c>
      <c r="AY124" s="266">
        <f t="shared" si="74"/>
        <v>26.6</v>
      </c>
    </row>
    <row r="125" spans="1:51" ht="51.95" customHeight="1" thickBot="1">
      <c r="A125" s="244" t="s">
        <v>617</v>
      </c>
      <c r="B125" s="252"/>
      <c r="C125" s="252"/>
      <c r="D125" s="252"/>
      <c r="E125" s="252"/>
      <c r="F125" s="252"/>
      <c r="G125" s="252"/>
      <c r="H125" s="252"/>
      <c r="J125" s="252"/>
      <c r="K125" s="252"/>
      <c r="L125" s="252"/>
      <c r="N125" s="74" t="str">
        <f>""</f>
        <v/>
      </c>
      <c r="S125" s="78"/>
      <c r="T125" s="74"/>
      <c r="U125" s="74"/>
      <c r="V125" s="74"/>
      <c r="W125" s="74"/>
      <c r="Y125" s="74"/>
      <c r="Z125" s="14"/>
      <c r="AE125" s="13"/>
      <c r="AH125" s="26" t="s">
        <v>476</v>
      </c>
      <c r="AJ125" s="70"/>
      <c r="AK125" s="70"/>
      <c r="AL125" s="70"/>
      <c r="AM125" s="70"/>
      <c r="AO125" s="26" t="s">
        <v>476</v>
      </c>
      <c r="AV125" s="72" t="s">
        <v>476</v>
      </c>
      <c r="AW125" s="72" t="str">
        <f t="shared" si="73"/>
        <v>*</v>
      </c>
      <c r="AX125" s="254" t="s">
        <v>387</v>
      </c>
      <c r="AY125" s="266">
        <f t="shared" si="74"/>
        <v>338.97013191086643</v>
      </c>
    </row>
    <row r="126" spans="1:51">
      <c r="A126" s="12" t="s">
        <v>476</v>
      </c>
      <c r="B126" s="69" t="str">
        <f>+B15</f>
        <v>NF</v>
      </c>
      <c r="C126" s="54"/>
      <c r="D126" s="54"/>
      <c r="E126" s="55"/>
      <c r="F126" s="55"/>
      <c r="G126" s="30"/>
      <c r="H126" s="31"/>
      <c r="J126" s="30"/>
      <c r="K126" s="30"/>
      <c r="L126" s="30"/>
      <c r="N126" s="74" t="str">
        <f>""</f>
        <v/>
      </c>
      <c r="S126" s="78"/>
      <c r="T126" s="74"/>
      <c r="U126" s="74"/>
      <c r="V126" s="74"/>
      <c r="W126" s="74"/>
      <c r="Y126" s="74"/>
      <c r="Z126" s="14"/>
      <c r="AE126" s="13"/>
      <c r="AH126" s="26" t="s">
        <v>476</v>
      </c>
      <c r="AJ126" s="70"/>
      <c r="AK126" s="70"/>
      <c r="AL126" s="70"/>
      <c r="AM126" s="70"/>
      <c r="AO126" s="26" t="s">
        <v>476</v>
      </c>
      <c r="AV126" s="72" t="s">
        <v>476</v>
      </c>
      <c r="AW126" s="72" t="str">
        <f t="shared" si="73"/>
        <v>*</v>
      </c>
      <c r="AX126" s="254" t="s">
        <v>387</v>
      </c>
      <c r="AY126" s="266">
        <f t="shared" si="74"/>
        <v>338.97013191086643</v>
      </c>
    </row>
    <row r="127" spans="1:51">
      <c r="A127" s="12" t="s">
        <v>476</v>
      </c>
      <c r="B127" s="45"/>
      <c r="C127" s="56">
        <v>1</v>
      </c>
      <c r="D127" s="56">
        <f>C127+1</f>
        <v>2</v>
      </c>
      <c r="E127" s="56">
        <f>D127+1</f>
        <v>3</v>
      </c>
      <c r="F127" s="56">
        <f>E127+1</f>
        <v>4</v>
      </c>
      <c r="G127" s="56">
        <f>F127+1</f>
        <v>5</v>
      </c>
      <c r="H127" s="56">
        <f>G127+1</f>
        <v>6</v>
      </c>
      <c r="J127" s="57"/>
      <c r="K127" s="43"/>
      <c r="L127" s="43"/>
      <c r="N127" s="74" t="str">
        <f>""</f>
        <v/>
      </c>
      <c r="S127" s="78"/>
      <c r="T127" s="74"/>
      <c r="U127" s="74"/>
      <c r="V127" s="74"/>
      <c r="W127" s="74"/>
      <c r="Y127" s="74"/>
      <c r="Z127" s="14"/>
      <c r="AE127" s="13"/>
      <c r="AH127" s="26" t="s">
        <v>476</v>
      </c>
      <c r="AJ127" s="70"/>
      <c r="AK127" s="70"/>
      <c r="AL127" s="70"/>
      <c r="AM127" s="70"/>
      <c r="AO127" s="26" t="s">
        <v>476</v>
      </c>
      <c r="AV127" s="72" t="s">
        <v>476</v>
      </c>
      <c r="AW127" s="72" t="str">
        <f t="shared" si="73"/>
        <v>*</v>
      </c>
      <c r="AX127" s="254" t="s">
        <v>387</v>
      </c>
      <c r="AY127" s="266">
        <f t="shared" si="74"/>
        <v>338.97013191086643</v>
      </c>
    </row>
    <row r="128" spans="1:51">
      <c r="A128" s="45" t="str">
        <f t="shared" ref="A128:A136" si="96">A$5&amp;"-"&amp;A$15&amp;"-"&amp;A31&amp;" - Electricity"</f>
        <v>Industry-Precious &amp; Non-Ferrous metals-Elec Heating - Electricity</v>
      </c>
      <c r="B128" s="45" t="str">
        <f>D128&amp;RIGHT(C128,3)&amp;"-E"</f>
        <v>INFKELC-E</v>
      </c>
      <c r="C128" s="46" t="str">
        <f t="shared" ref="C128:C136" si="97">$P$14</f>
        <v>INFELC</v>
      </c>
      <c r="D128" s="46" t="str">
        <f>$B$5&amp;RIGHT($B126,2)&amp;$B$61</f>
        <v>INFK</v>
      </c>
      <c r="E128" s="58">
        <f>Methodology!C28</f>
        <v>1</v>
      </c>
      <c r="F128" s="60">
        <f>SUMIF(AFA!$C$3:$L$3,RIGHT(D128,1),AFA!$C$4:$L$4)</f>
        <v>0.11433</v>
      </c>
      <c r="G128" s="59">
        <v>100</v>
      </c>
      <c r="H128" s="60">
        <f>L128/F128</f>
        <v>0.88016637514453411</v>
      </c>
      <c r="I128">
        <v>0</v>
      </c>
      <c r="J128" s="61">
        <v>1</v>
      </c>
      <c r="K128" s="60">
        <f t="shared" ref="K128:K136" si="98">J128*SUMIF($C$60:$K$60,$B$126,$C61:$K61)</f>
        <v>0.10062942167027458</v>
      </c>
      <c r="L128" s="60">
        <f>K128*E128</f>
        <v>0.10062942167027458</v>
      </c>
      <c r="N128" s="74" t="str">
        <f>""</f>
        <v/>
      </c>
      <c r="S128" s="78"/>
      <c r="T128" s="74"/>
      <c r="U128" s="74"/>
      <c r="V128" s="74"/>
      <c r="W128" s="74"/>
      <c r="Y128" s="74"/>
      <c r="Z128" s="14"/>
      <c r="AE128" s="13"/>
      <c r="AH128" t="str">
        <f t="shared" si="70"/>
        <v>INFKELC-E</v>
      </c>
      <c r="AI128" t="str">
        <f t="shared" si="71"/>
        <v>Industry-Precious &amp; Non-Ferrous metals-Elec Heating - Electricity</v>
      </c>
      <c r="AJ128" s="70" t="s">
        <v>387</v>
      </c>
      <c r="AK128" s="70" t="s">
        <v>610</v>
      </c>
      <c r="AL128" s="70" t="s">
        <v>480</v>
      </c>
      <c r="AM128" s="70" t="s">
        <v>611</v>
      </c>
      <c r="AO128" s="70" t="str">
        <f t="shared" ref="AO128:AO136" si="99">D128</f>
        <v>INFK</v>
      </c>
      <c r="AP128" s="70" t="str">
        <f>"Industry - "&amp;VLOOKUP(RIGHT(LEFT(AO128,3),2),NameConv!$E$21:$F$301,2,FALSE)&amp;" - " &amp;VLOOKUP(RIGHT(AO128,1),NameConv!$D$42:$E$53,2,FALSE)</f>
        <v>Industry - Precious &amp; Non-Ferrous metals - Elec Heating</v>
      </c>
      <c r="AQ128" s="245" t="s">
        <v>387</v>
      </c>
      <c r="AR128" s="70" t="s">
        <v>631</v>
      </c>
      <c r="AS128" s="70" t="s">
        <v>632</v>
      </c>
      <c r="AV128" s="254" t="s">
        <v>401</v>
      </c>
      <c r="AW128" s="72" t="str">
        <f t="shared" si="73"/>
        <v>INFK</v>
      </c>
      <c r="AX128" s="254" t="s">
        <v>387</v>
      </c>
      <c r="AY128" s="266">
        <f t="shared" si="74"/>
        <v>0.10062942167027458</v>
      </c>
    </row>
    <row r="129" spans="1:51">
      <c r="A129" s="45" t="str">
        <f t="shared" si="96"/>
        <v>Industry-Precious &amp; Non-Ferrous metals-Compressed air - Electricity</v>
      </c>
      <c r="B129" s="45" t="str">
        <f>D129&amp;RIGHT(C129,3)&amp;"-E"</f>
        <v>INFAELC-E</v>
      </c>
      <c r="C129" s="46" t="str">
        <f t="shared" si="97"/>
        <v>INFELC</v>
      </c>
      <c r="D129" s="46" t="str">
        <f>$B$5&amp;RIGHT($B126,2)&amp;$B$62</f>
        <v>INFA</v>
      </c>
      <c r="E129" s="58">
        <f>Methodology!C29</f>
        <v>0.05</v>
      </c>
      <c r="F129" s="60">
        <f>SUMIF(AFA!$C$3:$L$3,RIGHT(D129,1),AFA!$C$4:$L$4)</f>
        <v>0.11584999999999999</v>
      </c>
      <c r="G129" s="59">
        <v>100</v>
      </c>
      <c r="H129" s="60">
        <f t="shared" ref="H129:H136" si="100">L129/F129</f>
        <v>0</v>
      </c>
      <c r="I129">
        <v>0</v>
      </c>
      <c r="J129" s="61">
        <v>1</v>
      </c>
      <c r="K129" s="60">
        <f t="shared" si="98"/>
        <v>0</v>
      </c>
      <c r="L129" s="60">
        <f t="shared" ref="L129:L136" si="101">K129*E129</f>
        <v>0</v>
      </c>
      <c r="N129" s="74" t="str">
        <f>""</f>
        <v/>
      </c>
      <c r="S129" s="78"/>
      <c r="T129" s="74"/>
      <c r="U129" s="74"/>
      <c r="V129" s="74"/>
      <c r="W129" s="74"/>
      <c r="Y129" s="74"/>
      <c r="Z129" s="14"/>
      <c r="AE129" s="13"/>
      <c r="AH129" t="str">
        <f t="shared" si="70"/>
        <v>INFAELC-E</v>
      </c>
      <c r="AI129" t="str">
        <f t="shared" si="71"/>
        <v>Industry-Precious &amp; Non-Ferrous metals-Compressed air - Electricity</v>
      </c>
      <c r="AJ129" s="70" t="s">
        <v>387</v>
      </c>
      <c r="AK129" s="70" t="s">
        <v>610</v>
      </c>
      <c r="AL129" s="70" t="s">
        <v>480</v>
      </c>
      <c r="AM129" s="70" t="s">
        <v>611</v>
      </c>
      <c r="AO129" s="70" t="str">
        <f t="shared" si="99"/>
        <v>INFA</v>
      </c>
      <c r="AP129" s="70" t="str">
        <f>"Industry - "&amp;VLOOKUP(RIGHT(LEFT(AO129,3),2),NameConv!$E$21:$F$301,2,FALSE)&amp;" - " &amp;VLOOKUP(RIGHT(AO129,1),NameConv!$D$42:$E$53,2,FALSE)</f>
        <v>Industry - Precious &amp; Non-Ferrous metals - Compressed air</v>
      </c>
      <c r="AQ129" s="245" t="s">
        <v>387</v>
      </c>
      <c r="AR129" s="70" t="s">
        <v>631</v>
      </c>
      <c r="AS129" s="70" t="s">
        <v>632</v>
      </c>
      <c r="AV129" s="254" t="s">
        <v>401</v>
      </c>
      <c r="AW129" s="72" t="str">
        <f t="shared" si="73"/>
        <v>INFA</v>
      </c>
      <c r="AX129" s="254" t="s">
        <v>387</v>
      </c>
      <c r="AY129" s="266">
        <f t="shared" si="74"/>
        <v>0</v>
      </c>
    </row>
    <row r="130" spans="1:51">
      <c r="A130" s="45" t="str">
        <f t="shared" si="96"/>
        <v>Industry-Precious &amp; Non-Ferrous metals-Lighting - Electricity</v>
      </c>
      <c r="B130" s="45" t="str">
        <f t="shared" ref="B130:B136" si="102">D130&amp;RIGHT(C130,3)&amp;"-E"</f>
        <v>INFLELC-E</v>
      </c>
      <c r="C130" s="46" t="str">
        <f t="shared" si="97"/>
        <v>INFELC</v>
      </c>
      <c r="D130" s="46" t="str">
        <f>$B$5&amp;RIGHT($B126,2)&amp;$B$63</f>
        <v>INFL</v>
      </c>
      <c r="E130" s="58">
        <f>Methodology!C30</f>
        <v>0.3</v>
      </c>
      <c r="F130" s="60">
        <f>SUMIF(AFA!$C$3:$L$3,RIGHT(D130,1),AFA!$C$4:$L$4)</f>
        <v>0.12454999999999999</v>
      </c>
      <c r="G130" s="59">
        <v>100</v>
      </c>
      <c r="H130" s="60">
        <f t="shared" si="100"/>
        <v>0.24238319149805199</v>
      </c>
      <c r="I130">
        <v>0</v>
      </c>
      <c r="J130" s="61">
        <v>1</v>
      </c>
      <c r="K130" s="60">
        <f t="shared" si="98"/>
        <v>0.10062942167027458</v>
      </c>
      <c r="L130" s="60">
        <f t="shared" si="101"/>
        <v>3.0188826501082372E-2</v>
      </c>
      <c r="N130" s="74" t="str">
        <f>""</f>
        <v/>
      </c>
      <c r="S130" s="78"/>
      <c r="T130" s="74"/>
      <c r="U130" s="74"/>
      <c r="V130" s="74"/>
      <c r="W130" s="74"/>
      <c r="Y130" s="74"/>
      <c r="Z130" s="14"/>
      <c r="AE130" s="13"/>
      <c r="AH130" t="str">
        <f t="shared" si="70"/>
        <v>INFLELC-E</v>
      </c>
      <c r="AI130" t="str">
        <f t="shared" si="71"/>
        <v>Industry-Precious &amp; Non-Ferrous metals-Lighting - Electricity</v>
      </c>
      <c r="AJ130" s="70" t="s">
        <v>387</v>
      </c>
      <c r="AK130" s="70" t="s">
        <v>610</v>
      </c>
      <c r="AL130" s="70" t="s">
        <v>480</v>
      </c>
      <c r="AM130" s="70" t="s">
        <v>611</v>
      </c>
      <c r="AO130" s="70" t="str">
        <f t="shared" si="99"/>
        <v>INFL</v>
      </c>
      <c r="AP130" s="70" t="str">
        <f>"Industry - "&amp;VLOOKUP(RIGHT(LEFT(AO130,3),2),NameConv!$E$21:$F$301,2,FALSE)&amp;" - " &amp;VLOOKUP(RIGHT(AO130,1),NameConv!$D$42:$E$53,2,FALSE)</f>
        <v>Industry - Precious &amp; Non-Ferrous metals - Lighting</v>
      </c>
      <c r="AQ130" s="245" t="s">
        <v>387</v>
      </c>
      <c r="AR130" s="70" t="s">
        <v>631</v>
      </c>
      <c r="AS130" s="70" t="s">
        <v>632</v>
      </c>
      <c r="AV130" s="254" t="s">
        <v>401</v>
      </c>
      <c r="AW130" s="72" t="str">
        <f t="shared" si="73"/>
        <v>INFL</v>
      </c>
      <c r="AX130" s="254" t="s">
        <v>387</v>
      </c>
      <c r="AY130" s="266">
        <f t="shared" si="74"/>
        <v>3.0188826501082372E-2</v>
      </c>
    </row>
    <row r="131" spans="1:51">
      <c r="A131" s="45" t="str">
        <f t="shared" si="96"/>
        <v>Industry-Precious &amp; Non-Ferrous metals-Cooling - Electricity</v>
      </c>
      <c r="B131" s="45" t="str">
        <f t="shared" si="102"/>
        <v>INFCELC-E</v>
      </c>
      <c r="C131" s="46" t="str">
        <f t="shared" si="97"/>
        <v>INFELC</v>
      </c>
      <c r="D131" s="46" t="str">
        <f>$B$5&amp;RIGHT($B126,2)&amp;$B$64</f>
        <v>INFC</v>
      </c>
      <c r="E131" s="58">
        <f>Methodology!C31</f>
        <v>2</v>
      </c>
      <c r="F131" s="60">
        <f>SUMIF(AFA!$C$3:$L$3,RIGHT(D131,1),AFA!$C$4:$L$4)</f>
        <v>0.12956000000000001</v>
      </c>
      <c r="G131" s="59">
        <v>100</v>
      </c>
      <c r="H131" s="60">
        <f t="shared" si="100"/>
        <v>0</v>
      </c>
      <c r="I131">
        <v>0</v>
      </c>
      <c r="J131" s="61">
        <v>1</v>
      </c>
      <c r="K131" s="60">
        <f t="shared" si="98"/>
        <v>0</v>
      </c>
      <c r="L131" s="60">
        <f t="shared" si="101"/>
        <v>0</v>
      </c>
      <c r="N131" s="74" t="str">
        <f>""</f>
        <v/>
      </c>
      <c r="S131" s="78"/>
      <c r="T131" s="74"/>
      <c r="U131" s="74"/>
      <c r="V131" s="74"/>
      <c r="W131" s="74"/>
      <c r="Y131" s="74"/>
      <c r="Z131" s="14"/>
      <c r="AE131" s="13"/>
      <c r="AH131" t="str">
        <f t="shared" si="70"/>
        <v>INFCELC-E</v>
      </c>
      <c r="AI131" t="str">
        <f t="shared" si="71"/>
        <v>Industry-Precious &amp; Non-Ferrous metals-Cooling - Electricity</v>
      </c>
      <c r="AJ131" s="70" t="s">
        <v>387</v>
      </c>
      <c r="AK131" s="70" t="s">
        <v>610</v>
      </c>
      <c r="AL131" s="70" t="s">
        <v>480</v>
      </c>
      <c r="AM131" s="70" t="s">
        <v>611</v>
      </c>
      <c r="AO131" s="70" t="str">
        <f t="shared" si="99"/>
        <v>INFC</v>
      </c>
      <c r="AP131" s="70" t="str">
        <f>"Industry - "&amp;VLOOKUP(RIGHT(LEFT(AO131,3),2),NameConv!$E$21:$F$301,2,FALSE)&amp;" - " &amp;VLOOKUP(RIGHT(AO131,1),NameConv!$D$42:$E$53,2,FALSE)</f>
        <v>Industry - Precious &amp; Non-Ferrous metals - Cooling</v>
      </c>
      <c r="AQ131" s="245" t="s">
        <v>387</v>
      </c>
      <c r="AR131" s="70" t="s">
        <v>631</v>
      </c>
      <c r="AS131" s="70" t="s">
        <v>632</v>
      </c>
      <c r="AV131" s="254" t="s">
        <v>401</v>
      </c>
      <c r="AW131" s="72" t="str">
        <f t="shared" si="73"/>
        <v>INFC</v>
      </c>
      <c r="AX131" s="254" t="s">
        <v>387</v>
      </c>
      <c r="AY131" s="266">
        <f t="shared" si="74"/>
        <v>0</v>
      </c>
    </row>
    <row r="132" spans="1:51">
      <c r="A132" s="45" t="str">
        <f t="shared" si="96"/>
        <v>Industry-Precious &amp; Non-Ferrous metals-HVAC - Electricity</v>
      </c>
      <c r="B132" s="45" t="str">
        <f t="shared" si="102"/>
        <v>INFHELC-E</v>
      </c>
      <c r="C132" s="46" t="str">
        <f t="shared" si="97"/>
        <v>INFELC</v>
      </c>
      <c r="D132" s="46" t="str">
        <f>$B$5&amp;RIGHT($B126,2)&amp;$B$65</f>
        <v>INFH</v>
      </c>
      <c r="E132" s="58">
        <f>Methodology!C32</f>
        <v>0.9</v>
      </c>
      <c r="F132" s="60">
        <f>SUMIF(AFA!$C$3:$L$3,RIGHT(D132,1),AFA!$C$4:$L$4)</f>
        <v>0.13161</v>
      </c>
      <c r="G132" s="59">
        <v>100</v>
      </c>
      <c r="H132" s="60">
        <f t="shared" si="100"/>
        <v>0.68814284251384494</v>
      </c>
      <c r="I132">
        <v>0</v>
      </c>
      <c r="J132" s="61">
        <v>1</v>
      </c>
      <c r="K132" s="60">
        <f t="shared" si="98"/>
        <v>0.10062942167027458</v>
      </c>
      <c r="L132" s="60">
        <f t="shared" si="101"/>
        <v>9.056647950324713E-2</v>
      </c>
      <c r="N132" s="74" t="str">
        <f>""</f>
        <v/>
      </c>
      <c r="S132" s="78"/>
      <c r="T132" s="74"/>
      <c r="U132" s="74"/>
      <c r="V132" s="74"/>
      <c r="W132" s="74"/>
      <c r="Y132" s="74"/>
      <c r="Z132" s="14"/>
      <c r="AE132" s="13"/>
      <c r="AH132" t="str">
        <f t="shared" si="70"/>
        <v>INFHELC-E</v>
      </c>
      <c r="AI132" t="str">
        <f t="shared" si="71"/>
        <v>Industry-Precious &amp; Non-Ferrous metals-HVAC - Electricity</v>
      </c>
      <c r="AJ132" s="70" t="s">
        <v>387</v>
      </c>
      <c r="AK132" s="70" t="s">
        <v>610</v>
      </c>
      <c r="AL132" s="70" t="s">
        <v>480</v>
      </c>
      <c r="AM132" s="70" t="s">
        <v>611</v>
      </c>
      <c r="AO132" s="70" t="str">
        <f t="shared" si="99"/>
        <v>INFH</v>
      </c>
      <c r="AP132" s="70" t="str">
        <f>"Industry - "&amp;VLOOKUP(RIGHT(LEFT(AO132,3),2),NameConv!$E$21:$F$301,2,FALSE)&amp;" - " &amp;VLOOKUP(RIGHT(AO132,1),NameConv!$D$42:$E$53,2,FALSE)</f>
        <v>Industry - Precious &amp; Non-Ferrous metals - HVAC</v>
      </c>
      <c r="AQ132" s="245" t="s">
        <v>387</v>
      </c>
      <c r="AR132" s="70" t="s">
        <v>631</v>
      </c>
      <c r="AS132" s="70" t="s">
        <v>632</v>
      </c>
      <c r="AV132" s="254" t="s">
        <v>401</v>
      </c>
      <c r="AW132" s="72" t="str">
        <f t="shared" si="73"/>
        <v>INFH</v>
      </c>
      <c r="AX132" s="254" t="s">
        <v>387</v>
      </c>
      <c r="AY132" s="266">
        <f t="shared" si="74"/>
        <v>9.056647950324713E-2</v>
      </c>
    </row>
    <row r="133" spans="1:51">
      <c r="A133" s="45" t="str">
        <f t="shared" si="96"/>
        <v>Industry-Precious &amp; Non-Ferrous metals-Pumping - Electricity</v>
      </c>
      <c r="B133" s="45" t="str">
        <f t="shared" si="102"/>
        <v>INFPELC-E</v>
      </c>
      <c r="C133" s="46" t="str">
        <f t="shared" si="97"/>
        <v>INFELC</v>
      </c>
      <c r="D133" s="46" t="str">
        <f>$B$5&amp;RIGHT($B126,2)&amp;$B$66</f>
        <v>INFP</v>
      </c>
      <c r="E133" s="58">
        <f>Methodology!C33</f>
        <v>0.8</v>
      </c>
      <c r="F133" s="60">
        <f>SUMIF(AFA!$C$3:$L$3,RIGHT(D133,1),AFA!$C$4:$L$4)</f>
        <v>0.12116</v>
      </c>
      <c r="G133" s="59">
        <v>100</v>
      </c>
      <c r="H133" s="60">
        <f t="shared" si="100"/>
        <v>0</v>
      </c>
      <c r="I133">
        <v>0</v>
      </c>
      <c r="J133" s="61">
        <v>1</v>
      </c>
      <c r="K133" s="60">
        <f t="shared" si="98"/>
        <v>0</v>
      </c>
      <c r="L133" s="60">
        <f t="shared" si="101"/>
        <v>0</v>
      </c>
      <c r="N133" s="74" t="str">
        <f>""</f>
        <v/>
      </c>
      <c r="S133" s="78"/>
      <c r="T133" s="74"/>
      <c r="U133" s="74"/>
      <c r="V133" s="74"/>
      <c r="W133" s="74"/>
      <c r="Y133" s="74"/>
      <c r="Z133" s="14"/>
      <c r="AE133" s="13"/>
      <c r="AH133" t="str">
        <f t="shared" si="70"/>
        <v>INFPELC-E</v>
      </c>
      <c r="AI133" t="str">
        <f t="shared" si="71"/>
        <v>Industry-Precious &amp; Non-Ferrous metals-Pumping - Electricity</v>
      </c>
      <c r="AJ133" s="70" t="s">
        <v>387</v>
      </c>
      <c r="AK133" s="70" t="s">
        <v>610</v>
      </c>
      <c r="AL133" s="70" t="s">
        <v>480</v>
      </c>
      <c r="AM133" s="70" t="s">
        <v>611</v>
      </c>
      <c r="AO133" s="70" t="str">
        <f t="shared" si="99"/>
        <v>INFP</v>
      </c>
      <c r="AP133" s="70" t="str">
        <f>"Industry - "&amp;VLOOKUP(RIGHT(LEFT(AO133,3),2),NameConv!$E$21:$F$301,2,FALSE)&amp;" - " &amp;VLOOKUP(RIGHT(AO133,1),NameConv!$D$42:$E$53,2,FALSE)</f>
        <v>Industry - Precious &amp; Non-Ferrous metals - Pumping</v>
      </c>
      <c r="AQ133" s="245" t="s">
        <v>387</v>
      </c>
      <c r="AR133" s="70" t="s">
        <v>631</v>
      </c>
      <c r="AS133" s="70" t="s">
        <v>632</v>
      </c>
      <c r="AV133" s="254" t="s">
        <v>401</v>
      </c>
      <c r="AW133" s="72" t="str">
        <f t="shared" si="73"/>
        <v>INFP</v>
      </c>
      <c r="AX133" s="254" t="s">
        <v>387</v>
      </c>
      <c r="AY133" s="266">
        <f t="shared" si="74"/>
        <v>0</v>
      </c>
    </row>
    <row r="134" spans="1:51">
      <c r="A134" s="45" t="str">
        <f t="shared" si="96"/>
        <v>Industry-Precious &amp; Non-Ferrous metals-Fans - Electricity</v>
      </c>
      <c r="B134" s="45" t="str">
        <f t="shared" si="102"/>
        <v>INFFELC-E</v>
      </c>
      <c r="C134" s="46" t="str">
        <f t="shared" si="97"/>
        <v>INFELC</v>
      </c>
      <c r="D134" s="46" t="str">
        <f>$B$5&amp;RIGHT($B126,2)&amp;$B$67</f>
        <v>INFF</v>
      </c>
      <c r="E134" s="58">
        <f>Methodology!C34</f>
        <v>0.8</v>
      </c>
      <c r="F134" s="60">
        <f>SUMIF(AFA!$C$3:$L$3,RIGHT(D134,1),AFA!$C$4:$L$4)</f>
        <v>0.10936999999999999</v>
      </c>
      <c r="G134" s="59">
        <v>100</v>
      </c>
      <c r="H134" s="60">
        <f t="shared" si="100"/>
        <v>0</v>
      </c>
      <c r="I134">
        <v>0</v>
      </c>
      <c r="J134" s="61">
        <v>1</v>
      </c>
      <c r="K134" s="60">
        <f t="shared" si="98"/>
        <v>0</v>
      </c>
      <c r="L134" s="60">
        <f t="shared" si="101"/>
        <v>0</v>
      </c>
      <c r="N134" s="74" t="str">
        <f>""</f>
        <v/>
      </c>
      <c r="S134" s="78"/>
      <c r="T134" s="74"/>
      <c r="U134" s="74"/>
      <c r="V134" s="74"/>
      <c r="W134" s="74"/>
      <c r="Y134" s="74"/>
      <c r="Z134" s="14"/>
      <c r="AE134" s="13"/>
      <c r="AH134" t="str">
        <f t="shared" si="70"/>
        <v>INFFELC-E</v>
      </c>
      <c r="AI134" t="str">
        <f t="shared" si="71"/>
        <v>Industry-Precious &amp; Non-Ferrous metals-Fans - Electricity</v>
      </c>
      <c r="AJ134" s="70" t="s">
        <v>387</v>
      </c>
      <c r="AK134" s="70" t="s">
        <v>610</v>
      </c>
      <c r="AL134" s="70" t="s">
        <v>480</v>
      </c>
      <c r="AM134" s="70" t="s">
        <v>611</v>
      </c>
      <c r="AO134" s="70" t="str">
        <f t="shared" si="99"/>
        <v>INFF</v>
      </c>
      <c r="AP134" s="70" t="str">
        <f>"Industry - "&amp;VLOOKUP(RIGHT(LEFT(AO134,3),2),NameConv!$E$21:$F$301,2,FALSE)&amp;" - " &amp;VLOOKUP(RIGHT(AO134,1),NameConv!$D$42:$E$53,2,FALSE)</f>
        <v>Industry - Precious &amp; Non-Ferrous metals - Fans</v>
      </c>
      <c r="AQ134" s="245" t="s">
        <v>387</v>
      </c>
      <c r="AR134" s="70" t="s">
        <v>631</v>
      </c>
      <c r="AS134" s="70" t="s">
        <v>632</v>
      </c>
      <c r="AV134" s="254" t="s">
        <v>401</v>
      </c>
      <c r="AW134" s="72" t="str">
        <f t="shared" si="73"/>
        <v>INFF</v>
      </c>
      <c r="AX134" s="254" t="s">
        <v>387</v>
      </c>
      <c r="AY134" s="266">
        <f t="shared" si="74"/>
        <v>0</v>
      </c>
    </row>
    <row r="135" spans="1:51">
      <c r="A135" s="45" t="str">
        <f t="shared" si="96"/>
        <v>Industry-Precious &amp; Non-Ferrous metals-Other motive - Electricity</v>
      </c>
      <c r="B135" s="45" t="str">
        <f t="shared" si="102"/>
        <v>INFOELC-E</v>
      </c>
      <c r="C135" s="46" t="str">
        <f t="shared" si="97"/>
        <v>INFELC</v>
      </c>
      <c r="D135" s="46" t="str">
        <f>$B$5&amp;RIGHT($B126,2)&amp;$B$68</f>
        <v>INFO</v>
      </c>
      <c r="E135" s="58">
        <f>Methodology!C35</f>
        <v>0.8</v>
      </c>
      <c r="F135" s="60">
        <f>SUMIF(AFA!$C$3:$L$3,RIGHT(D135,1),AFA!$C$4:$L$4)</f>
        <v>0.13081999999999999</v>
      </c>
      <c r="G135" s="59">
        <v>100</v>
      </c>
      <c r="H135" s="60">
        <f t="shared" si="100"/>
        <v>4.307634622791146</v>
      </c>
      <c r="I135">
        <v>0</v>
      </c>
      <c r="J135" s="61">
        <v>1</v>
      </c>
      <c r="K135" s="60">
        <f t="shared" si="98"/>
        <v>0.70440595169192211</v>
      </c>
      <c r="L135" s="60">
        <f t="shared" si="101"/>
        <v>0.56352476135353768</v>
      </c>
      <c r="N135" s="74" t="str">
        <f>""</f>
        <v/>
      </c>
      <c r="S135" s="78"/>
      <c r="T135" s="74"/>
      <c r="U135" s="74"/>
      <c r="V135" s="74"/>
      <c r="W135" s="74"/>
      <c r="Y135" s="74"/>
      <c r="Z135" s="14"/>
      <c r="AE135" s="13"/>
      <c r="AH135" t="str">
        <f t="shared" si="70"/>
        <v>INFOELC-E</v>
      </c>
      <c r="AI135" t="str">
        <f t="shared" si="71"/>
        <v>Industry-Precious &amp; Non-Ferrous metals-Other motive - Electricity</v>
      </c>
      <c r="AJ135" s="70" t="s">
        <v>387</v>
      </c>
      <c r="AK135" s="70" t="s">
        <v>610</v>
      </c>
      <c r="AL135" s="70" t="s">
        <v>480</v>
      </c>
      <c r="AM135" s="70" t="s">
        <v>611</v>
      </c>
      <c r="AO135" s="70" t="str">
        <f t="shared" si="99"/>
        <v>INFO</v>
      </c>
      <c r="AP135" s="70" t="str">
        <f>"Industry - "&amp;VLOOKUP(RIGHT(LEFT(AO135,3),2),NameConv!$E$21:$F$301,2,FALSE)&amp;" - " &amp;VLOOKUP(RIGHT(AO135,1),NameConv!$D$42:$E$53,2,FALSE)</f>
        <v>Industry - Precious &amp; Non-Ferrous metals - Other motive</v>
      </c>
      <c r="AQ135" s="245" t="s">
        <v>387</v>
      </c>
      <c r="AR135" s="70" t="s">
        <v>631</v>
      </c>
      <c r="AS135" s="70" t="s">
        <v>632</v>
      </c>
      <c r="AV135" s="254" t="s">
        <v>401</v>
      </c>
      <c r="AW135" s="72" t="str">
        <f t="shared" si="73"/>
        <v>INFO</v>
      </c>
      <c r="AX135" s="254" t="s">
        <v>387</v>
      </c>
      <c r="AY135" s="266">
        <f t="shared" si="74"/>
        <v>0.56352476135353768</v>
      </c>
    </row>
    <row r="136" spans="1:51">
      <c r="A136" s="45" t="str">
        <f t="shared" si="96"/>
        <v>Industry-Precious &amp; Non-Ferrous metals-Electrochemical - Electricity</v>
      </c>
      <c r="B136" s="45" t="str">
        <f t="shared" si="102"/>
        <v>INFEELC-E</v>
      </c>
      <c r="C136" s="46" t="str">
        <f t="shared" si="97"/>
        <v>INFELC</v>
      </c>
      <c r="D136" s="46" t="str">
        <f>$B$5&amp;RIGHT($B126,2)&amp;$B$69</f>
        <v>INFE</v>
      </c>
      <c r="E136" s="58">
        <f>Methodology!C27</f>
        <v>0.76</v>
      </c>
      <c r="F136" s="60">
        <f>SUMIF(AFA!$C$3:$L$3,RIGHT(D136,1),AFA!$C$4:$L$4)</f>
        <v>0.13233</v>
      </c>
      <c r="G136" s="59">
        <v>100</v>
      </c>
      <c r="H136" s="60">
        <f t="shared" si="100"/>
        <v>52.014300931359337</v>
      </c>
      <c r="I136">
        <v>0</v>
      </c>
      <c r="J136" s="61">
        <v>1</v>
      </c>
      <c r="K136" s="60">
        <f t="shared" si="98"/>
        <v>9.056647950324713</v>
      </c>
      <c r="L136" s="60">
        <f t="shared" si="101"/>
        <v>6.8830524422467816</v>
      </c>
      <c r="N136" s="74" t="str">
        <f>""</f>
        <v/>
      </c>
      <c r="S136" s="78"/>
      <c r="T136" s="74"/>
      <c r="U136" s="74"/>
      <c r="V136" s="74"/>
      <c r="W136" s="74"/>
      <c r="Y136" s="74"/>
      <c r="Z136" s="14"/>
      <c r="AE136" s="13"/>
      <c r="AH136" t="str">
        <f t="shared" si="70"/>
        <v>INFEELC-E</v>
      </c>
      <c r="AI136" t="str">
        <f t="shared" si="71"/>
        <v>Industry-Precious &amp; Non-Ferrous metals-Electrochemical - Electricity</v>
      </c>
      <c r="AJ136" s="70" t="s">
        <v>387</v>
      </c>
      <c r="AK136" s="70" t="s">
        <v>610</v>
      </c>
      <c r="AL136" s="70" t="s">
        <v>480</v>
      </c>
      <c r="AM136" s="70" t="s">
        <v>611</v>
      </c>
      <c r="AO136" s="70" t="str">
        <f t="shared" si="99"/>
        <v>INFE</v>
      </c>
      <c r="AP136" s="70" t="str">
        <f>"Industry - "&amp;VLOOKUP(RIGHT(LEFT(AO136,3),2),NameConv!$E$21:$F$301,2,FALSE)&amp;" - " &amp;VLOOKUP(RIGHT(AO136,1),NameConv!$D$42:$E$53,2,FALSE)</f>
        <v>Industry - Precious &amp; Non-Ferrous metals - Electrochemical</v>
      </c>
      <c r="AQ136" s="245" t="s">
        <v>387</v>
      </c>
      <c r="AR136" s="70" t="s">
        <v>631</v>
      </c>
      <c r="AS136" s="70" t="s">
        <v>632</v>
      </c>
      <c r="AV136" s="254" t="s">
        <v>401</v>
      </c>
      <c r="AW136" s="72" t="str">
        <f t="shared" si="73"/>
        <v>INFE</v>
      </c>
      <c r="AX136" s="254" t="s">
        <v>387</v>
      </c>
      <c r="AY136" s="266">
        <f t="shared" si="74"/>
        <v>6.8830524422467816</v>
      </c>
    </row>
    <row r="137" spans="1:51">
      <c r="A137" s="45" t="s">
        <v>476</v>
      </c>
      <c r="B137" s="45"/>
      <c r="C137" s="46"/>
      <c r="D137" s="46" t="s">
        <v>336</v>
      </c>
      <c r="E137" s="58"/>
      <c r="F137" s="60">
        <f>SUMIF(AFA!$C$3:$L$3,RIGHT(D137,1),AFA!$C$4:$L$4)</f>
        <v>0</v>
      </c>
      <c r="G137" s="59"/>
      <c r="H137" s="60"/>
      <c r="J137" s="61"/>
      <c r="K137" s="60"/>
      <c r="L137" s="60"/>
      <c r="N137" s="74" t="str">
        <f>""</f>
        <v/>
      </c>
      <c r="S137" s="78"/>
      <c r="T137" s="74"/>
      <c r="U137" s="74"/>
      <c r="V137" s="74"/>
      <c r="W137" s="74"/>
      <c r="Y137" s="74"/>
      <c r="Z137" s="14"/>
      <c r="AE137" s="13"/>
      <c r="AH137" s="26" t="s">
        <v>476</v>
      </c>
      <c r="AJ137" s="70"/>
      <c r="AK137" s="70"/>
      <c r="AL137" s="70"/>
      <c r="AM137" s="70"/>
      <c r="AO137" s="26" t="s">
        <v>476</v>
      </c>
      <c r="AV137" s="72" t="s">
        <v>476</v>
      </c>
      <c r="AW137" s="72" t="str">
        <f t="shared" si="73"/>
        <v>*</v>
      </c>
      <c r="AX137" s="254" t="s">
        <v>387</v>
      </c>
      <c r="AY137" s="266">
        <f t="shared" si="74"/>
        <v>338.97013191086643</v>
      </c>
    </row>
    <row r="138" spans="1:51">
      <c r="A138" s="45" t="str">
        <f>A$5&amp;"-"&amp;A$15&amp;"-"&amp;A$70&amp;" - "&amp;VLOOKUP(RIGHT(C138,3),NameConv!$E$4:$G$20,2,FALSE)&amp;" - Existing"</f>
        <v>Industry-Precious &amp; Non-Ferrous metals-boiler/process heating -  - Existing</v>
      </c>
      <c r="B138" s="45" t="str">
        <f t="shared" ref="B138:B143" si="103">D138&amp;RIGHT(C138,3)&amp;"-E"</f>
        <v>INFSCOA-E</v>
      </c>
      <c r="C138" s="46" t="str">
        <f>+$C$6</f>
        <v>INDCOA</v>
      </c>
      <c r="D138" s="46" t="str">
        <f>$B$5&amp;RIGHT($B126,2)&amp;$B$70</f>
        <v>INFS</v>
      </c>
      <c r="E138" s="58">
        <f>Methodology!C40</f>
        <v>0.64</v>
      </c>
      <c r="F138" s="60">
        <f>SUMIF(AFA!$C$3:$L$3,RIGHT(D138,1),AFA!$C$4:$L$4)</f>
        <v>0.15426999999999999</v>
      </c>
      <c r="G138" s="59">
        <v>100</v>
      </c>
      <c r="H138" s="60">
        <f t="shared" ref="H138:H143" si="104">L138/F138</f>
        <v>1.8710053801776108</v>
      </c>
      <c r="I138">
        <v>0</v>
      </c>
      <c r="J138" s="61">
        <v>1</v>
      </c>
      <c r="K138" s="60">
        <f>J138*INDEX($C$10:$L$19,MATCH(B126,$B$10:$B$19,0),MATCH($B$6&amp;RIGHT(C138,3),$C$6:$L$6,0))</f>
        <v>0.45100000000000001</v>
      </c>
      <c r="L138" s="60">
        <f t="shared" ref="L138:L143" si="105">K138*E138</f>
        <v>0.28864000000000001</v>
      </c>
      <c r="N138" s="78">
        <f t="shared" ref="N138:N143" si="106">L138/(SUMIF($D$81:$D$187,$D138,$L$81:$L$187)+$P$76)</f>
        <v>0.15100025110906504</v>
      </c>
      <c r="O138" s="77">
        <f t="shared" ref="O138:Q143" si="107">MIN(1,$N138+O$75)</f>
        <v>0.65100025110906501</v>
      </c>
      <c r="P138" s="77">
        <f t="shared" si="107"/>
        <v>1</v>
      </c>
      <c r="Q138" s="77">
        <f t="shared" si="107"/>
        <v>1</v>
      </c>
      <c r="R138" s="77"/>
      <c r="S138" s="78">
        <f t="shared" ref="S138:S143" si="108">N138</f>
        <v>0.15100025110906504</v>
      </c>
      <c r="T138" s="77">
        <f t="shared" ref="T138:V138" si="109">S138*T$75</f>
        <v>0.13590022599815854</v>
      </c>
      <c r="U138" s="77">
        <f t="shared" si="109"/>
        <v>0</v>
      </c>
      <c r="V138" s="77">
        <f t="shared" si="109"/>
        <v>0</v>
      </c>
      <c r="W138" s="74"/>
      <c r="Y138" s="74"/>
      <c r="Z138" s="14"/>
      <c r="AE138" s="13"/>
      <c r="AH138" t="str">
        <f t="shared" si="70"/>
        <v>INFSCOA-E</v>
      </c>
      <c r="AI138" t="str">
        <f t="shared" si="71"/>
        <v>Industry-Precious &amp; Non-Ferrous metals-boiler/process heating -  - Existing</v>
      </c>
      <c r="AJ138" s="70" t="s">
        <v>387</v>
      </c>
      <c r="AK138" s="70" t="s">
        <v>610</v>
      </c>
      <c r="AL138" s="70" t="s">
        <v>480</v>
      </c>
      <c r="AM138" s="70" t="s">
        <v>611</v>
      </c>
      <c r="AO138" s="70" t="str">
        <f t="shared" ref="AO138" si="110">D138</f>
        <v>INFS</v>
      </c>
      <c r="AP138" s="70" t="str">
        <f>"Industry - "&amp;VLOOKUP(RIGHT(LEFT(AO138,3),2),NameConv!$E$21:$F$301,2,FALSE)&amp;" - " &amp;VLOOKUP(RIGHT(AO138,1),NameConv!$D$42:$E$53,2,FALSE)</f>
        <v>Industry - Precious &amp; Non-Ferrous metals - boiler/process heating</v>
      </c>
      <c r="AQ138" s="245" t="s">
        <v>387</v>
      </c>
      <c r="AR138" s="70" t="s">
        <v>631</v>
      </c>
      <c r="AS138" s="70" t="s">
        <v>480</v>
      </c>
      <c r="AV138" s="254" t="s">
        <v>401</v>
      </c>
      <c r="AW138" s="72" t="str">
        <f t="shared" si="73"/>
        <v>INFS</v>
      </c>
      <c r="AX138" s="254" t="s">
        <v>387</v>
      </c>
      <c r="AY138" s="266">
        <f t="shared" si="74"/>
        <v>1.9115199999999999</v>
      </c>
    </row>
    <row r="139" spans="1:51">
      <c r="A139" s="45" t="str">
        <f>A$5&amp;"-"&amp;A$15&amp;"-"&amp;A$70&amp;" - "&amp;VLOOKUP(RIGHT(C139,3),NameConv!$E$4:$G$20,2,FALSE)&amp;" - Existing"</f>
        <v>Industry-Precious &amp; Non-Ferrous metals-boiler/process heating -  - Existing</v>
      </c>
      <c r="B139" s="45" t="str">
        <f t="shared" si="103"/>
        <v>INFSGAS-E</v>
      </c>
      <c r="C139" s="46" t="str">
        <f>G6</f>
        <v>INDGAS</v>
      </c>
      <c r="D139" s="46" t="str">
        <f>$B$5&amp;RIGHT($B126,2)&amp;$B$70</f>
        <v>INFS</v>
      </c>
      <c r="E139" s="58">
        <f>Methodology!C41</f>
        <v>0.72</v>
      </c>
      <c r="F139" s="60">
        <f>SUMIF(AFA!$C$3:$L$3,RIGHT(D139,1),AFA!$C$4:$L$4)</f>
        <v>0.15426999999999999</v>
      </c>
      <c r="G139" s="59">
        <v>100</v>
      </c>
      <c r="H139" s="60">
        <f t="shared" si="104"/>
        <v>10.519738121475335</v>
      </c>
      <c r="I139">
        <v>0</v>
      </c>
      <c r="J139" s="61">
        <v>1</v>
      </c>
      <c r="K139" s="60">
        <f>J139*INDEX($C$10:$L$19,MATCH(B126,$B$10:$B$19,0),MATCH($B$6&amp;RIGHT(C139,3),$C$6:$L$6,0))</f>
        <v>2.254</v>
      </c>
      <c r="L139" s="60">
        <f t="shared" si="105"/>
        <v>1.6228799999999999</v>
      </c>
      <c r="N139" s="78">
        <f t="shared" si="106"/>
        <v>0.84899974889093499</v>
      </c>
      <c r="O139" s="77">
        <f t="shared" si="107"/>
        <v>1</v>
      </c>
      <c r="P139" s="77">
        <f t="shared" si="107"/>
        <v>1</v>
      </c>
      <c r="Q139" s="77">
        <f t="shared" si="107"/>
        <v>1</v>
      </c>
      <c r="R139" s="77"/>
      <c r="S139" s="78">
        <f t="shared" si="108"/>
        <v>0.84899974889093499</v>
      </c>
      <c r="T139" s="77">
        <f t="shared" ref="T139:V139" si="111">S139*T$75</f>
        <v>0.76409977400184148</v>
      </c>
      <c r="U139" s="77">
        <f t="shared" si="111"/>
        <v>0</v>
      </c>
      <c r="V139" s="77">
        <f t="shared" si="111"/>
        <v>0</v>
      </c>
      <c r="W139" s="74"/>
      <c r="Y139" s="74"/>
      <c r="Z139" s="14"/>
      <c r="AE139" s="13"/>
      <c r="AH139" t="str">
        <f t="shared" si="70"/>
        <v>INFSGAS-E</v>
      </c>
      <c r="AI139" t="str">
        <f t="shared" si="71"/>
        <v>Industry-Precious &amp; Non-Ferrous metals-boiler/process heating -  - Existing</v>
      </c>
      <c r="AJ139" s="70" t="s">
        <v>387</v>
      </c>
      <c r="AK139" s="70" t="s">
        <v>610</v>
      </c>
      <c r="AL139" s="70" t="s">
        <v>480</v>
      </c>
      <c r="AM139" s="70" t="s">
        <v>611</v>
      </c>
      <c r="AO139" s="26" t="s">
        <v>476</v>
      </c>
      <c r="AP139" s="70" t="str">
        <f t="shared" ref="AP139:AP143" si="112">A139</f>
        <v>Industry-Precious &amp; Non-Ferrous metals-boiler/process heating -  - Existing</v>
      </c>
      <c r="AQ139" s="245" t="s">
        <v>387</v>
      </c>
      <c r="AR139" s="70" t="s">
        <v>631</v>
      </c>
      <c r="AS139" s="70" t="s">
        <v>480</v>
      </c>
      <c r="AV139" s="72" t="s">
        <v>476</v>
      </c>
      <c r="AW139" s="72" t="str">
        <f t="shared" si="73"/>
        <v>*</v>
      </c>
      <c r="AX139" s="254" t="s">
        <v>387</v>
      </c>
      <c r="AY139" s="266">
        <f t="shared" si="74"/>
        <v>338.97013191086643</v>
      </c>
    </row>
    <row r="140" spans="1:51">
      <c r="A140" s="45" t="str">
        <f>A$5&amp;"-"&amp;A$15&amp;"-"&amp;A$70&amp;" - "&amp;VLOOKUP(RIGHT(C140,3),NameConv!$E$4:$G$20,2,FALSE)&amp;" - Existing"</f>
        <v>Industry-Precious &amp; Non-Ferrous metals-boiler/process heating -  - Existing</v>
      </c>
      <c r="B140" s="45" t="str">
        <f t="shared" si="103"/>
        <v>INFSOHF-E</v>
      </c>
      <c r="C140" s="46" t="str">
        <f>+$H$6</f>
        <v>INDOHF</v>
      </c>
      <c r="D140" s="46" t="str">
        <f>$B$5&amp;RIGHT($B126,2)&amp;$B$70</f>
        <v>INFS</v>
      </c>
      <c r="E140" s="58">
        <f>Methodology!C42</f>
        <v>0.68</v>
      </c>
      <c r="F140" s="60">
        <f>SUMIF(AFA!$C$3:$L$3,RIGHT(D140,1),AFA!$C$4:$L$4)</f>
        <v>0.15426999999999999</v>
      </c>
      <c r="G140" s="59">
        <v>100</v>
      </c>
      <c r="H140" s="60">
        <f t="shared" si="104"/>
        <v>0</v>
      </c>
      <c r="I140">
        <v>0</v>
      </c>
      <c r="J140" s="61">
        <v>1</v>
      </c>
      <c r="K140" s="60">
        <f>J140*INDEX($C$10:$L$19,MATCH(B126,$B$10:$B$19,0),MATCH($B$6&amp;RIGHT(C140,3),$C$6:$L$6,0))</f>
        <v>0</v>
      </c>
      <c r="L140" s="60">
        <f t="shared" si="105"/>
        <v>0</v>
      </c>
      <c r="N140" s="78">
        <f t="shared" si="106"/>
        <v>0</v>
      </c>
      <c r="O140" s="77">
        <f t="shared" si="107"/>
        <v>0.5</v>
      </c>
      <c r="P140" s="77">
        <f t="shared" si="107"/>
        <v>1</v>
      </c>
      <c r="Q140" s="77">
        <f t="shared" si="107"/>
        <v>1</v>
      </c>
      <c r="R140" s="77"/>
      <c r="S140" s="78">
        <f t="shared" si="108"/>
        <v>0</v>
      </c>
      <c r="T140" s="77">
        <f t="shared" ref="T140:V140" si="113">S140*T$75</f>
        <v>0</v>
      </c>
      <c r="U140" s="77">
        <f t="shared" si="113"/>
        <v>0</v>
      </c>
      <c r="V140" s="77">
        <f t="shared" si="113"/>
        <v>0</v>
      </c>
      <c r="W140" s="74"/>
      <c r="Y140" s="74"/>
      <c r="Z140" s="14"/>
      <c r="AE140" s="13"/>
      <c r="AH140" t="str">
        <f t="shared" si="70"/>
        <v>INFSOHF-E</v>
      </c>
      <c r="AI140" t="str">
        <f t="shared" si="71"/>
        <v>Industry-Precious &amp; Non-Ferrous metals-boiler/process heating -  - Existing</v>
      </c>
      <c r="AJ140" s="70" t="s">
        <v>387</v>
      </c>
      <c r="AK140" s="70" t="s">
        <v>610</v>
      </c>
      <c r="AL140" s="70" t="s">
        <v>480</v>
      </c>
      <c r="AM140" s="70" t="s">
        <v>611</v>
      </c>
      <c r="AO140" s="26" t="s">
        <v>476</v>
      </c>
      <c r="AP140" s="70" t="str">
        <f t="shared" si="112"/>
        <v>Industry-Precious &amp; Non-Ferrous metals-boiler/process heating -  - Existing</v>
      </c>
      <c r="AQ140" s="245" t="s">
        <v>387</v>
      </c>
      <c r="AR140" s="70" t="s">
        <v>631</v>
      </c>
      <c r="AS140" s="70" t="s">
        <v>480</v>
      </c>
      <c r="AV140" s="72" t="s">
        <v>476</v>
      </c>
      <c r="AW140" s="72" t="str">
        <f t="shared" si="73"/>
        <v>*</v>
      </c>
      <c r="AX140" s="254" t="s">
        <v>387</v>
      </c>
      <c r="AY140" s="266">
        <f t="shared" si="74"/>
        <v>338.97013191086643</v>
      </c>
    </row>
    <row r="141" spans="1:51">
      <c r="A141" s="45" t="str">
        <f>A$5&amp;"-"&amp;A$15&amp;"-"&amp;A$70&amp;" - "&amp;VLOOKUP(RIGHT(C141,3),NameConv!$E$4:$G$20,2,FALSE)&amp;" - Existing"</f>
        <v>Industry-Precious &amp; Non-Ferrous metals-boiler/process heating -  - Existing</v>
      </c>
      <c r="B141" s="45" t="str">
        <f t="shared" si="103"/>
        <v>INFSOLP-E</v>
      </c>
      <c r="C141" s="46" t="str">
        <f>+$I$6</f>
        <v>INDOLP</v>
      </c>
      <c r="D141" s="46" t="str">
        <f>$B$5&amp;RIGHT($B126,2)&amp;$B$70</f>
        <v>INFS</v>
      </c>
      <c r="E141" s="58">
        <f>Methodology!C43</f>
        <v>0.72</v>
      </c>
      <c r="F141" s="60">
        <f>SUMIF(AFA!$C$3:$L$3,RIGHT(D141,1),AFA!$C$4:$L$4)</f>
        <v>0.15426999999999999</v>
      </c>
      <c r="G141" s="59">
        <v>100</v>
      </c>
      <c r="H141" s="60">
        <f t="shared" si="104"/>
        <v>0</v>
      </c>
      <c r="I141">
        <v>0</v>
      </c>
      <c r="J141" s="61">
        <v>1</v>
      </c>
      <c r="K141" s="60">
        <f>J141*INDEX($C$10:$L$19,MATCH(B126,$B$10:$B$19,0),MATCH($B$6&amp;RIGHT(C141,3),$C$6:$L$6,0))</f>
        <v>0</v>
      </c>
      <c r="L141" s="60">
        <f t="shared" si="105"/>
        <v>0</v>
      </c>
      <c r="N141" s="78">
        <f t="shared" si="106"/>
        <v>0</v>
      </c>
      <c r="O141" s="77">
        <f t="shared" si="107"/>
        <v>0.5</v>
      </c>
      <c r="P141" s="77">
        <f t="shared" si="107"/>
        <v>1</v>
      </c>
      <c r="Q141" s="77">
        <f t="shared" si="107"/>
        <v>1</v>
      </c>
      <c r="R141" s="77"/>
      <c r="S141" s="78">
        <f t="shared" si="108"/>
        <v>0</v>
      </c>
      <c r="T141" s="77">
        <f t="shared" ref="T141:V141" si="114">S141*T$75</f>
        <v>0</v>
      </c>
      <c r="U141" s="77">
        <f t="shared" si="114"/>
        <v>0</v>
      </c>
      <c r="V141" s="77">
        <f t="shared" si="114"/>
        <v>0</v>
      </c>
      <c r="W141" s="74"/>
      <c r="Y141" s="74"/>
      <c r="Z141" s="14"/>
      <c r="AE141" s="13"/>
      <c r="AH141" t="str">
        <f t="shared" si="70"/>
        <v>INFSOLP-E</v>
      </c>
      <c r="AI141" t="str">
        <f t="shared" si="71"/>
        <v>Industry-Precious &amp; Non-Ferrous metals-boiler/process heating -  - Existing</v>
      </c>
      <c r="AJ141" s="70" t="s">
        <v>387</v>
      </c>
      <c r="AK141" s="70" t="s">
        <v>610</v>
      </c>
      <c r="AL141" s="70" t="s">
        <v>480</v>
      </c>
      <c r="AM141" s="70" t="s">
        <v>611</v>
      </c>
      <c r="AO141" s="26" t="s">
        <v>476</v>
      </c>
      <c r="AP141" s="70" t="str">
        <f t="shared" si="112"/>
        <v>Industry-Precious &amp; Non-Ferrous metals-boiler/process heating -  - Existing</v>
      </c>
      <c r="AQ141" s="245" t="s">
        <v>387</v>
      </c>
      <c r="AR141" s="70" t="s">
        <v>631</v>
      </c>
      <c r="AS141" s="70" t="s">
        <v>480</v>
      </c>
      <c r="AV141" s="72" t="s">
        <v>476</v>
      </c>
      <c r="AW141" s="72" t="str">
        <f t="shared" si="73"/>
        <v>*</v>
      </c>
      <c r="AX141" s="254" t="s">
        <v>387</v>
      </c>
      <c r="AY141" s="266">
        <f t="shared" si="74"/>
        <v>338.97013191086643</v>
      </c>
    </row>
    <row r="142" spans="1:51">
      <c r="A142" s="45" t="str">
        <f>A$5&amp;"-"&amp;A$15&amp;"-"&amp;A$70&amp;" - "&amp;VLOOKUP(RIGHT(C142,3),NameConv!$E$4:$G$20,2,FALSE)&amp;" - Existing"</f>
        <v>Industry-Precious &amp; Non-Ferrous metals-boiler/process heating -  - Existing</v>
      </c>
      <c r="B142" s="45" t="str">
        <f t="shared" si="103"/>
        <v>INFSELC-E</v>
      </c>
      <c r="C142" s="46" t="str">
        <f>$P$14</f>
        <v>INFELC</v>
      </c>
      <c r="D142" s="46" t="str">
        <f>$B$5&amp;RIGHT($B126,2)&amp;$B$70</f>
        <v>INFS</v>
      </c>
      <c r="E142" s="58">
        <f>Methodology!C27</f>
        <v>0.76</v>
      </c>
      <c r="F142" s="60">
        <f>SUMIF(AFA!$C$3:$L$3,RIGHT(D142,1),AFA!$C$4:$L$4)</f>
        <v>0.15426999999999999</v>
      </c>
      <c r="G142" s="59">
        <v>100</v>
      </c>
      <c r="H142" s="60">
        <f t="shared" si="104"/>
        <v>0</v>
      </c>
      <c r="I142">
        <v>0</v>
      </c>
      <c r="J142" s="61">
        <v>1</v>
      </c>
      <c r="K142" s="60">
        <f>J142*INDEX($C$70:$J$70,MATCH($B126,$C$60:$J$60,0))</f>
        <v>0</v>
      </c>
      <c r="L142" s="60">
        <f t="shared" si="105"/>
        <v>0</v>
      </c>
      <c r="N142" s="78">
        <f t="shared" si="106"/>
        <v>0</v>
      </c>
      <c r="O142" s="77">
        <f t="shared" si="107"/>
        <v>0.5</v>
      </c>
      <c r="P142" s="77">
        <f t="shared" si="107"/>
        <v>1</v>
      </c>
      <c r="Q142" s="77">
        <f t="shared" si="107"/>
        <v>1</v>
      </c>
      <c r="R142" s="77"/>
      <c r="S142" s="78">
        <f t="shared" si="108"/>
        <v>0</v>
      </c>
      <c r="T142" s="77">
        <f t="shared" ref="T142:V142" si="115">S142*T$75</f>
        <v>0</v>
      </c>
      <c r="U142" s="77">
        <f t="shared" si="115"/>
        <v>0</v>
      </c>
      <c r="V142" s="77">
        <f t="shared" si="115"/>
        <v>0</v>
      </c>
      <c r="W142" s="74"/>
      <c r="Y142" s="74"/>
      <c r="Z142" s="14"/>
      <c r="AE142" s="13"/>
      <c r="AH142" t="str">
        <f t="shared" si="70"/>
        <v>INFSELC-E</v>
      </c>
      <c r="AI142" t="str">
        <f t="shared" si="71"/>
        <v>Industry-Precious &amp; Non-Ferrous metals-boiler/process heating -  - Existing</v>
      </c>
      <c r="AJ142" s="70" t="s">
        <v>387</v>
      </c>
      <c r="AK142" s="70" t="s">
        <v>610</v>
      </c>
      <c r="AL142" s="70" t="s">
        <v>480</v>
      </c>
      <c r="AM142" s="70" t="s">
        <v>611</v>
      </c>
      <c r="AO142" s="26" t="s">
        <v>476</v>
      </c>
      <c r="AP142" s="70" t="str">
        <f t="shared" si="112"/>
        <v>Industry-Precious &amp; Non-Ferrous metals-boiler/process heating -  - Existing</v>
      </c>
      <c r="AQ142" s="245" t="s">
        <v>387</v>
      </c>
      <c r="AR142" s="70" t="s">
        <v>631</v>
      </c>
      <c r="AS142" s="70" t="s">
        <v>632</v>
      </c>
      <c r="AV142" s="72" t="s">
        <v>476</v>
      </c>
      <c r="AW142" s="72" t="str">
        <f t="shared" si="73"/>
        <v>*</v>
      </c>
      <c r="AX142" s="254" t="s">
        <v>387</v>
      </c>
      <c r="AY142" s="266">
        <f t="shared" si="74"/>
        <v>338.97013191086643</v>
      </c>
    </row>
    <row r="143" spans="1:51">
      <c r="A143" s="45" t="str">
        <f>A$5&amp;"-"&amp;A$15&amp;"-"&amp;A$70&amp;" - "&amp;VLOOKUP(RIGHT(C143,3),NameConv!$E$4:$G$20,2,FALSE)&amp;" - Existing"</f>
        <v>Industry-Precious &amp; Non-Ferrous metals-boiler/process heating -  - Existing</v>
      </c>
      <c r="B143" s="45" t="str">
        <f t="shared" si="103"/>
        <v>INFSWAS-E</v>
      </c>
      <c r="C143" s="46" t="str">
        <f>$L$6</f>
        <v>INDWAS</v>
      </c>
      <c r="D143" s="46" t="str">
        <f>$B$5&amp;RIGHT($B126,2)&amp;$B$70</f>
        <v>INFS</v>
      </c>
      <c r="E143" s="58">
        <f>Methodology!C45</f>
        <v>0.6</v>
      </c>
      <c r="F143" s="60">
        <f>SUMIF(AFA!$C$3:$L$3,RIGHT(D143,1),AFA!$C$4:$L$4)</f>
        <v>0.15426999999999999</v>
      </c>
      <c r="G143" s="59">
        <v>100</v>
      </c>
      <c r="H143" s="60">
        <f t="shared" si="104"/>
        <v>0</v>
      </c>
      <c r="I143">
        <v>0</v>
      </c>
      <c r="J143" s="61">
        <v>1</v>
      </c>
      <c r="K143" s="60">
        <f>J143*INDEX($C$10:$L$19,MATCH(B126,$B$10:$B$19,0),MATCH($B$6&amp;RIGHT(C143,3),$C$6:$L$6,0))</f>
        <v>0</v>
      </c>
      <c r="L143" s="60">
        <f t="shared" si="105"/>
        <v>0</v>
      </c>
      <c r="N143" s="78">
        <f t="shared" si="106"/>
        <v>0</v>
      </c>
      <c r="O143" s="77">
        <f t="shared" si="107"/>
        <v>0.5</v>
      </c>
      <c r="P143" s="77">
        <f t="shared" si="107"/>
        <v>1</v>
      </c>
      <c r="Q143" s="77">
        <f t="shared" si="107"/>
        <v>1</v>
      </c>
      <c r="R143" s="77"/>
      <c r="S143" s="78">
        <f t="shared" si="108"/>
        <v>0</v>
      </c>
      <c r="T143" s="77">
        <f t="shared" ref="T143:V143" si="116">S143*T$75</f>
        <v>0</v>
      </c>
      <c r="U143" s="77">
        <f t="shared" si="116"/>
        <v>0</v>
      </c>
      <c r="V143" s="77">
        <f t="shared" si="116"/>
        <v>0</v>
      </c>
      <c r="W143" s="74"/>
      <c r="Y143" s="74"/>
      <c r="Z143" s="14"/>
      <c r="AE143" s="13"/>
      <c r="AH143" t="str">
        <f t="shared" si="70"/>
        <v>INFSWAS-E</v>
      </c>
      <c r="AI143" t="str">
        <f t="shared" si="71"/>
        <v>Industry-Precious &amp; Non-Ferrous metals-boiler/process heating -  - Existing</v>
      </c>
      <c r="AJ143" s="70" t="s">
        <v>387</v>
      </c>
      <c r="AK143" s="70" t="s">
        <v>610</v>
      </c>
      <c r="AL143" s="70" t="s">
        <v>480</v>
      </c>
      <c r="AM143" s="70" t="s">
        <v>611</v>
      </c>
      <c r="AO143" s="26" t="s">
        <v>476</v>
      </c>
      <c r="AP143" s="70" t="str">
        <f t="shared" si="112"/>
        <v>Industry-Precious &amp; Non-Ferrous metals-boiler/process heating -  - Existing</v>
      </c>
      <c r="AQ143" s="245" t="s">
        <v>387</v>
      </c>
      <c r="AR143" s="70" t="s">
        <v>631</v>
      </c>
      <c r="AS143" s="70" t="s">
        <v>480</v>
      </c>
      <c r="AV143" s="72" t="s">
        <v>476</v>
      </c>
      <c r="AW143" s="72" t="str">
        <f t="shared" si="73"/>
        <v>*</v>
      </c>
      <c r="AX143" s="254" t="s">
        <v>387</v>
      </c>
      <c r="AY143" s="266">
        <f t="shared" si="74"/>
        <v>338.97013191086643</v>
      </c>
    </row>
    <row r="144" spans="1:51" ht="51.95" customHeight="1" thickBot="1">
      <c r="A144" s="244" t="s">
        <v>620</v>
      </c>
      <c r="B144" s="252"/>
      <c r="C144" s="252"/>
      <c r="D144" s="252"/>
      <c r="E144" s="252"/>
      <c r="F144" s="252"/>
      <c r="G144" s="252"/>
      <c r="H144" s="252"/>
      <c r="J144" s="252"/>
      <c r="K144" s="252"/>
      <c r="L144" s="252"/>
      <c r="N144" s="74" t="str">
        <f>""</f>
        <v/>
      </c>
      <c r="S144" s="78"/>
      <c r="T144" s="74"/>
      <c r="U144" s="74"/>
      <c r="V144" s="74"/>
      <c r="W144" s="74"/>
      <c r="Y144" s="74"/>
      <c r="Z144" s="14"/>
      <c r="AE144" s="13"/>
      <c r="AH144" s="26" t="s">
        <v>476</v>
      </c>
      <c r="AJ144" s="70"/>
      <c r="AK144" s="70"/>
      <c r="AL144" s="70"/>
      <c r="AM144" s="70"/>
      <c r="AO144" s="26" t="s">
        <v>476</v>
      </c>
      <c r="AV144" s="72" t="s">
        <v>476</v>
      </c>
      <c r="AW144" s="72" t="str">
        <f t="shared" si="73"/>
        <v>*</v>
      </c>
      <c r="AX144" s="254" t="s">
        <v>387</v>
      </c>
      <c r="AY144" s="266">
        <f t="shared" si="74"/>
        <v>338.97013191086643</v>
      </c>
    </row>
    <row r="145" spans="1:51">
      <c r="A145" s="12" t="s">
        <v>476</v>
      </c>
      <c r="B145" s="69" t="str">
        <f>+B17</f>
        <v>FB</v>
      </c>
      <c r="C145" s="54"/>
      <c r="D145" s="54"/>
      <c r="E145" s="55" t="s">
        <v>458</v>
      </c>
      <c r="F145" s="55" t="s">
        <v>459</v>
      </c>
      <c r="G145" s="30" t="s">
        <v>460</v>
      </c>
      <c r="H145" s="31" t="s">
        <v>461</v>
      </c>
      <c r="J145" s="30" t="s">
        <v>462</v>
      </c>
      <c r="K145" s="30" t="s">
        <v>463</v>
      </c>
      <c r="L145" s="30" t="s">
        <v>463</v>
      </c>
      <c r="N145" s="74" t="str">
        <f>""</f>
        <v/>
      </c>
      <c r="S145" s="78"/>
      <c r="T145" s="74"/>
      <c r="U145" s="74"/>
      <c r="V145" s="74"/>
      <c r="W145" s="74"/>
      <c r="Y145" s="74"/>
      <c r="Z145" s="14"/>
      <c r="AE145" s="13"/>
      <c r="AH145" s="26" t="s">
        <v>476</v>
      </c>
      <c r="AJ145" s="70"/>
      <c r="AK145" s="70"/>
      <c r="AL145" s="70"/>
      <c r="AM145" s="70"/>
      <c r="AO145" s="26" t="s">
        <v>476</v>
      </c>
      <c r="AV145" s="72" t="s">
        <v>476</v>
      </c>
      <c r="AW145" s="72" t="str">
        <f t="shared" si="73"/>
        <v>*</v>
      </c>
      <c r="AX145" s="254" t="s">
        <v>387</v>
      </c>
      <c r="AY145" s="266">
        <f t="shared" si="74"/>
        <v>338.97013191086643</v>
      </c>
    </row>
    <row r="146" spans="1:51">
      <c r="A146" s="12" t="s">
        <v>476</v>
      </c>
      <c r="B146" s="45"/>
      <c r="C146" s="56">
        <v>1</v>
      </c>
      <c r="D146" s="56">
        <f>C146+1</f>
        <v>2</v>
      </c>
      <c r="E146" s="56">
        <f>D146+1</f>
        <v>3</v>
      </c>
      <c r="F146" s="56">
        <f>E146+1</f>
        <v>4</v>
      </c>
      <c r="G146" s="56">
        <f>F146+1</f>
        <v>5</v>
      </c>
      <c r="H146" s="56">
        <f>G146+1</f>
        <v>6</v>
      </c>
      <c r="J146" s="57"/>
      <c r="K146" s="43"/>
      <c r="L146" s="43"/>
      <c r="N146" s="74" t="str">
        <f>""</f>
        <v/>
      </c>
      <c r="S146" s="78"/>
      <c r="T146" s="74"/>
      <c r="U146" s="74"/>
      <c r="V146" s="74"/>
      <c r="W146" s="74"/>
      <c r="Y146" s="74"/>
      <c r="Z146" s="14"/>
      <c r="AE146" s="13"/>
      <c r="AH146" s="26" t="s">
        <v>476</v>
      </c>
      <c r="AJ146" s="70"/>
      <c r="AK146" s="70"/>
      <c r="AL146" s="70"/>
      <c r="AM146" s="70"/>
      <c r="AO146" s="26" t="s">
        <v>476</v>
      </c>
      <c r="AV146" s="72" t="s">
        <v>476</v>
      </c>
      <c r="AW146" s="72" t="str">
        <f t="shared" si="73"/>
        <v>*</v>
      </c>
      <c r="AX146" s="254" t="s">
        <v>387</v>
      </c>
      <c r="AY146" s="266">
        <f t="shared" si="74"/>
        <v>338.97013191086643</v>
      </c>
    </row>
    <row r="147" spans="1:51">
      <c r="A147" s="45" t="str">
        <f t="shared" ref="A147:A155" si="117">A$5&amp;"-"&amp;A$17&amp;"-"&amp;A31&amp;" - Electricity"</f>
        <v>Industry-Food, Beverage &amp; Tabacco-Elec Heating - Electricity</v>
      </c>
      <c r="B147" s="45" t="str">
        <f>D147&amp;RIGHT(C147,3)&amp;"-E"</f>
        <v>IFBKELC-E</v>
      </c>
      <c r="C147" s="46" t="str">
        <f t="shared" ref="C147:C155" si="118">$P$16</f>
        <v>IFBELC</v>
      </c>
      <c r="D147" s="46" t="str">
        <f>$B$5&amp;RIGHT($B145,2)&amp;$B$61</f>
        <v>IFBK</v>
      </c>
      <c r="E147" s="58">
        <f>Methodology!C28</f>
        <v>1</v>
      </c>
      <c r="F147" s="60">
        <f>SUMIF(AFA!$C$3:$L$3,RIGHT(D147,1),AFA!$C$4:$L$4)</f>
        <v>0.11433</v>
      </c>
      <c r="G147" s="59">
        <v>100</v>
      </c>
      <c r="H147" s="60">
        <f>L147/F147</f>
        <v>9.1545526108632913</v>
      </c>
      <c r="I147">
        <v>0</v>
      </c>
      <c r="J147" s="61">
        <v>1</v>
      </c>
      <c r="K147" s="60">
        <f t="shared" ref="K147:K155" si="119">J147*SUMIF($C$60:$K$60,$B$145,$C61:$K61)</f>
        <v>1.04664</v>
      </c>
      <c r="L147" s="60">
        <f>K147*E147</f>
        <v>1.04664</v>
      </c>
      <c r="N147" s="74" t="str">
        <f>""</f>
        <v/>
      </c>
      <c r="S147" s="78"/>
      <c r="T147" s="74"/>
      <c r="U147" s="74"/>
      <c r="V147" s="74"/>
      <c r="W147" s="74"/>
      <c r="Y147" s="74"/>
      <c r="Z147" s="14"/>
      <c r="AE147" s="13"/>
      <c r="AH147" t="str">
        <f t="shared" si="70"/>
        <v>IFBKELC-E</v>
      </c>
      <c r="AI147" t="str">
        <f t="shared" si="71"/>
        <v>Industry-Food, Beverage &amp; Tabacco-Elec Heating - Electricity</v>
      </c>
      <c r="AJ147" s="70" t="s">
        <v>387</v>
      </c>
      <c r="AK147" s="70" t="s">
        <v>610</v>
      </c>
      <c r="AL147" s="70" t="s">
        <v>480</v>
      </c>
      <c r="AM147" s="70" t="s">
        <v>611</v>
      </c>
      <c r="AO147" s="70" t="str">
        <f t="shared" ref="AO147:AO155" si="120">D147</f>
        <v>IFBK</v>
      </c>
      <c r="AP147" s="70" t="str">
        <f>"Industry - "&amp;VLOOKUP(RIGHT(LEFT(AO147,3),2),NameConv!$E$21:$F$301,2,FALSE)&amp;" - " &amp;VLOOKUP(RIGHT(AO147,1),NameConv!$D$42:$E$53,2,FALSE)</f>
        <v>Industry - Food, Beverage &amp; Tabacco - Elec Heating</v>
      </c>
      <c r="AQ147" s="245" t="s">
        <v>387</v>
      </c>
      <c r="AR147" s="70" t="s">
        <v>631</v>
      </c>
      <c r="AS147" s="70" t="s">
        <v>632</v>
      </c>
      <c r="AV147" s="254" t="s">
        <v>401</v>
      </c>
      <c r="AW147" s="72" t="str">
        <f t="shared" si="73"/>
        <v>IFBK</v>
      </c>
      <c r="AX147" s="254" t="s">
        <v>387</v>
      </c>
      <c r="AY147" s="266">
        <f t="shared" si="74"/>
        <v>1.04664</v>
      </c>
    </row>
    <row r="148" spans="1:51">
      <c r="A148" s="45" t="str">
        <f t="shared" si="117"/>
        <v>Industry-Food, Beverage &amp; Tabacco-Compressed air - Electricity</v>
      </c>
      <c r="B148" s="45" t="str">
        <f>D148&amp;RIGHT(C148,3)&amp;"-E"</f>
        <v>IFBAELC-E</v>
      </c>
      <c r="C148" s="46" t="str">
        <f t="shared" si="118"/>
        <v>IFBELC</v>
      </c>
      <c r="D148" s="46" t="str">
        <f>$B$5&amp;RIGHT($B145,2)&amp;$B$62</f>
        <v>IFBA</v>
      </c>
      <c r="E148" s="58">
        <f>Methodology!C29</f>
        <v>0.05</v>
      </c>
      <c r="F148" s="60">
        <f>SUMIF(AFA!$C$3:$L$3,RIGHT(D148,1),AFA!$C$4:$L$4)</f>
        <v>0.11584999999999999</v>
      </c>
      <c r="G148" s="59">
        <v>100</v>
      </c>
      <c r="H148" s="60">
        <f t="shared" ref="H148:H155" si="121">L148/F148</f>
        <v>0.25812688821752272</v>
      </c>
      <c r="I148">
        <v>0</v>
      </c>
      <c r="J148" s="61">
        <v>1</v>
      </c>
      <c r="K148" s="60">
        <f t="shared" si="119"/>
        <v>0.59808000000000006</v>
      </c>
      <c r="L148" s="60">
        <f t="shared" ref="L148:L155" si="122">K148*E148</f>
        <v>2.9904000000000003E-2</v>
      </c>
      <c r="N148" s="74" t="str">
        <f>""</f>
        <v/>
      </c>
      <c r="S148" s="78"/>
      <c r="T148" s="74"/>
      <c r="U148" s="74"/>
      <c r="V148" s="74"/>
      <c r="W148" s="74"/>
      <c r="Y148" s="74"/>
      <c r="Z148" s="263">
        <f>'PAMS central control panel'!C87</f>
        <v>0</v>
      </c>
      <c r="AA148" s="4">
        <f>'PAMS central control panel'!D87</f>
        <v>0.17499999999999999</v>
      </c>
      <c r="AB148" s="4">
        <f>'PAMS central control panel'!E87</f>
        <v>0.35</v>
      </c>
      <c r="AC148" s="4">
        <f>'PAMS central control panel'!F87</f>
        <v>0.35</v>
      </c>
      <c r="AD148" s="4">
        <f>'PAMS central control panel'!G87</f>
        <v>0.35</v>
      </c>
      <c r="AE148" s="264">
        <f>'PAMS central control panel'!H87</f>
        <v>0.35</v>
      </c>
      <c r="AH148" t="str">
        <f t="shared" si="70"/>
        <v>IFBAELC-E</v>
      </c>
      <c r="AI148" t="str">
        <f t="shared" si="71"/>
        <v>Industry-Food, Beverage &amp; Tabacco-Compressed air - Electricity</v>
      </c>
      <c r="AJ148" s="70" t="s">
        <v>387</v>
      </c>
      <c r="AK148" s="70" t="s">
        <v>610</v>
      </c>
      <c r="AL148" s="70" t="s">
        <v>480</v>
      </c>
      <c r="AM148" s="70" t="s">
        <v>611</v>
      </c>
      <c r="AO148" s="70" t="str">
        <f t="shared" si="120"/>
        <v>IFBA</v>
      </c>
      <c r="AP148" s="70" t="str">
        <f>"Industry - "&amp;VLOOKUP(RIGHT(LEFT(AO148,3),2),NameConv!$E$21:$F$301,2,FALSE)&amp;" - " &amp;VLOOKUP(RIGHT(AO148,1),NameConv!$D$42:$E$53,2,FALSE)</f>
        <v>Industry - Food, Beverage &amp; Tabacco - Compressed air</v>
      </c>
      <c r="AQ148" s="245" t="s">
        <v>387</v>
      </c>
      <c r="AR148" s="70" t="s">
        <v>631</v>
      </c>
      <c r="AS148" s="70" t="s">
        <v>632</v>
      </c>
      <c r="AV148" s="254" t="s">
        <v>401</v>
      </c>
      <c r="AW148" s="72" t="str">
        <f t="shared" si="73"/>
        <v>IFBA</v>
      </c>
      <c r="AX148" s="254" t="s">
        <v>387</v>
      </c>
      <c r="AY148" s="266">
        <f t="shared" si="74"/>
        <v>2.9904000000000003E-2</v>
      </c>
    </row>
    <row r="149" spans="1:51">
      <c r="A149" s="45" t="str">
        <f t="shared" si="117"/>
        <v>Industry-Food, Beverage &amp; Tabacco-Lighting - Electricity</v>
      </c>
      <c r="B149" s="45" t="str">
        <f t="shared" ref="B149:B155" si="123">D149&amp;RIGHT(C149,3)&amp;"-E"</f>
        <v>IFBLELC-E</v>
      </c>
      <c r="C149" s="46" t="str">
        <f t="shared" si="118"/>
        <v>IFBELC</v>
      </c>
      <c r="D149" s="46" t="str">
        <f>$B$5&amp;RIGHT($B145,2)&amp;$B$63</f>
        <v>IFBL</v>
      </c>
      <c r="E149" s="58">
        <f>Methodology!C30</f>
        <v>0.3</v>
      </c>
      <c r="F149" s="60">
        <f>SUMIF(AFA!$C$3:$L$3,RIGHT(D149,1),AFA!$C$4:$L$4)</f>
        <v>0.12454999999999999</v>
      </c>
      <c r="G149" s="59">
        <v>100</v>
      </c>
      <c r="H149" s="60">
        <f t="shared" si="121"/>
        <v>1.8007226013649138</v>
      </c>
      <c r="I149">
        <v>0</v>
      </c>
      <c r="J149" s="61">
        <v>1</v>
      </c>
      <c r="K149" s="60">
        <f t="shared" si="119"/>
        <v>0.74760000000000004</v>
      </c>
      <c r="L149" s="60">
        <f t="shared" si="122"/>
        <v>0.22428000000000001</v>
      </c>
      <c r="N149" s="74" t="str">
        <f>""</f>
        <v/>
      </c>
      <c r="S149" s="78"/>
      <c r="T149" s="74"/>
      <c r="U149" s="74"/>
      <c r="V149" s="74"/>
      <c r="W149" s="74"/>
      <c r="Y149" s="74"/>
      <c r="Z149" s="263">
        <f>'PAMS central control panel'!C88</f>
        <v>0</v>
      </c>
      <c r="AA149" s="4">
        <f>'PAMS central control panel'!D88</f>
        <v>0.17499999999999999</v>
      </c>
      <c r="AB149" s="4">
        <f>'PAMS central control panel'!E88</f>
        <v>0.35</v>
      </c>
      <c r="AC149" s="4">
        <f>'PAMS central control panel'!F88</f>
        <v>0.35</v>
      </c>
      <c r="AD149" s="4">
        <f>'PAMS central control panel'!G88</f>
        <v>0.35</v>
      </c>
      <c r="AE149" s="264">
        <f>'PAMS central control panel'!H88</f>
        <v>0.35</v>
      </c>
      <c r="AH149" t="str">
        <f t="shared" si="70"/>
        <v>IFBLELC-E</v>
      </c>
      <c r="AI149" t="str">
        <f t="shared" si="71"/>
        <v>Industry-Food, Beverage &amp; Tabacco-Lighting - Electricity</v>
      </c>
      <c r="AJ149" s="70" t="s">
        <v>387</v>
      </c>
      <c r="AK149" s="70" t="s">
        <v>610</v>
      </c>
      <c r="AL149" s="70" t="s">
        <v>480</v>
      </c>
      <c r="AM149" s="70" t="s">
        <v>611</v>
      </c>
      <c r="AO149" s="70" t="str">
        <f t="shared" si="120"/>
        <v>IFBL</v>
      </c>
      <c r="AP149" s="70" t="str">
        <f>"Industry - "&amp;VLOOKUP(RIGHT(LEFT(AO149,3),2),NameConv!$E$21:$F$301,2,FALSE)&amp;" - " &amp;VLOOKUP(RIGHT(AO149,1),NameConv!$D$42:$E$53,2,FALSE)</f>
        <v>Industry - Food, Beverage &amp; Tabacco - Lighting</v>
      </c>
      <c r="AQ149" s="245" t="s">
        <v>387</v>
      </c>
      <c r="AR149" s="70" t="s">
        <v>631</v>
      </c>
      <c r="AS149" s="70" t="s">
        <v>632</v>
      </c>
      <c r="AV149" s="254" t="s">
        <v>401</v>
      </c>
      <c r="AW149" s="72" t="str">
        <f t="shared" si="73"/>
        <v>IFBL</v>
      </c>
      <c r="AX149" s="254" t="s">
        <v>387</v>
      </c>
      <c r="AY149" s="266">
        <f t="shared" si="74"/>
        <v>0.22428000000000001</v>
      </c>
    </row>
    <row r="150" spans="1:51">
      <c r="A150" s="45" t="str">
        <f t="shared" si="117"/>
        <v>Industry-Food, Beverage &amp; Tabacco-Cooling - Electricity</v>
      </c>
      <c r="B150" s="45" t="str">
        <f t="shared" si="123"/>
        <v>IFBCELC-E</v>
      </c>
      <c r="C150" s="46" t="str">
        <f t="shared" si="118"/>
        <v>IFBELC</v>
      </c>
      <c r="D150" s="46" t="str">
        <f>$B$5&amp;RIGHT($B145,2)&amp;$B$64</f>
        <v>IFBC</v>
      </c>
      <c r="E150" s="58">
        <f>Methodology!C31</f>
        <v>2</v>
      </c>
      <c r="F150" s="60">
        <f>SUMIF(AFA!$C$3:$L$3,RIGHT(D150,1),AFA!$C$4:$L$4)</f>
        <v>0.12956000000000001</v>
      </c>
      <c r="G150" s="59">
        <v>100</v>
      </c>
      <c r="H150" s="60">
        <f t="shared" si="121"/>
        <v>53.086755171349182</v>
      </c>
      <c r="I150">
        <v>0</v>
      </c>
      <c r="J150" s="61">
        <v>1</v>
      </c>
      <c r="K150" s="60">
        <f t="shared" si="119"/>
        <v>3.4389600000000002</v>
      </c>
      <c r="L150" s="60">
        <f t="shared" si="122"/>
        <v>6.8779200000000005</v>
      </c>
      <c r="N150" s="74" t="str">
        <f>""</f>
        <v/>
      </c>
      <c r="S150" s="78"/>
      <c r="T150" s="74"/>
      <c r="U150" s="74"/>
      <c r="V150" s="74"/>
      <c r="W150" s="74"/>
      <c r="Y150" s="74"/>
      <c r="Z150" s="263">
        <f>'PAMS central control panel'!C89</f>
        <v>0</v>
      </c>
      <c r="AA150" s="4">
        <f>'PAMS central control panel'!D89</f>
        <v>0.17499999999999999</v>
      </c>
      <c r="AB150" s="4">
        <f>'PAMS central control panel'!E89</f>
        <v>0.35</v>
      </c>
      <c r="AC150" s="4">
        <f>'PAMS central control panel'!F89</f>
        <v>0.35</v>
      </c>
      <c r="AD150" s="4">
        <f>'PAMS central control panel'!G89</f>
        <v>0.35</v>
      </c>
      <c r="AE150" s="264">
        <f>'PAMS central control panel'!H89</f>
        <v>0.35</v>
      </c>
      <c r="AH150" t="str">
        <f t="shared" si="70"/>
        <v>IFBCELC-E</v>
      </c>
      <c r="AI150" t="str">
        <f t="shared" si="71"/>
        <v>Industry-Food, Beverage &amp; Tabacco-Cooling - Electricity</v>
      </c>
      <c r="AJ150" s="70" t="s">
        <v>387</v>
      </c>
      <c r="AK150" s="70" t="s">
        <v>610</v>
      </c>
      <c r="AL150" s="70" t="s">
        <v>480</v>
      </c>
      <c r="AM150" s="70" t="s">
        <v>611</v>
      </c>
      <c r="AO150" s="70" t="str">
        <f t="shared" si="120"/>
        <v>IFBC</v>
      </c>
      <c r="AP150" s="70" t="str">
        <f>"Industry - "&amp;VLOOKUP(RIGHT(LEFT(AO150,3),2),NameConv!$E$21:$F$301,2,FALSE)&amp;" - " &amp;VLOOKUP(RIGHT(AO150,1),NameConv!$D$42:$E$53,2,FALSE)</f>
        <v>Industry - Food, Beverage &amp; Tabacco - Cooling</v>
      </c>
      <c r="AQ150" s="245" t="s">
        <v>387</v>
      </c>
      <c r="AR150" s="70" t="s">
        <v>631</v>
      </c>
      <c r="AS150" s="70" t="s">
        <v>632</v>
      </c>
      <c r="AV150" s="254" t="s">
        <v>401</v>
      </c>
      <c r="AW150" s="72" t="str">
        <f t="shared" si="73"/>
        <v>IFBC</v>
      </c>
      <c r="AX150" s="254" t="s">
        <v>387</v>
      </c>
      <c r="AY150" s="266">
        <f t="shared" si="74"/>
        <v>6.8779200000000005</v>
      </c>
    </row>
    <row r="151" spans="1:51">
      <c r="A151" s="45" t="str">
        <f t="shared" si="117"/>
        <v>Industry-Food, Beverage &amp; Tabacco-HVAC - Electricity</v>
      </c>
      <c r="B151" s="45" t="str">
        <f t="shared" si="123"/>
        <v>IFBHELC-E</v>
      </c>
      <c r="C151" s="46" t="str">
        <f t="shared" si="118"/>
        <v>IFBELC</v>
      </c>
      <c r="D151" s="46" t="str">
        <f>$B$5&amp;RIGHT($B145,2)&amp;$B$65</f>
        <v>IFBH</v>
      </c>
      <c r="E151" s="58">
        <f>Methodology!C32</f>
        <v>0.9</v>
      </c>
      <c r="F151" s="60">
        <f>SUMIF(AFA!$C$3:$L$3,RIGHT(D151,1),AFA!$C$4:$L$4)</f>
        <v>0.13161</v>
      </c>
      <c r="G151" s="59">
        <v>100</v>
      </c>
      <c r="H151" s="60">
        <f t="shared" si="121"/>
        <v>6.1348529746979708</v>
      </c>
      <c r="I151">
        <v>0</v>
      </c>
      <c r="J151" s="61">
        <v>1</v>
      </c>
      <c r="K151" s="60">
        <f t="shared" si="119"/>
        <v>0.89711999999999992</v>
      </c>
      <c r="L151" s="60">
        <f t="shared" si="122"/>
        <v>0.8074079999999999</v>
      </c>
      <c r="N151" s="74" t="str">
        <f>""</f>
        <v/>
      </c>
      <c r="S151" s="78"/>
      <c r="T151" s="74"/>
      <c r="U151" s="74"/>
      <c r="V151" s="74"/>
      <c r="W151" s="74"/>
      <c r="Y151" s="74"/>
      <c r="Z151" s="263">
        <f>'PAMS central control panel'!C90</f>
        <v>0</v>
      </c>
      <c r="AA151" s="4">
        <f>'PAMS central control panel'!D90</f>
        <v>0.17499999999999999</v>
      </c>
      <c r="AB151" s="4">
        <f>'PAMS central control panel'!E90</f>
        <v>0.35</v>
      </c>
      <c r="AC151" s="4">
        <f>'PAMS central control panel'!F90</f>
        <v>0.35</v>
      </c>
      <c r="AD151" s="4">
        <f>'PAMS central control panel'!G90</f>
        <v>0.35</v>
      </c>
      <c r="AE151" s="264">
        <f>'PAMS central control panel'!H90</f>
        <v>0.35</v>
      </c>
      <c r="AH151" t="str">
        <f t="shared" si="70"/>
        <v>IFBHELC-E</v>
      </c>
      <c r="AI151" t="str">
        <f t="shared" si="71"/>
        <v>Industry-Food, Beverage &amp; Tabacco-HVAC - Electricity</v>
      </c>
      <c r="AJ151" s="70" t="s">
        <v>387</v>
      </c>
      <c r="AK151" s="70" t="s">
        <v>610</v>
      </c>
      <c r="AL151" s="70" t="s">
        <v>480</v>
      </c>
      <c r="AM151" s="70" t="s">
        <v>611</v>
      </c>
      <c r="AO151" s="70" t="str">
        <f t="shared" si="120"/>
        <v>IFBH</v>
      </c>
      <c r="AP151" s="70" t="str">
        <f>"Industry - "&amp;VLOOKUP(RIGHT(LEFT(AO151,3),2),NameConv!$E$21:$F$301,2,FALSE)&amp;" - " &amp;VLOOKUP(RIGHT(AO151,1),NameConv!$D$42:$E$53,2,FALSE)</f>
        <v>Industry - Food, Beverage &amp; Tabacco - HVAC</v>
      </c>
      <c r="AQ151" s="245" t="s">
        <v>387</v>
      </c>
      <c r="AR151" s="70" t="s">
        <v>631</v>
      </c>
      <c r="AS151" s="70" t="s">
        <v>632</v>
      </c>
      <c r="AV151" s="254" t="s">
        <v>401</v>
      </c>
      <c r="AW151" s="72" t="str">
        <f t="shared" si="73"/>
        <v>IFBH</v>
      </c>
      <c r="AX151" s="254" t="s">
        <v>387</v>
      </c>
      <c r="AY151" s="266">
        <f t="shared" si="74"/>
        <v>0.8074079999999999</v>
      </c>
    </row>
    <row r="152" spans="1:51">
      <c r="A152" s="45" t="str">
        <f t="shared" si="117"/>
        <v>Industry-Food, Beverage &amp; Tabacco-Pumping - Electricity</v>
      </c>
      <c r="B152" s="45" t="str">
        <f t="shared" si="123"/>
        <v>IFBPELC-E</v>
      </c>
      <c r="C152" s="46" t="str">
        <f t="shared" si="118"/>
        <v>IFBELC</v>
      </c>
      <c r="D152" s="46" t="str">
        <f>$B$5&amp;RIGHT($B145,2)&amp;$B$66</f>
        <v>IFBP</v>
      </c>
      <c r="E152" s="58">
        <f>Methodology!C33</f>
        <v>0.8</v>
      </c>
      <c r="F152" s="60">
        <f>SUMIF(AFA!$C$3:$L$3,RIGHT(D152,1),AFA!$C$4:$L$4)</f>
        <v>0.12116</v>
      </c>
      <c r="G152" s="59">
        <v>100</v>
      </c>
      <c r="H152" s="60">
        <f t="shared" si="121"/>
        <v>27.643182568504457</v>
      </c>
      <c r="I152">
        <v>0</v>
      </c>
      <c r="J152" s="61">
        <v>1</v>
      </c>
      <c r="K152" s="60">
        <f t="shared" si="119"/>
        <v>4.1865600000000001</v>
      </c>
      <c r="L152" s="60">
        <f t="shared" si="122"/>
        <v>3.3492480000000002</v>
      </c>
      <c r="N152" s="74" t="str">
        <f>""</f>
        <v/>
      </c>
      <c r="S152" s="78"/>
      <c r="T152" s="74"/>
      <c r="U152" s="74"/>
      <c r="V152" s="74"/>
      <c r="W152" s="74"/>
      <c r="Y152" s="74"/>
      <c r="Z152" s="263">
        <f>'PAMS central control panel'!C91</f>
        <v>0</v>
      </c>
      <c r="AA152" s="4">
        <f>'PAMS central control panel'!D91</f>
        <v>0.17499999999999999</v>
      </c>
      <c r="AB152" s="4">
        <f>'PAMS central control panel'!E91</f>
        <v>0.35</v>
      </c>
      <c r="AC152" s="4">
        <f>'PAMS central control panel'!F91</f>
        <v>0.35</v>
      </c>
      <c r="AD152" s="4">
        <f>'PAMS central control panel'!G91</f>
        <v>0.35</v>
      </c>
      <c r="AE152" s="264">
        <f>'PAMS central control panel'!H91</f>
        <v>0.35</v>
      </c>
      <c r="AH152" t="str">
        <f t="shared" si="70"/>
        <v>IFBPELC-E</v>
      </c>
      <c r="AI152" t="str">
        <f t="shared" si="71"/>
        <v>Industry-Food, Beverage &amp; Tabacco-Pumping - Electricity</v>
      </c>
      <c r="AJ152" s="70" t="s">
        <v>387</v>
      </c>
      <c r="AK152" s="70" t="s">
        <v>610</v>
      </c>
      <c r="AL152" s="70" t="s">
        <v>480</v>
      </c>
      <c r="AM152" s="70" t="s">
        <v>611</v>
      </c>
      <c r="AO152" s="70" t="str">
        <f t="shared" si="120"/>
        <v>IFBP</v>
      </c>
      <c r="AP152" s="70" t="str">
        <f>"Industry - "&amp;VLOOKUP(RIGHT(LEFT(AO152,3),2),NameConv!$E$21:$F$301,2,FALSE)&amp;" - " &amp;VLOOKUP(RIGHT(AO152,1),NameConv!$D$42:$E$53,2,FALSE)</f>
        <v>Industry - Food, Beverage &amp; Tabacco - Pumping</v>
      </c>
      <c r="AQ152" s="245" t="s">
        <v>387</v>
      </c>
      <c r="AR152" s="70" t="s">
        <v>631</v>
      </c>
      <c r="AS152" s="70" t="s">
        <v>632</v>
      </c>
      <c r="AV152" s="254" t="s">
        <v>401</v>
      </c>
      <c r="AW152" s="72" t="str">
        <f t="shared" si="73"/>
        <v>IFBP</v>
      </c>
      <c r="AX152" s="254" t="s">
        <v>387</v>
      </c>
      <c r="AY152" s="266">
        <f t="shared" si="74"/>
        <v>3.3492480000000002</v>
      </c>
    </row>
    <row r="153" spans="1:51">
      <c r="A153" s="45" t="str">
        <f t="shared" si="117"/>
        <v>Industry-Food, Beverage &amp; Tabacco-Fans - Electricity</v>
      </c>
      <c r="B153" s="45" t="str">
        <f t="shared" si="123"/>
        <v>IFBFELC-E</v>
      </c>
      <c r="C153" s="46" t="str">
        <f t="shared" si="118"/>
        <v>IFBELC</v>
      </c>
      <c r="D153" s="46" t="str">
        <f>$B$5&amp;RIGHT($B145,2)&amp;$B$67</f>
        <v>IFBF</v>
      </c>
      <c r="E153" s="58">
        <f>Methodology!C34</f>
        <v>0.8</v>
      </c>
      <c r="F153" s="60">
        <f>SUMIF(AFA!$C$3:$L$3,RIGHT(D153,1),AFA!$C$4:$L$4)</f>
        <v>0.10936999999999999</v>
      </c>
      <c r="G153" s="59">
        <v>100</v>
      </c>
      <c r="H153" s="60">
        <f t="shared" si="121"/>
        <v>4.3747279875651461</v>
      </c>
      <c r="I153">
        <v>0</v>
      </c>
      <c r="J153" s="61">
        <v>1</v>
      </c>
      <c r="K153" s="60">
        <f t="shared" si="119"/>
        <v>0.59808000000000006</v>
      </c>
      <c r="L153" s="60">
        <f t="shared" si="122"/>
        <v>0.47846400000000006</v>
      </c>
      <c r="N153" s="74" t="str">
        <f>""</f>
        <v/>
      </c>
      <c r="S153" s="78"/>
      <c r="T153" s="74"/>
      <c r="U153" s="74"/>
      <c r="V153" s="74"/>
      <c r="W153" s="74"/>
      <c r="Y153" s="74"/>
      <c r="Z153" s="263">
        <f>'PAMS central control panel'!C92</f>
        <v>0</v>
      </c>
      <c r="AA153" s="4">
        <f>'PAMS central control panel'!D92</f>
        <v>0.17499999999999999</v>
      </c>
      <c r="AB153" s="4">
        <f>'PAMS central control panel'!E92</f>
        <v>0.35</v>
      </c>
      <c r="AC153" s="4">
        <f>'PAMS central control panel'!F92</f>
        <v>0.35</v>
      </c>
      <c r="AD153" s="4">
        <f>'PAMS central control panel'!G92</f>
        <v>0.35</v>
      </c>
      <c r="AE153" s="264">
        <f>'PAMS central control panel'!H92</f>
        <v>0.35</v>
      </c>
      <c r="AH153" t="str">
        <f t="shared" si="70"/>
        <v>IFBFELC-E</v>
      </c>
      <c r="AI153" t="str">
        <f t="shared" si="71"/>
        <v>Industry-Food, Beverage &amp; Tabacco-Fans - Electricity</v>
      </c>
      <c r="AJ153" s="70" t="s">
        <v>387</v>
      </c>
      <c r="AK153" s="70" t="s">
        <v>610</v>
      </c>
      <c r="AL153" s="70" t="s">
        <v>480</v>
      </c>
      <c r="AM153" s="70" t="s">
        <v>611</v>
      </c>
      <c r="AO153" s="70" t="str">
        <f t="shared" si="120"/>
        <v>IFBF</v>
      </c>
      <c r="AP153" s="70" t="str">
        <f>"Industry - "&amp;VLOOKUP(RIGHT(LEFT(AO153,3),2),NameConv!$E$21:$F$301,2,FALSE)&amp;" - " &amp;VLOOKUP(RIGHT(AO153,1),NameConv!$D$42:$E$53,2,FALSE)</f>
        <v>Industry - Food, Beverage &amp; Tabacco - Fans</v>
      </c>
      <c r="AQ153" s="245" t="s">
        <v>387</v>
      </c>
      <c r="AR153" s="70" t="s">
        <v>631</v>
      </c>
      <c r="AS153" s="70" t="s">
        <v>632</v>
      </c>
      <c r="AV153" s="254" t="s">
        <v>401</v>
      </c>
      <c r="AW153" s="72" t="str">
        <f t="shared" si="73"/>
        <v>IFBF</v>
      </c>
      <c r="AX153" s="254" t="s">
        <v>387</v>
      </c>
      <c r="AY153" s="266">
        <f t="shared" si="74"/>
        <v>0.47846400000000006</v>
      </c>
    </row>
    <row r="154" spans="1:51">
      <c r="A154" s="45" t="str">
        <f t="shared" si="117"/>
        <v>Industry-Food, Beverage &amp; Tabacco-Other motive - Electricity</v>
      </c>
      <c r="B154" s="45" t="str">
        <f t="shared" si="123"/>
        <v>IFBOELC-E</v>
      </c>
      <c r="C154" s="46" t="str">
        <f t="shared" si="118"/>
        <v>IFBELC</v>
      </c>
      <c r="D154" s="46" t="str">
        <f>$B$5&amp;RIGHT($B145,2)&amp;$B$68</f>
        <v>IFBO</v>
      </c>
      <c r="E154" s="58">
        <f>Methodology!C35</f>
        <v>0.8</v>
      </c>
      <c r="F154" s="60">
        <f>SUMIF(AFA!$C$3:$L$3,RIGHT(D154,1),AFA!$C$4:$L$4)</f>
        <v>0.13081999999999999</v>
      </c>
      <c r="G154" s="59">
        <v>100</v>
      </c>
      <c r="H154" s="60">
        <f t="shared" si="121"/>
        <v>19.201467665494576</v>
      </c>
      <c r="I154">
        <v>0</v>
      </c>
      <c r="J154" s="61">
        <v>1</v>
      </c>
      <c r="K154" s="60">
        <f t="shared" si="119"/>
        <v>3.13992</v>
      </c>
      <c r="L154" s="60">
        <f t="shared" si="122"/>
        <v>2.5119360000000004</v>
      </c>
      <c r="N154" s="74" t="str">
        <f>""</f>
        <v/>
      </c>
      <c r="S154" s="78"/>
      <c r="T154" s="74"/>
      <c r="U154" s="74"/>
      <c r="V154" s="74"/>
      <c r="W154" s="74"/>
      <c r="Y154" s="74"/>
      <c r="Z154" s="263">
        <f>'PAMS central control panel'!C93</f>
        <v>0</v>
      </c>
      <c r="AA154" s="4">
        <f>'PAMS central control panel'!D93</f>
        <v>0.17499999999999999</v>
      </c>
      <c r="AB154" s="4">
        <f>'PAMS central control panel'!E93</f>
        <v>0.35</v>
      </c>
      <c r="AC154" s="4">
        <f>'PAMS central control panel'!F93</f>
        <v>0.35</v>
      </c>
      <c r="AD154" s="4">
        <f>'PAMS central control panel'!G93</f>
        <v>0.35</v>
      </c>
      <c r="AE154" s="264">
        <f>'PAMS central control panel'!H93</f>
        <v>0.35</v>
      </c>
      <c r="AH154" t="str">
        <f t="shared" si="70"/>
        <v>IFBOELC-E</v>
      </c>
      <c r="AI154" t="str">
        <f t="shared" si="71"/>
        <v>Industry-Food, Beverage &amp; Tabacco-Other motive - Electricity</v>
      </c>
      <c r="AJ154" s="70" t="s">
        <v>387</v>
      </c>
      <c r="AK154" s="70" t="s">
        <v>610</v>
      </c>
      <c r="AL154" s="70" t="s">
        <v>480</v>
      </c>
      <c r="AM154" s="70" t="s">
        <v>611</v>
      </c>
      <c r="AO154" s="70" t="str">
        <f t="shared" si="120"/>
        <v>IFBO</v>
      </c>
      <c r="AP154" s="70" t="str">
        <f>"Industry - "&amp;VLOOKUP(RIGHT(LEFT(AO154,3),2),NameConv!$E$21:$F$301,2,FALSE)&amp;" - " &amp;VLOOKUP(RIGHT(AO154,1),NameConv!$D$42:$E$53,2,FALSE)</f>
        <v>Industry - Food, Beverage &amp; Tabacco - Other motive</v>
      </c>
      <c r="AQ154" s="245" t="s">
        <v>387</v>
      </c>
      <c r="AR154" s="70" t="s">
        <v>631</v>
      </c>
      <c r="AS154" s="70" t="s">
        <v>632</v>
      </c>
      <c r="AV154" s="254" t="s">
        <v>401</v>
      </c>
      <c r="AW154" s="72" t="str">
        <f t="shared" si="73"/>
        <v>IFBO</v>
      </c>
      <c r="AX154" s="254" t="s">
        <v>387</v>
      </c>
      <c r="AY154" s="266">
        <f t="shared" si="74"/>
        <v>2.5119360000000004</v>
      </c>
    </row>
    <row r="155" spans="1:51">
      <c r="A155" s="45" t="str">
        <f t="shared" si="117"/>
        <v>Industry-Food, Beverage &amp; Tabacco-Electrochemical - Electricity</v>
      </c>
      <c r="B155" s="45" t="str">
        <f t="shared" si="123"/>
        <v>IFBEELC-E</v>
      </c>
      <c r="C155" s="46" t="str">
        <f t="shared" si="118"/>
        <v>IFBELC</v>
      </c>
      <c r="D155" s="46" t="str">
        <f>$B$5&amp;RIGHT($B145,2)&amp;$B$69</f>
        <v>IFBE</v>
      </c>
      <c r="E155" s="58">
        <f>Methodology!C27</f>
        <v>0.76</v>
      </c>
      <c r="F155" s="60">
        <f>SUMIF(AFA!$C$3:$L$3,RIGHT(D155,1),AFA!$C$4:$L$4)</f>
        <v>0.13233</v>
      </c>
      <c r="G155" s="59">
        <v>100</v>
      </c>
      <c r="H155" s="60">
        <f t="shared" si="121"/>
        <v>0</v>
      </c>
      <c r="I155">
        <v>0</v>
      </c>
      <c r="J155" s="61">
        <v>1</v>
      </c>
      <c r="K155" s="60">
        <f t="shared" si="119"/>
        <v>0</v>
      </c>
      <c r="L155" s="60">
        <f t="shared" si="122"/>
        <v>0</v>
      </c>
      <c r="N155" s="74" t="str">
        <f>""</f>
        <v/>
      </c>
      <c r="S155" s="78"/>
      <c r="T155" s="74"/>
      <c r="U155" s="74"/>
      <c r="V155" s="74"/>
      <c r="W155" s="74"/>
      <c r="Y155" s="74"/>
      <c r="Z155" s="263">
        <f>'PAMS central control panel'!C94</f>
        <v>0</v>
      </c>
      <c r="AA155" s="4">
        <f>'PAMS central control panel'!D94</f>
        <v>0.17499999999999999</v>
      </c>
      <c r="AB155" s="4">
        <f>'PAMS central control panel'!E94</f>
        <v>0.35</v>
      </c>
      <c r="AC155" s="4">
        <f>'PAMS central control panel'!F94</f>
        <v>0.35</v>
      </c>
      <c r="AD155" s="4">
        <f>'PAMS central control panel'!G94</f>
        <v>0.35</v>
      </c>
      <c r="AE155" s="264">
        <f>'PAMS central control panel'!H94</f>
        <v>0.35</v>
      </c>
      <c r="AH155" t="str">
        <f t="shared" si="70"/>
        <v>IFBEELC-E</v>
      </c>
      <c r="AI155" t="str">
        <f t="shared" si="71"/>
        <v>Industry-Food, Beverage &amp; Tabacco-Electrochemical - Electricity</v>
      </c>
      <c r="AJ155" s="70" t="s">
        <v>387</v>
      </c>
      <c r="AK155" s="70" t="s">
        <v>610</v>
      </c>
      <c r="AL155" s="70" t="s">
        <v>480</v>
      </c>
      <c r="AM155" s="70" t="s">
        <v>611</v>
      </c>
      <c r="AO155" s="70" t="str">
        <f t="shared" si="120"/>
        <v>IFBE</v>
      </c>
      <c r="AP155" s="70" t="str">
        <f>"Industry - "&amp;VLOOKUP(RIGHT(LEFT(AO155,3),2),NameConv!$E$21:$F$301,2,FALSE)&amp;" - " &amp;VLOOKUP(RIGHT(AO155,1),NameConv!$D$42:$E$53,2,FALSE)</f>
        <v>Industry - Food, Beverage &amp; Tabacco - Electrochemical</v>
      </c>
      <c r="AQ155" s="245" t="s">
        <v>387</v>
      </c>
      <c r="AR155" s="70" t="s">
        <v>631</v>
      </c>
      <c r="AS155" s="70" t="s">
        <v>632</v>
      </c>
      <c r="AV155" s="254" t="s">
        <v>401</v>
      </c>
      <c r="AW155" s="72" t="str">
        <f t="shared" si="73"/>
        <v>IFBE</v>
      </c>
      <c r="AX155" s="254" t="s">
        <v>387</v>
      </c>
      <c r="AY155" s="266">
        <f t="shared" si="74"/>
        <v>0</v>
      </c>
    </row>
    <row r="156" spans="1:51">
      <c r="A156" s="45" t="s">
        <v>476</v>
      </c>
      <c r="B156" s="45"/>
      <c r="C156" s="46"/>
      <c r="D156" s="46" t="s">
        <v>336</v>
      </c>
      <c r="E156" s="58"/>
      <c r="F156" s="60">
        <f>SUMIF(AFA!$C$3:$L$3,RIGHT(D156,1),AFA!$C$4:$L$4)</f>
        <v>0</v>
      </c>
      <c r="G156" s="59"/>
      <c r="H156" s="60"/>
      <c r="J156" s="61"/>
      <c r="K156" s="60"/>
      <c r="L156" s="60"/>
      <c r="N156" s="74" t="str">
        <f>""</f>
        <v/>
      </c>
      <c r="S156" s="78"/>
      <c r="T156" s="74"/>
      <c r="U156" s="74"/>
      <c r="V156" s="74"/>
      <c r="W156" s="74"/>
      <c r="Y156" s="74"/>
      <c r="Z156" s="263">
        <f>'PAMS central control panel'!C95</f>
        <v>0</v>
      </c>
      <c r="AA156" s="4">
        <f>'PAMS central control panel'!D95</f>
        <v>0.17499999999999999</v>
      </c>
      <c r="AB156" s="4">
        <f>'PAMS central control panel'!E95</f>
        <v>0.35</v>
      </c>
      <c r="AC156" s="4">
        <f>'PAMS central control panel'!F95</f>
        <v>0.35</v>
      </c>
      <c r="AD156" s="4">
        <f>'PAMS central control panel'!G95</f>
        <v>0.35</v>
      </c>
      <c r="AE156" s="264">
        <f>'PAMS central control panel'!H95</f>
        <v>0.35</v>
      </c>
      <c r="AH156" s="26" t="s">
        <v>476</v>
      </c>
      <c r="AJ156" s="70"/>
      <c r="AK156" s="70"/>
      <c r="AL156" s="70"/>
      <c r="AM156" s="70"/>
      <c r="AO156" s="26" t="s">
        <v>476</v>
      </c>
      <c r="AV156" s="72" t="s">
        <v>476</v>
      </c>
      <c r="AW156" s="72" t="str">
        <f t="shared" si="73"/>
        <v>*</v>
      </c>
      <c r="AX156" s="254" t="s">
        <v>387</v>
      </c>
      <c r="AY156" s="266">
        <f t="shared" si="74"/>
        <v>338.97013191086643</v>
      </c>
    </row>
    <row r="157" spans="1:51">
      <c r="A157" s="45" t="str">
        <f>A$5&amp;"-"&amp;A$17&amp;"-"&amp;A$70&amp;" - "&amp;VLOOKUP(RIGHT(C157,3),NameConv!$E$4:$G$23,2,FALSE)&amp;" - Existing"</f>
        <v>Industry-Food, Beverage &amp; Tabacco-boiler/process heating -  - Existing</v>
      </c>
      <c r="B157" s="45" t="str">
        <f t="shared" ref="B157:B165" si="124">D157&amp;RIGHT(C157,3)&amp;"-E"</f>
        <v>IFBSCOA-E</v>
      </c>
      <c r="C157" s="46" t="str">
        <f>+$C$6</f>
        <v>INDCOA</v>
      </c>
      <c r="D157" s="46" t="str">
        <f t="shared" ref="D157:D165" si="125">$B$5&amp;RIGHT($B$145,2)&amp;$B$70</f>
        <v>IFBS</v>
      </c>
      <c r="E157" s="58">
        <f>Methodology!C40</f>
        <v>0.64</v>
      </c>
      <c r="F157" s="60">
        <f>SUMIF(AFA!$C$3:$L$3,RIGHT(D157,1),AFA!$C$4:$L$4)</f>
        <v>0.15426999999999999</v>
      </c>
      <c r="G157" s="59">
        <v>100</v>
      </c>
      <c r="H157" s="60">
        <f t="shared" ref="H157:H165" si="126">L157/F157</f>
        <v>67.505542231153186</v>
      </c>
      <c r="I157">
        <v>0</v>
      </c>
      <c r="J157" s="61">
        <v>1</v>
      </c>
      <c r="K157" s="60">
        <f>J157*INDEX($C$10:$L$19,MATCH(B145,$B$10:$B$19,0),MATCH($B$6&amp;RIGHT(C157,3),$C$6:$L$6,0))</f>
        <v>16.272000000000002</v>
      </c>
      <c r="L157" s="60">
        <f>K157*E157</f>
        <v>10.414080000000002</v>
      </c>
      <c r="N157" s="78">
        <f t="shared" ref="N157:N165" si="127">L157/SUMIF($D$81:$D$187,$D157,$L$81:$L$187)</f>
        <v>0.25685398787785141</v>
      </c>
      <c r="O157" s="77">
        <f t="shared" ref="O157:Q161" si="128">MIN(1,$N157+O$75)</f>
        <v>0.75685398787785141</v>
      </c>
      <c r="P157" s="77">
        <f t="shared" si="128"/>
        <v>1</v>
      </c>
      <c r="Q157" s="77">
        <f t="shared" si="128"/>
        <v>1</v>
      </c>
      <c r="R157" s="77"/>
      <c r="S157" s="78">
        <f t="shared" ref="S157:S162" si="129">N157</f>
        <v>0.25685398787785141</v>
      </c>
      <c r="T157" s="77">
        <f t="shared" ref="T157:V157" si="130">S157*T$75</f>
        <v>0.23116858909006627</v>
      </c>
      <c r="U157" s="77">
        <f t="shared" si="130"/>
        <v>0</v>
      </c>
      <c r="V157" s="77">
        <f t="shared" si="130"/>
        <v>0</v>
      </c>
      <c r="W157" s="74"/>
      <c r="Y157" s="74"/>
      <c r="Z157" s="263">
        <f>'PAMS central control panel'!C96</f>
        <v>0</v>
      </c>
      <c r="AA157" s="4">
        <f>'PAMS central control panel'!D96</f>
        <v>0</v>
      </c>
      <c r="AB157" s="4">
        <f>'PAMS central control panel'!E96</f>
        <v>0</v>
      </c>
      <c r="AC157" s="4">
        <f>'PAMS central control panel'!F96</f>
        <v>0</v>
      </c>
      <c r="AD157" s="4">
        <f>'PAMS central control panel'!G96</f>
        <v>0</v>
      </c>
      <c r="AE157" s="264">
        <f>'PAMS central control panel'!H96</f>
        <v>0</v>
      </c>
      <c r="AH157" t="str">
        <f t="shared" si="70"/>
        <v>IFBSCOA-E</v>
      </c>
      <c r="AI157" t="str">
        <f t="shared" si="71"/>
        <v>Industry-Food, Beverage &amp; Tabacco-boiler/process heating -  - Existing</v>
      </c>
      <c r="AJ157" s="70" t="s">
        <v>387</v>
      </c>
      <c r="AK157" s="70" t="s">
        <v>610</v>
      </c>
      <c r="AL157" s="70" t="s">
        <v>480</v>
      </c>
      <c r="AM157" s="70" t="s">
        <v>611</v>
      </c>
      <c r="AO157" s="70" t="str">
        <f t="shared" ref="AO157" si="131">D157</f>
        <v>IFBS</v>
      </c>
      <c r="AP157" s="70" t="str">
        <f>"Industry - "&amp;VLOOKUP(RIGHT(LEFT(AO157,3),2),NameConv!$E$21:$F$301,2,FALSE)&amp;" - " &amp;VLOOKUP(RIGHT(AO157,1),NameConv!$D$42:$E$53,2,FALSE)</f>
        <v>Industry - Food, Beverage &amp; Tabacco - boiler/process heating</v>
      </c>
      <c r="AQ157" s="245" t="s">
        <v>387</v>
      </c>
      <c r="AR157" s="70" t="s">
        <v>631</v>
      </c>
      <c r="AS157" s="70" t="s">
        <v>480</v>
      </c>
      <c r="AV157" s="254" t="s">
        <v>401</v>
      </c>
      <c r="AW157" s="72" t="str">
        <f t="shared" si="73"/>
        <v>IFBS</v>
      </c>
      <c r="AX157" s="254" t="s">
        <v>387</v>
      </c>
      <c r="AY157" s="266">
        <f t="shared" si="74"/>
        <v>40.544747177343751</v>
      </c>
    </row>
    <row r="158" spans="1:51">
      <c r="A158" s="45" t="str">
        <f>A$5&amp;"-"&amp;A$17&amp;"-"&amp;A$70&amp;" - "&amp;VLOOKUP(RIGHT(C158,3),NameConv!$E$4:$G$23,2,FALSE)&amp;" - Existing"</f>
        <v>Industry-Food, Beverage &amp; Tabacco-boiler/process heating -  - Existing</v>
      </c>
      <c r="B158" s="45" t="str">
        <f t="shared" si="124"/>
        <v>IFBSGAS-E</v>
      </c>
      <c r="C158" s="46" t="str">
        <f>G6</f>
        <v>INDGAS</v>
      </c>
      <c r="D158" s="46" t="str">
        <f t="shared" si="125"/>
        <v>IFBS</v>
      </c>
      <c r="E158" s="58">
        <f>Methodology!C41</f>
        <v>0.72</v>
      </c>
      <c r="F158" s="60">
        <f>SUMIF(AFA!$C$3:$L$3,RIGHT(D158,1),AFA!$C$4:$L$4)</f>
        <v>0.15426999999999999</v>
      </c>
      <c r="G158" s="59">
        <v>100</v>
      </c>
      <c r="H158" s="60">
        <f t="shared" si="126"/>
        <v>34.377369400037274</v>
      </c>
      <c r="I158">
        <v>0</v>
      </c>
      <c r="J158" s="61">
        <v>1</v>
      </c>
      <c r="K158" s="60">
        <f>J158*INDEX($C$10:$L$19,MATCH(B145,$B$10:$B$19,0),MATCH($B$6&amp;RIGHT(C158,3),$C$6:$L$6,0))</f>
        <v>7.3658288574218753</v>
      </c>
      <c r="L158" s="60">
        <f t="shared" ref="L158:L165" si="132">K158*E158</f>
        <v>5.3033967773437496</v>
      </c>
      <c r="N158" s="78">
        <f t="shared" si="127"/>
        <v>0.13080354784669287</v>
      </c>
      <c r="O158" s="77">
        <f t="shared" si="128"/>
        <v>0.6308035478466929</v>
      </c>
      <c r="P158" s="77">
        <f t="shared" si="128"/>
        <v>1</v>
      </c>
      <c r="Q158" s="77">
        <f t="shared" si="128"/>
        <v>1</v>
      </c>
      <c r="R158" s="77"/>
      <c r="S158" s="78">
        <f t="shared" si="129"/>
        <v>0.13080354784669287</v>
      </c>
      <c r="T158" s="77">
        <f t="shared" ref="T158:V158" si="133">S158*T$75</f>
        <v>0.11772319306202358</v>
      </c>
      <c r="U158" s="77">
        <f t="shared" si="133"/>
        <v>0</v>
      </c>
      <c r="V158" s="77">
        <f t="shared" si="133"/>
        <v>0</v>
      </c>
      <c r="W158" s="74"/>
      <c r="Y158" s="74"/>
      <c r="Z158" s="14"/>
      <c r="AE158" s="13"/>
      <c r="AH158" t="str">
        <f t="shared" si="70"/>
        <v>IFBSGAS-E</v>
      </c>
      <c r="AI158" t="str">
        <f t="shared" si="71"/>
        <v>Industry-Food, Beverage &amp; Tabacco-boiler/process heating -  - Existing</v>
      </c>
      <c r="AJ158" s="70" t="s">
        <v>387</v>
      </c>
      <c r="AK158" s="70" t="s">
        <v>610</v>
      </c>
      <c r="AL158" s="70" t="s">
        <v>480</v>
      </c>
      <c r="AM158" s="70" t="s">
        <v>611</v>
      </c>
      <c r="AO158" s="26" t="s">
        <v>476</v>
      </c>
      <c r="AP158" s="70" t="str">
        <f t="shared" ref="AP158:AP165" si="134">A158</f>
        <v>Industry-Food, Beverage &amp; Tabacco-boiler/process heating -  - Existing</v>
      </c>
      <c r="AQ158" s="245" t="s">
        <v>387</v>
      </c>
      <c r="AR158" s="70" t="s">
        <v>631</v>
      </c>
      <c r="AS158" s="70" t="s">
        <v>480</v>
      </c>
      <c r="AV158" s="72" t="s">
        <v>476</v>
      </c>
      <c r="AW158" s="72" t="str">
        <f t="shared" si="73"/>
        <v>*</v>
      </c>
      <c r="AX158" s="254" t="s">
        <v>387</v>
      </c>
      <c r="AY158" s="266">
        <f t="shared" si="74"/>
        <v>338.97013191086643</v>
      </c>
    </row>
    <row r="159" spans="1:51">
      <c r="A159" s="45" t="str">
        <f>A$5&amp;"-"&amp;A$17&amp;"-"&amp;A$70&amp;" - "&amp;VLOOKUP(RIGHT(C159,3),NameConv!$E$4:$G$23,2,FALSE)&amp;" - Existing"</f>
        <v>Industry-Food, Beverage &amp; Tabacco-boiler/process heating -  - Existing</v>
      </c>
      <c r="B159" s="45" t="str">
        <f t="shared" si="124"/>
        <v>IFBSOHF-E</v>
      </c>
      <c r="C159" s="46" t="str">
        <f>+$H$6</f>
        <v>INDOHF</v>
      </c>
      <c r="D159" s="46" t="str">
        <f t="shared" si="125"/>
        <v>IFBS</v>
      </c>
      <c r="E159" s="58">
        <f>Methodology!C42</f>
        <v>0.68</v>
      </c>
      <c r="F159" s="60">
        <f>SUMIF(AFA!$C$3:$L$3,RIGHT(D159,1),AFA!$C$4:$L$4)</f>
        <v>0.15426999999999999</v>
      </c>
      <c r="G159" s="59">
        <v>100</v>
      </c>
      <c r="H159" s="60">
        <f t="shared" si="126"/>
        <v>0</v>
      </c>
      <c r="I159">
        <v>0</v>
      </c>
      <c r="J159" s="61">
        <v>1</v>
      </c>
      <c r="K159" s="60">
        <f>J159*INDEX($C$10:$L$19,MATCH(B145,$B$10:$B$19,0),MATCH($B$6&amp;RIGHT(C159,3),$C$6:$L$6,0))</f>
        <v>0</v>
      </c>
      <c r="L159" s="60">
        <f t="shared" si="132"/>
        <v>0</v>
      </c>
      <c r="N159" s="78">
        <f t="shared" si="127"/>
        <v>0</v>
      </c>
      <c r="O159" s="77">
        <f t="shared" si="128"/>
        <v>0.5</v>
      </c>
      <c r="P159" s="77">
        <f t="shared" si="128"/>
        <v>1</v>
      </c>
      <c r="Q159" s="77">
        <f t="shared" si="128"/>
        <v>1</v>
      </c>
      <c r="R159" s="77"/>
      <c r="S159" s="78">
        <f t="shared" si="129"/>
        <v>0</v>
      </c>
      <c r="T159" s="77">
        <f t="shared" ref="T159:V159" si="135">S159*T$75</f>
        <v>0</v>
      </c>
      <c r="U159" s="77">
        <f t="shared" si="135"/>
        <v>0</v>
      </c>
      <c r="V159" s="77">
        <f t="shared" si="135"/>
        <v>0</v>
      </c>
      <c r="W159" s="74"/>
      <c r="Y159" s="74"/>
      <c r="Z159" s="14"/>
      <c r="AE159" s="13"/>
      <c r="AH159" t="str">
        <f t="shared" si="70"/>
        <v>IFBSOHF-E</v>
      </c>
      <c r="AI159" t="str">
        <f t="shared" si="71"/>
        <v>Industry-Food, Beverage &amp; Tabacco-boiler/process heating -  - Existing</v>
      </c>
      <c r="AJ159" s="70" t="s">
        <v>387</v>
      </c>
      <c r="AK159" s="70" t="s">
        <v>610</v>
      </c>
      <c r="AL159" s="70" t="s">
        <v>480</v>
      </c>
      <c r="AM159" s="70" t="s">
        <v>611</v>
      </c>
      <c r="AO159" s="26" t="s">
        <v>476</v>
      </c>
      <c r="AP159" s="70" t="str">
        <f t="shared" si="134"/>
        <v>Industry-Food, Beverage &amp; Tabacco-boiler/process heating -  - Existing</v>
      </c>
      <c r="AQ159" s="245" t="s">
        <v>387</v>
      </c>
      <c r="AR159" s="70" t="s">
        <v>631</v>
      </c>
      <c r="AS159" s="70" t="s">
        <v>480</v>
      </c>
      <c r="AV159" s="72" t="s">
        <v>476</v>
      </c>
      <c r="AW159" s="72" t="str">
        <f t="shared" si="73"/>
        <v>*</v>
      </c>
      <c r="AX159" s="254" t="s">
        <v>387</v>
      </c>
      <c r="AY159" s="266">
        <f t="shared" si="74"/>
        <v>338.97013191086643</v>
      </c>
    </row>
    <row r="160" spans="1:51">
      <c r="A160" s="45" t="str">
        <f>A$5&amp;"-"&amp;A$17&amp;"-"&amp;A$70&amp;" - "&amp;VLOOKUP(RIGHT(C160,3),NameConv!$E$4:$G$23,2,FALSE)&amp;" - Existing"</f>
        <v>Industry-Food, Beverage &amp; Tabacco-boiler/process heating -  - Existing</v>
      </c>
      <c r="B160" s="45" t="str">
        <f t="shared" si="124"/>
        <v>IFBSOLP-E</v>
      </c>
      <c r="C160" s="46" t="str">
        <f>+$I$6</f>
        <v>INDOLP</v>
      </c>
      <c r="D160" s="46" t="str">
        <f t="shared" si="125"/>
        <v>IFBS</v>
      </c>
      <c r="E160" s="58">
        <f>Methodology!C43</f>
        <v>0.72</v>
      </c>
      <c r="F160" s="60">
        <f>SUMIF(AFA!$C$3:$L$3,RIGHT(D160,1),AFA!$C$4:$L$4)</f>
        <v>0.15426999999999999</v>
      </c>
      <c r="G160" s="59">
        <v>100</v>
      </c>
      <c r="H160" s="60">
        <f t="shared" si="126"/>
        <v>0</v>
      </c>
      <c r="I160">
        <v>0</v>
      </c>
      <c r="J160" s="61">
        <v>1</v>
      </c>
      <c r="K160" s="60">
        <f>J160*INDEX($C$10:$L$19,MATCH(B145,$B$10:$B$19,0),MATCH($B$6&amp;RIGHT(C160,3),$C$6:$L$6,0))</f>
        <v>0</v>
      </c>
      <c r="L160" s="60">
        <f t="shared" si="132"/>
        <v>0</v>
      </c>
      <c r="N160" s="78">
        <f t="shared" si="127"/>
        <v>0</v>
      </c>
      <c r="O160" s="77">
        <f t="shared" si="128"/>
        <v>0.5</v>
      </c>
      <c r="P160" s="77">
        <f t="shared" si="128"/>
        <v>1</v>
      </c>
      <c r="Q160" s="77">
        <f t="shared" si="128"/>
        <v>1</v>
      </c>
      <c r="R160" s="77"/>
      <c r="S160" s="78">
        <f t="shared" si="129"/>
        <v>0</v>
      </c>
      <c r="T160" s="77">
        <f t="shared" ref="T160:V160" si="136">S160*T$75</f>
        <v>0</v>
      </c>
      <c r="U160" s="77">
        <f t="shared" si="136"/>
        <v>0</v>
      </c>
      <c r="V160" s="77">
        <f t="shared" si="136"/>
        <v>0</v>
      </c>
      <c r="W160" s="74"/>
      <c r="Y160" s="74"/>
      <c r="Z160" s="14"/>
      <c r="AE160" s="13"/>
      <c r="AH160" t="str">
        <f t="shared" si="70"/>
        <v>IFBSOLP-E</v>
      </c>
      <c r="AI160" t="str">
        <f t="shared" si="71"/>
        <v>Industry-Food, Beverage &amp; Tabacco-boiler/process heating -  - Existing</v>
      </c>
      <c r="AJ160" s="70" t="s">
        <v>387</v>
      </c>
      <c r="AK160" s="70" t="s">
        <v>610</v>
      </c>
      <c r="AL160" s="70" t="s">
        <v>480</v>
      </c>
      <c r="AM160" s="70" t="s">
        <v>611</v>
      </c>
      <c r="AO160" s="26" t="s">
        <v>476</v>
      </c>
      <c r="AP160" s="70" t="str">
        <f t="shared" si="134"/>
        <v>Industry-Food, Beverage &amp; Tabacco-boiler/process heating -  - Existing</v>
      </c>
      <c r="AQ160" s="245" t="s">
        <v>387</v>
      </c>
      <c r="AR160" s="70" t="s">
        <v>631</v>
      </c>
      <c r="AS160" s="70" t="s">
        <v>480</v>
      </c>
      <c r="AV160" s="72" t="s">
        <v>476</v>
      </c>
      <c r="AW160" s="72" t="str">
        <f t="shared" si="73"/>
        <v>*</v>
      </c>
      <c r="AX160" s="254" t="s">
        <v>387</v>
      </c>
      <c r="AY160" s="266">
        <f t="shared" si="74"/>
        <v>338.97013191086643</v>
      </c>
    </row>
    <row r="161" spans="1:51">
      <c r="A161" s="45" t="str">
        <f>A$5&amp;"-"&amp;A$17&amp;"-"&amp;A$70&amp;" - "&amp;VLOOKUP(RIGHT(C161,3),NameConv!$E$4:$G$23,2,FALSE)&amp;" - Existing"</f>
        <v>Industry-Food, Beverage &amp; Tabacco-boiler/process heating -  - Existing</v>
      </c>
      <c r="B161" s="45" t="str">
        <f t="shared" si="124"/>
        <v>IFBSELC-E</v>
      </c>
      <c r="C161" s="46" t="str">
        <f>$P$16</f>
        <v>IFBELC</v>
      </c>
      <c r="D161" s="46" t="str">
        <f t="shared" si="125"/>
        <v>IFBS</v>
      </c>
      <c r="E161" s="58">
        <f>Methodology!C27</f>
        <v>0.76</v>
      </c>
      <c r="F161" s="60">
        <f>SUMIF(AFA!$C$3:$L$3,RIGHT(D161,1),AFA!$C$4:$L$4)</f>
        <v>0.15426999999999999</v>
      </c>
      <c r="G161" s="59">
        <v>100</v>
      </c>
      <c r="H161" s="60">
        <f t="shared" si="126"/>
        <v>1.4731989369287615</v>
      </c>
      <c r="I161">
        <v>0</v>
      </c>
      <c r="J161" s="61">
        <v>1</v>
      </c>
      <c r="K161" s="60">
        <f>J161*INDEX($C$70:$J$70,MATCH($B145,$C$60:$J$60,0))</f>
        <v>0.29904000000000003</v>
      </c>
      <c r="L161" s="60">
        <f t="shared" si="132"/>
        <v>0.22727040000000001</v>
      </c>
      <c r="N161" s="78">
        <f t="shared" si="127"/>
        <v>5.6054215606750127E-3</v>
      </c>
      <c r="O161" s="77">
        <f t="shared" si="128"/>
        <v>0.50560542156067501</v>
      </c>
      <c r="P161" s="77">
        <f t="shared" si="128"/>
        <v>1</v>
      </c>
      <c r="Q161" s="77">
        <f t="shared" si="128"/>
        <v>1</v>
      </c>
      <c r="R161" s="77"/>
      <c r="S161" s="78">
        <f t="shared" si="129"/>
        <v>5.6054215606750127E-3</v>
      </c>
      <c r="T161" s="77">
        <f t="shared" ref="T161:V161" si="137">S161*T$75</f>
        <v>5.0448794046075119E-3</v>
      </c>
      <c r="U161" s="77">
        <f t="shared" si="137"/>
        <v>0</v>
      </c>
      <c r="V161" s="77">
        <f t="shared" si="137"/>
        <v>0</v>
      </c>
      <c r="W161" s="74"/>
      <c r="Y161" s="74"/>
      <c r="Z161" s="14"/>
      <c r="AE161" s="13"/>
      <c r="AH161" t="str">
        <f t="shared" si="70"/>
        <v>IFBSELC-E</v>
      </c>
      <c r="AI161" t="str">
        <f t="shared" si="71"/>
        <v>Industry-Food, Beverage &amp; Tabacco-boiler/process heating -  - Existing</v>
      </c>
      <c r="AJ161" s="70" t="s">
        <v>387</v>
      </c>
      <c r="AK161" s="70" t="s">
        <v>610</v>
      </c>
      <c r="AL161" s="70" t="s">
        <v>480</v>
      </c>
      <c r="AM161" s="70" t="s">
        <v>611</v>
      </c>
      <c r="AO161" s="26" t="s">
        <v>476</v>
      </c>
      <c r="AP161" s="70" t="str">
        <f t="shared" si="134"/>
        <v>Industry-Food, Beverage &amp; Tabacco-boiler/process heating -  - Existing</v>
      </c>
      <c r="AQ161" s="245" t="s">
        <v>387</v>
      </c>
      <c r="AR161" s="70" t="s">
        <v>631</v>
      </c>
      <c r="AS161" s="70" t="s">
        <v>632</v>
      </c>
      <c r="AV161" s="72" t="s">
        <v>476</v>
      </c>
      <c r="AW161" s="72" t="str">
        <f t="shared" si="73"/>
        <v>*</v>
      </c>
      <c r="AX161" s="254" t="s">
        <v>387</v>
      </c>
      <c r="AY161" s="266">
        <f t="shared" si="74"/>
        <v>338.97013191086643</v>
      </c>
    </row>
    <row r="162" spans="1:51" ht="15">
      <c r="A162" s="45" t="str">
        <f>A$5&amp;"-"&amp;A$17&amp;"-"&amp;A$70&amp;" - "&amp;VLOOKUP(RIGHT(C162,3),NameConv!$E$4:$G$23,2,FALSE)&amp;" - Heat Pump New"</f>
        <v>Industry-Food, Beverage &amp; Tabacco-boiler/process heating -  - Heat Pump New</v>
      </c>
      <c r="B162" s="45" t="str">
        <f>D162&amp;RIGHT(C162,3)&amp;"-N"</f>
        <v>IFBSELC-N</v>
      </c>
      <c r="C162" s="46" t="str">
        <f>$P$16</f>
        <v>IFBELC</v>
      </c>
      <c r="D162" s="46" t="str">
        <f t="shared" si="125"/>
        <v>IFBS</v>
      </c>
      <c r="E162" s="58">
        <f>E120</f>
        <v>3.34</v>
      </c>
      <c r="F162" s="60">
        <f>SUMIF(AFA!$C$3:$L$3,RIGHT(D162,1),AFA!$C$4:$L$4)</f>
        <v>0.15426999999999999</v>
      </c>
      <c r="G162" s="59">
        <v>100</v>
      </c>
      <c r="H162" s="60">
        <v>0</v>
      </c>
      <c r="I162">
        <v>0</v>
      </c>
      <c r="J162" s="61">
        <v>1</v>
      </c>
      <c r="K162" s="60">
        <v>0</v>
      </c>
      <c r="L162" s="60">
        <f>K162*E162</f>
        <v>0</v>
      </c>
      <c r="N162" s="78">
        <f t="shared" si="127"/>
        <v>0</v>
      </c>
      <c r="O162" s="216">
        <v>0.02</v>
      </c>
      <c r="P162" s="216">
        <v>0.6</v>
      </c>
      <c r="Q162" s="216">
        <v>0.6</v>
      </c>
      <c r="R162" s="77"/>
      <c r="S162" s="78">
        <f t="shared" si="129"/>
        <v>0</v>
      </c>
      <c r="T162" s="77">
        <f t="shared" ref="T162:V162" si="138">S162*T$75</f>
        <v>0</v>
      </c>
      <c r="U162" s="77">
        <f t="shared" si="138"/>
        <v>0</v>
      </c>
      <c r="V162" s="77">
        <f t="shared" si="138"/>
        <v>0</v>
      </c>
      <c r="W162" s="74"/>
      <c r="Y162" s="74"/>
      <c r="Z162" s="14"/>
      <c r="AE162" s="13"/>
      <c r="AH162" t="str">
        <f t="shared" si="70"/>
        <v>IFBSELC-N</v>
      </c>
      <c r="AI162" t="str">
        <f t="shared" si="71"/>
        <v>Industry-Food, Beverage &amp; Tabacco-boiler/process heating -  - Heat Pump New</v>
      </c>
      <c r="AJ162" s="70" t="s">
        <v>387</v>
      </c>
      <c r="AK162" s="70" t="s">
        <v>610</v>
      </c>
      <c r="AL162" s="70" t="s">
        <v>480</v>
      </c>
      <c r="AM162" s="70" t="s">
        <v>611</v>
      </c>
      <c r="AO162" s="26" t="s">
        <v>476</v>
      </c>
      <c r="AP162" s="70" t="str">
        <f t="shared" si="134"/>
        <v>Industry-Food, Beverage &amp; Tabacco-boiler/process heating -  - Heat Pump New</v>
      </c>
      <c r="AQ162" s="245" t="s">
        <v>387</v>
      </c>
      <c r="AR162" s="70" t="s">
        <v>631</v>
      </c>
      <c r="AS162" s="70" t="s">
        <v>632</v>
      </c>
      <c r="AV162" s="72" t="s">
        <v>476</v>
      </c>
      <c r="AW162" s="72" t="str">
        <f t="shared" si="73"/>
        <v>*</v>
      </c>
      <c r="AX162" s="254" t="s">
        <v>387</v>
      </c>
      <c r="AY162" s="266">
        <f t="shared" si="74"/>
        <v>338.97013191086643</v>
      </c>
    </row>
    <row r="163" spans="1:51">
      <c r="A163" s="45" t="s">
        <v>471</v>
      </c>
      <c r="B163" s="45" t="str">
        <f>D163&amp;RIGHT(C163,3)&amp;"-N"</f>
        <v>IFBSHGN-N</v>
      </c>
      <c r="C163" s="46" t="s">
        <v>467</v>
      </c>
      <c r="D163" s="46" t="str">
        <f t="shared" si="125"/>
        <v>IFBS</v>
      </c>
      <c r="E163" s="58">
        <f>E121</f>
        <v>0.76</v>
      </c>
      <c r="F163" s="60">
        <f>SUMIF(AFA!$C$3:$L$3,RIGHT(D163,1),AFA!$C$4:$L$4)</f>
        <v>0.15426999999999999</v>
      </c>
      <c r="G163" s="59">
        <v>100</v>
      </c>
      <c r="H163" s="60">
        <v>0</v>
      </c>
      <c r="I163">
        <v>0</v>
      </c>
      <c r="J163" s="61">
        <v>1</v>
      </c>
      <c r="K163" s="60">
        <v>0</v>
      </c>
      <c r="L163" s="60">
        <f>K163*E163</f>
        <v>0</v>
      </c>
      <c r="N163" s="78">
        <f t="shared" si="127"/>
        <v>0</v>
      </c>
      <c r="O163" s="77">
        <f t="shared" ref="O163:Q165" si="139">MIN(1,$N163+O$75)</f>
        <v>0.5</v>
      </c>
      <c r="P163" s="77">
        <f t="shared" si="139"/>
        <v>1</v>
      </c>
      <c r="Q163" s="77">
        <f t="shared" si="139"/>
        <v>1</v>
      </c>
      <c r="R163" s="77"/>
      <c r="S163" s="78">
        <f t="shared" ref="S163:S165" si="140">N163</f>
        <v>0</v>
      </c>
      <c r="T163" s="77">
        <f t="shared" ref="T163:V163" si="141">S163*T$75</f>
        <v>0</v>
      </c>
      <c r="U163" s="77">
        <f t="shared" si="141"/>
        <v>0</v>
      </c>
      <c r="V163" s="77">
        <f t="shared" si="141"/>
        <v>0</v>
      </c>
      <c r="W163" s="74"/>
      <c r="Y163" s="74"/>
      <c r="Z163" s="14"/>
      <c r="AE163" s="13"/>
      <c r="AH163" t="str">
        <f t="shared" si="70"/>
        <v>IFBSHGN-N</v>
      </c>
      <c r="AI163" t="str">
        <f t="shared" si="71"/>
        <v>Industry-Food, Beverage &amp; Tabacco-boiler/process heating - Electricity - Hydrogen New</v>
      </c>
      <c r="AJ163" s="70" t="s">
        <v>387</v>
      </c>
      <c r="AK163" s="70" t="s">
        <v>610</v>
      </c>
      <c r="AL163" s="70" t="s">
        <v>480</v>
      </c>
      <c r="AM163" s="70" t="s">
        <v>611</v>
      </c>
      <c r="AO163" s="26" t="s">
        <v>476</v>
      </c>
      <c r="AP163" s="70" t="str">
        <f t="shared" si="134"/>
        <v>Industry-Food, Beverage &amp; Tabacco-boiler/process heating - Electricity - Hydrogen New</v>
      </c>
      <c r="AQ163" s="245" t="s">
        <v>387</v>
      </c>
      <c r="AR163" s="70" t="s">
        <v>631</v>
      </c>
      <c r="AS163" s="70" t="s">
        <v>480</v>
      </c>
      <c r="AV163" s="72" t="s">
        <v>476</v>
      </c>
      <c r="AW163" s="72" t="str">
        <f t="shared" si="73"/>
        <v>*</v>
      </c>
      <c r="AX163" s="254" t="s">
        <v>387</v>
      </c>
      <c r="AY163" s="266">
        <f t="shared" si="74"/>
        <v>338.97013191086643</v>
      </c>
    </row>
    <row r="164" spans="1:51">
      <c r="A164" s="45" t="str">
        <f>A$5&amp;"-"&amp;A$17&amp;"-"&amp;A$70&amp;" - "&amp;VLOOKUP(RIGHT(C164,3),NameConv!$E$4:$G$23,2,FALSE)&amp;" - Existing"</f>
        <v>Industry-Food, Beverage &amp; Tabacco-boiler/process heating -  - Existing</v>
      </c>
      <c r="B164" s="45" t="str">
        <f t="shared" si="124"/>
        <v>IFBSBIB-E</v>
      </c>
      <c r="C164" s="46" t="str">
        <f>$K$6</f>
        <v>INDBIB</v>
      </c>
      <c r="D164" s="46" t="str">
        <f t="shared" si="125"/>
        <v>IFBS</v>
      </c>
      <c r="E164" s="58">
        <f>Methodology!C45</f>
        <v>0.6</v>
      </c>
      <c r="F164" s="60">
        <f>SUMIF(AFA!$C$3:$L$3,RIGHT(D164,1),AFA!$C$4:$L$4)</f>
        <v>0.15426999999999999</v>
      </c>
      <c r="G164" s="59">
        <v>100</v>
      </c>
      <c r="H164" s="60">
        <f t="shared" si="126"/>
        <v>159.46068581059183</v>
      </c>
      <c r="I164">
        <v>0</v>
      </c>
      <c r="J164" s="61">
        <v>1</v>
      </c>
      <c r="K164" s="60">
        <f>J164*INDEX($C$10:$L$19,MATCH(B145,$B$10:$B$19,0),MATCH($B$6&amp;RIGHT(C164,3),$C$6:$L$6,0))</f>
        <v>41</v>
      </c>
      <c r="L164" s="60">
        <f t="shared" si="132"/>
        <v>24.599999999999998</v>
      </c>
      <c r="N164" s="78">
        <f t="shared" si="127"/>
        <v>0.60673704271478068</v>
      </c>
      <c r="O164" s="77">
        <f t="shared" si="139"/>
        <v>1</v>
      </c>
      <c r="P164" s="77">
        <f t="shared" si="139"/>
        <v>1</v>
      </c>
      <c r="Q164" s="77">
        <f t="shared" si="139"/>
        <v>1</v>
      </c>
      <c r="R164" s="77"/>
      <c r="S164" s="78">
        <f t="shared" si="140"/>
        <v>0.60673704271478068</v>
      </c>
      <c r="T164" s="77">
        <f t="shared" ref="T164:V164" si="142">S164*T$75</f>
        <v>0.54606333844330268</v>
      </c>
      <c r="U164" s="77">
        <f t="shared" si="142"/>
        <v>0</v>
      </c>
      <c r="V164" s="77">
        <f t="shared" si="142"/>
        <v>0</v>
      </c>
      <c r="W164" s="74"/>
      <c r="Y164" s="74"/>
      <c r="Z164" s="14"/>
      <c r="AE164" s="13"/>
      <c r="AH164" t="str">
        <f t="shared" si="70"/>
        <v>IFBSBIB-E</v>
      </c>
      <c r="AI164" t="str">
        <f t="shared" si="71"/>
        <v>Industry-Food, Beverage &amp; Tabacco-boiler/process heating -  - Existing</v>
      </c>
      <c r="AJ164" s="70" t="s">
        <v>387</v>
      </c>
      <c r="AK164" s="70" t="s">
        <v>610</v>
      </c>
      <c r="AL164" s="70" t="s">
        <v>480</v>
      </c>
      <c r="AM164" s="70" t="s">
        <v>611</v>
      </c>
      <c r="AO164" s="26" t="s">
        <v>476</v>
      </c>
      <c r="AP164" s="70" t="str">
        <f t="shared" si="134"/>
        <v>Industry-Food, Beverage &amp; Tabacco-boiler/process heating -  - Existing</v>
      </c>
      <c r="AQ164" s="245" t="s">
        <v>387</v>
      </c>
      <c r="AR164" s="70" t="s">
        <v>631</v>
      </c>
      <c r="AS164" s="70" t="s">
        <v>480</v>
      </c>
      <c r="AV164" s="72" t="s">
        <v>476</v>
      </c>
      <c r="AW164" s="72" t="str">
        <f t="shared" si="73"/>
        <v>*</v>
      </c>
      <c r="AX164" s="254" t="s">
        <v>387</v>
      </c>
      <c r="AY164" s="266">
        <f t="shared" si="74"/>
        <v>338.97013191086643</v>
      </c>
    </row>
    <row r="165" spans="1:51">
      <c r="A165" s="45" t="str">
        <f>A$5&amp;"-"&amp;A$17&amp;"-"&amp;A$70&amp;" - "&amp;VLOOKUP(RIGHT(C165,3),NameConv!$E$4:$G$23,2,FALSE)&amp;" - Existing"</f>
        <v>Industry-Food, Beverage &amp; Tabacco-boiler/process heating -  - Existing</v>
      </c>
      <c r="B165" s="45" t="str">
        <f t="shared" si="124"/>
        <v>IFBSWAS-E</v>
      </c>
      <c r="C165" s="46" t="str">
        <f>$L$6</f>
        <v>INDWAS</v>
      </c>
      <c r="D165" s="46" t="str">
        <f t="shared" si="125"/>
        <v>IFBS</v>
      </c>
      <c r="E165" s="58">
        <f>Methodology!C46</f>
        <v>0.6</v>
      </c>
      <c r="F165" s="60">
        <f>SUMIF(AFA!$C$3:$L$3,RIGHT(D165,1),AFA!$C$4:$L$4)</f>
        <v>0.15426999999999999</v>
      </c>
      <c r="G165" s="59">
        <v>100</v>
      </c>
      <c r="H165" s="60">
        <f t="shared" si="126"/>
        <v>0</v>
      </c>
      <c r="I165">
        <v>0</v>
      </c>
      <c r="J165" s="61">
        <v>1</v>
      </c>
      <c r="K165" s="60">
        <f>J165*INDEX($C$10:$L$19,MATCH(B145,$B$10:$B$19,0),MATCH($B$6&amp;RIGHT(C165,3),$C$6:$L$6,0))</f>
        <v>0</v>
      </c>
      <c r="L165" s="60">
        <f t="shared" si="132"/>
        <v>0</v>
      </c>
      <c r="N165" s="78">
        <f t="shared" si="127"/>
        <v>0</v>
      </c>
      <c r="O165" s="77">
        <f t="shared" si="139"/>
        <v>0.5</v>
      </c>
      <c r="P165" s="77">
        <f t="shared" si="139"/>
        <v>1</v>
      </c>
      <c r="Q165" s="77">
        <f t="shared" si="139"/>
        <v>1</v>
      </c>
      <c r="R165" s="77"/>
      <c r="S165" s="78">
        <f t="shared" si="140"/>
        <v>0</v>
      </c>
      <c r="T165" s="77">
        <f t="shared" ref="T165:V165" si="143">S165*T$75</f>
        <v>0</v>
      </c>
      <c r="U165" s="77">
        <f t="shared" si="143"/>
        <v>0</v>
      </c>
      <c r="V165" s="77">
        <f t="shared" si="143"/>
        <v>0</v>
      </c>
      <c r="W165" s="74"/>
      <c r="Y165" s="74"/>
      <c r="Z165" s="14"/>
      <c r="AE165" s="13"/>
      <c r="AH165" t="str">
        <f t="shared" si="70"/>
        <v>IFBSWAS-E</v>
      </c>
      <c r="AI165" t="str">
        <f t="shared" si="71"/>
        <v>Industry-Food, Beverage &amp; Tabacco-boiler/process heating -  - Existing</v>
      </c>
      <c r="AJ165" s="70" t="s">
        <v>387</v>
      </c>
      <c r="AK165" s="70" t="s">
        <v>610</v>
      </c>
      <c r="AL165" s="70" t="s">
        <v>480</v>
      </c>
      <c r="AM165" s="70" t="s">
        <v>611</v>
      </c>
      <c r="AO165" s="26" t="s">
        <v>476</v>
      </c>
      <c r="AP165" s="70" t="str">
        <f t="shared" si="134"/>
        <v>Industry-Food, Beverage &amp; Tabacco-boiler/process heating -  - Existing</v>
      </c>
      <c r="AQ165" s="245" t="s">
        <v>387</v>
      </c>
      <c r="AR165" s="70" t="s">
        <v>631</v>
      </c>
      <c r="AS165" s="70" t="s">
        <v>480</v>
      </c>
      <c r="AV165" s="72" t="s">
        <v>476</v>
      </c>
      <c r="AW165" s="72" t="str">
        <f t="shared" si="73"/>
        <v>*</v>
      </c>
      <c r="AX165" s="254" t="s">
        <v>387</v>
      </c>
      <c r="AY165" s="266">
        <f t="shared" si="74"/>
        <v>338.97013191086643</v>
      </c>
    </row>
    <row r="166" spans="1:51" ht="51.95" customHeight="1" thickBot="1">
      <c r="A166" s="244" t="s">
        <v>838</v>
      </c>
      <c r="B166" s="252"/>
      <c r="C166" s="252"/>
      <c r="D166" s="252"/>
      <c r="E166" s="252"/>
      <c r="F166" s="252"/>
      <c r="G166" s="252"/>
      <c r="H166" s="252"/>
      <c r="J166" s="252"/>
      <c r="K166" s="252"/>
      <c r="L166" s="252"/>
      <c r="N166" s="74" t="str">
        <f>""</f>
        <v/>
      </c>
      <c r="S166" s="78"/>
      <c r="T166" s="74"/>
      <c r="U166" s="74"/>
      <c r="V166" s="74"/>
      <c r="W166" s="74"/>
      <c r="Y166" s="74"/>
      <c r="Z166" s="14"/>
      <c r="AE166" s="13"/>
      <c r="AH166" s="26" t="s">
        <v>476</v>
      </c>
      <c r="AJ166" s="70"/>
      <c r="AK166" s="70"/>
      <c r="AL166" s="70"/>
      <c r="AM166" s="70"/>
      <c r="AO166" s="26" t="s">
        <v>476</v>
      </c>
      <c r="AV166" s="72" t="s">
        <v>476</v>
      </c>
      <c r="AW166" s="72" t="str">
        <f t="shared" si="73"/>
        <v>*</v>
      </c>
      <c r="AX166" s="254" t="s">
        <v>387</v>
      </c>
      <c r="AY166" s="266">
        <f t="shared" si="74"/>
        <v>338.97013191086643</v>
      </c>
    </row>
    <row r="167" spans="1:51">
      <c r="A167" s="12" t="s">
        <v>476</v>
      </c>
      <c r="B167" s="69" t="str">
        <f>+B19</f>
        <v>OT</v>
      </c>
      <c r="C167" s="54"/>
      <c r="D167" s="54"/>
      <c r="E167" s="55" t="s">
        <v>458</v>
      </c>
      <c r="F167" s="55" t="s">
        <v>459</v>
      </c>
      <c r="G167" s="30" t="s">
        <v>460</v>
      </c>
      <c r="H167" s="31" t="s">
        <v>461</v>
      </c>
      <c r="J167" s="30" t="s">
        <v>462</v>
      </c>
      <c r="K167" s="30" t="s">
        <v>463</v>
      </c>
      <c r="L167" s="30" t="s">
        <v>463</v>
      </c>
      <c r="N167" s="74" t="str">
        <f>""</f>
        <v/>
      </c>
      <c r="S167" s="78"/>
      <c r="T167" s="74"/>
      <c r="U167" s="74"/>
      <c r="V167" s="74"/>
      <c r="W167" s="74"/>
      <c r="Y167" s="74"/>
      <c r="Z167" s="14"/>
      <c r="AE167" s="13"/>
      <c r="AH167" s="26" t="s">
        <v>476</v>
      </c>
      <c r="AJ167" s="70"/>
      <c r="AK167" s="70"/>
      <c r="AL167" s="70"/>
      <c r="AM167" s="70"/>
      <c r="AO167" s="26" t="s">
        <v>476</v>
      </c>
      <c r="AV167" s="72" t="s">
        <v>476</v>
      </c>
      <c r="AW167" s="72" t="str">
        <f t="shared" si="73"/>
        <v>*</v>
      </c>
      <c r="AX167" s="254" t="s">
        <v>387</v>
      </c>
      <c r="AY167" s="266">
        <f t="shared" si="74"/>
        <v>338.97013191086643</v>
      </c>
    </row>
    <row r="168" spans="1:51">
      <c r="A168" s="12" t="s">
        <v>476</v>
      </c>
      <c r="B168" s="45"/>
      <c r="C168" s="56">
        <v>1</v>
      </c>
      <c r="D168" s="56">
        <f>C168+1</f>
        <v>2</v>
      </c>
      <c r="E168" s="56">
        <f>D168+1</f>
        <v>3</v>
      </c>
      <c r="F168" s="56">
        <f>E168+1</f>
        <v>4</v>
      </c>
      <c r="G168" s="56">
        <f>F168+1</f>
        <v>5</v>
      </c>
      <c r="H168" s="56">
        <f>G168+1</f>
        <v>6</v>
      </c>
      <c r="J168" s="57"/>
      <c r="K168" s="43"/>
      <c r="L168" s="43"/>
      <c r="N168" s="74" t="str">
        <f>""</f>
        <v/>
      </c>
      <c r="S168" s="78"/>
      <c r="T168" s="74"/>
      <c r="U168" s="74"/>
      <c r="V168" s="74"/>
      <c r="W168" s="74"/>
      <c r="Y168" s="74"/>
      <c r="Z168" s="14"/>
      <c r="AE168" s="13"/>
      <c r="AH168" s="26" t="s">
        <v>476</v>
      </c>
      <c r="AJ168" s="70"/>
      <c r="AK168" s="70"/>
      <c r="AL168" s="70"/>
      <c r="AM168" s="70"/>
      <c r="AO168" s="26" t="s">
        <v>476</v>
      </c>
      <c r="AV168" s="72" t="s">
        <v>476</v>
      </c>
      <c r="AW168" s="72" t="str">
        <f t="shared" si="73"/>
        <v>*</v>
      </c>
      <c r="AX168" s="254" t="s">
        <v>387</v>
      </c>
      <c r="AY168" s="266">
        <f t="shared" si="74"/>
        <v>338.97013191086643</v>
      </c>
    </row>
    <row r="169" spans="1:51">
      <c r="A169" s="45" t="str">
        <f t="shared" ref="A169:A177" si="144">A$5&amp;"-"&amp;A$19&amp;"-"&amp;A31&amp;" - Electricity"</f>
        <v>Industry-Other-Elec Heating - Electricity</v>
      </c>
      <c r="B169" s="45" t="str">
        <f>D169&amp;RIGHT(C169,3)&amp;"-E"</f>
        <v>IOTKELC-E</v>
      </c>
      <c r="C169" s="46" t="str">
        <f t="shared" ref="C169:C177" si="145">$P$18</f>
        <v>IOTELC</v>
      </c>
      <c r="D169" s="46" t="str">
        <f>$B$5&amp;RIGHT($B167,2)&amp;$B$61</f>
        <v>IOTK</v>
      </c>
      <c r="E169" s="58">
        <f>Methodology!C28</f>
        <v>1</v>
      </c>
      <c r="F169" s="60">
        <f>SUMIF(AFA!$C$3:$L$3,RIGHT(D169,1),AFA!$C$4:$L$4)</f>
        <v>0.11433</v>
      </c>
      <c r="G169" s="59">
        <v>100</v>
      </c>
      <c r="H169" s="60">
        <f>L169/F169</f>
        <v>19.082235633691948</v>
      </c>
      <c r="I169">
        <v>0</v>
      </c>
      <c r="J169" s="61">
        <v>1</v>
      </c>
      <c r="K169" s="60">
        <f t="shared" ref="K169:K177" si="146">J169*SUMIF($C$60:$K$60,$B$167,$C61:$K61)</f>
        <v>2.1816720000000003</v>
      </c>
      <c r="L169" s="60">
        <f>K169*E169</f>
        <v>2.1816720000000003</v>
      </c>
      <c r="N169" s="74" t="str">
        <f>""</f>
        <v/>
      </c>
      <c r="S169" s="78"/>
      <c r="T169" s="74"/>
      <c r="U169" s="74"/>
      <c r="V169" s="74"/>
      <c r="W169" s="74"/>
      <c r="Y169" s="74"/>
      <c r="Z169" s="14"/>
      <c r="AE169" s="13"/>
      <c r="AH169" t="str">
        <f t="shared" ref="AH169:AH188" si="147">B169</f>
        <v>IOTKELC-E</v>
      </c>
      <c r="AI169" t="str">
        <f t="shared" ref="AI169:AI188" si="148">A169</f>
        <v>Industry-Other-Elec Heating - Electricity</v>
      </c>
      <c r="AJ169" s="70" t="s">
        <v>387</v>
      </c>
      <c r="AK169" s="70" t="s">
        <v>610</v>
      </c>
      <c r="AL169" s="70" t="s">
        <v>480</v>
      </c>
      <c r="AM169" s="70" t="s">
        <v>611</v>
      </c>
      <c r="AO169" s="70" t="str">
        <f t="shared" ref="AO169:AO177" si="149">D169</f>
        <v>IOTK</v>
      </c>
      <c r="AP169" s="70" t="str">
        <f>"Industry - "&amp;VLOOKUP(RIGHT(LEFT(AO169,3),2),NameConv!$E$21:$F$301,2,FALSE)&amp;" - " &amp;VLOOKUP(RIGHT(AO169,1),NameConv!$D$42:$E$53,2,FALSE)</f>
        <v>Industry - Other - Elec Heating</v>
      </c>
      <c r="AQ169" s="245" t="s">
        <v>387</v>
      </c>
      <c r="AR169" s="70" t="s">
        <v>631</v>
      </c>
      <c r="AS169" s="70" t="s">
        <v>632</v>
      </c>
      <c r="AV169" s="254" t="s">
        <v>401</v>
      </c>
      <c r="AW169" s="72" t="str">
        <f t="shared" ref="AW169:AW188" si="150">AO169</f>
        <v>IOTK</v>
      </c>
      <c r="AX169" s="254" t="s">
        <v>387</v>
      </c>
      <c r="AY169" s="266">
        <f t="shared" ref="AY169:AY188" si="151">SUMIFS($L$81:$L$188,$D$81:$D$188,$AW169)</f>
        <v>2.1816720000000003</v>
      </c>
    </row>
    <row r="170" spans="1:51">
      <c r="A170" s="45" t="str">
        <f t="shared" si="144"/>
        <v>Industry-Other-Compressed air - Electricity</v>
      </c>
      <c r="B170" s="45" t="str">
        <f>D170&amp;RIGHT(C170,3)&amp;"-E"</f>
        <v>IOTAELC-E</v>
      </c>
      <c r="C170" s="46" t="str">
        <f t="shared" si="145"/>
        <v>IOTELC</v>
      </c>
      <c r="D170" s="46" t="str">
        <f>$B$5&amp;RIGHT($B167,2)&amp;$B$62</f>
        <v>IOTA</v>
      </c>
      <c r="E170" s="58">
        <f>Methodology!C29</f>
        <v>0.05</v>
      </c>
      <c r="F170" s="60">
        <f>SUMIF(AFA!$C$3:$L$3,RIGHT(D170,1),AFA!$C$4:$L$4)</f>
        <v>0.11584999999999999</v>
      </c>
      <c r="G170" s="59">
        <v>100</v>
      </c>
      <c r="H170" s="60">
        <f t="shared" ref="H170:H176" si="152">L170/F170</f>
        <v>1.0664887354337507</v>
      </c>
      <c r="I170">
        <v>0</v>
      </c>
      <c r="J170" s="61">
        <v>1</v>
      </c>
      <c r="K170" s="60">
        <f t="shared" si="146"/>
        <v>2.4710543999999999</v>
      </c>
      <c r="L170" s="60">
        <f t="shared" ref="L170:L177" si="153">K170*E170</f>
        <v>0.12355272</v>
      </c>
      <c r="N170" s="74" t="str">
        <f>""</f>
        <v/>
      </c>
      <c r="S170" s="78"/>
      <c r="T170" s="74"/>
      <c r="U170" s="74"/>
      <c r="V170" s="74"/>
      <c r="W170" s="74"/>
      <c r="Y170" s="74"/>
      <c r="Z170" s="14"/>
      <c r="AE170" s="13"/>
      <c r="AH170" t="str">
        <f t="shared" si="147"/>
        <v>IOTAELC-E</v>
      </c>
      <c r="AI170" t="str">
        <f t="shared" si="148"/>
        <v>Industry-Other-Compressed air - Electricity</v>
      </c>
      <c r="AJ170" s="70" t="s">
        <v>387</v>
      </c>
      <c r="AK170" s="70" t="s">
        <v>610</v>
      </c>
      <c r="AL170" s="70" t="s">
        <v>480</v>
      </c>
      <c r="AM170" s="70" t="s">
        <v>611</v>
      </c>
      <c r="AO170" s="70" t="str">
        <f t="shared" si="149"/>
        <v>IOTA</v>
      </c>
      <c r="AP170" s="70" t="str">
        <f>"Industry - "&amp;VLOOKUP(RIGHT(LEFT(AO170,3),2),NameConv!$E$21:$F$301,2,FALSE)&amp;" - " &amp;VLOOKUP(RIGHT(AO170,1),NameConv!$D$42:$E$53,2,FALSE)</f>
        <v>Industry - Other - Compressed air</v>
      </c>
      <c r="AQ170" s="245" t="s">
        <v>387</v>
      </c>
      <c r="AR170" s="70" t="s">
        <v>631</v>
      </c>
      <c r="AS170" s="70" t="s">
        <v>632</v>
      </c>
      <c r="AV170" s="254" t="s">
        <v>401</v>
      </c>
      <c r="AW170" s="72" t="str">
        <f t="shared" si="150"/>
        <v>IOTA</v>
      </c>
      <c r="AX170" s="254" t="s">
        <v>387</v>
      </c>
      <c r="AY170" s="266">
        <f t="shared" si="151"/>
        <v>0.12355272</v>
      </c>
    </row>
    <row r="171" spans="1:51">
      <c r="A171" s="45" t="str">
        <f t="shared" si="144"/>
        <v>Industry-Other-Lighting - Electricity</v>
      </c>
      <c r="B171" s="45" t="str">
        <f t="shared" ref="B171:B177" si="154">D171&amp;RIGHT(C171,3)&amp;"-E"</f>
        <v>IOTLELC-E</v>
      </c>
      <c r="C171" s="46" t="str">
        <f t="shared" si="145"/>
        <v>IOTELC</v>
      </c>
      <c r="D171" s="46" t="str">
        <f>$B$5&amp;RIGHT($B167,2)&amp;$B$63</f>
        <v>IOTL</v>
      </c>
      <c r="E171" s="58">
        <f>Methodology!C30</f>
        <v>0.3</v>
      </c>
      <c r="F171" s="60">
        <f>SUMIF(AFA!$C$3:$L$3,RIGHT(D171,1),AFA!$C$4:$L$4)</f>
        <v>0.12454999999999999</v>
      </c>
      <c r="G171" s="59">
        <v>100</v>
      </c>
      <c r="H171" s="60">
        <f t="shared" si="152"/>
        <v>4.3945377759935766</v>
      </c>
      <c r="I171">
        <v>0</v>
      </c>
      <c r="J171" s="61">
        <v>1</v>
      </c>
      <c r="K171" s="60">
        <f t="shared" si="146"/>
        <v>1.8244656000000001</v>
      </c>
      <c r="L171" s="60">
        <f t="shared" si="153"/>
        <v>0.54733968</v>
      </c>
      <c r="N171" s="74" t="str">
        <f>""</f>
        <v/>
      </c>
      <c r="S171" s="78"/>
      <c r="T171" s="74"/>
      <c r="U171" s="74"/>
      <c r="V171" s="74"/>
      <c r="W171" s="74"/>
      <c r="Y171" s="74"/>
      <c r="Z171" s="263">
        <f>'PAMS central control panel'!C63</f>
        <v>0</v>
      </c>
      <c r="AA171" s="4">
        <f>'PAMS central control panel'!D63</f>
        <v>0.17499999999999999</v>
      </c>
      <c r="AB171" s="4">
        <f>'PAMS central control panel'!E63</f>
        <v>0.35</v>
      </c>
      <c r="AC171" s="4">
        <f>'PAMS central control panel'!F63</f>
        <v>0.35</v>
      </c>
      <c r="AD171" s="4">
        <f>'PAMS central control panel'!G63</f>
        <v>0.35</v>
      </c>
      <c r="AE171" s="264">
        <f>'PAMS central control panel'!H63</f>
        <v>0.35</v>
      </c>
      <c r="AH171" t="str">
        <f t="shared" si="147"/>
        <v>IOTLELC-E</v>
      </c>
      <c r="AI171" t="str">
        <f t="shared" si="148"/>
        <v>Industry-Other-Lighting - Electricity</v>
      </c>
      <c r="AJ171" s="70" t="s">
        <v>387</v>
      </c>
      <c r="AK171" s="70" t="s">
        <v>610</v>
      </c>
      <c r="AL171" s="70" t="s">
        <v>480</v>
      </c>
      <c r="AM171" s="70" t="s">
        <v>611</v>
      </c>
      <c r="AO171" s="70" t="str">
        <f t="shared" si="149"/>
        <v>IOTL</v>
      </c>
      <c r="AP171" s="70" t="str">
        <f>"Industry - "&amp;VLOOKUP(RIGHT(LEFT(AO171,3),2),NameConv!$E$21:$F$301,2,FALSE)&amp;" - " &amp;VLOOKUP(RIGHT(AO171,1),NameConv!$D$42:$E$53,2,FALSE)</f>
        <v>Industry - Other - Lighting</v>
      </c>
      <c r="AQ171" s="245" t="s">
        <v>387</v>
      </c>
      <c r="AR171" s="70" t="s">
        <v>631</v>
      </c>
      <c r="AS171" s="70" t="s">
        <v>632</v>
      </c>
      <c r="AV171" s="254" t="s">
        <v>401</v>
      </c>
      <c r="AW171" s="72" t="str">
        <f t="shared" si="150"/>
        <v>IOTL</v>
      </c>
      <c r="AX171" s="254" t="s">
        <v>387</v>
      </c>
      <c r="AY171" s="266">
        <f t="shared" si="151"/>
        <v>0.54733968</v>
      </c>
    </row>
    <row r="172" spans="1:51">
      <c r="A172" s="45" t="str">
        <f t="shared" si="144"/>
        <v>Industry-Other-Cooling - Electricity</v>
      </c>
      <c r="B172" s="45" t="str">
        <f t="shared" si="154"/>
        <v>IOTCELC-E</v>
      </c>
      <c r="C172" s="46" t="str">
        <f t="shared" si="145"/>
        <v>IOTELC</v>
      </c>
      <c r="D172" s="46" t="str">
        <f>$B$5&amp;RIGHT($B167,2)&amp;$B$64</f>
        <v>IOTC</v>
      </c>
      <c r="E172" s="58">
        <f>Methodology!C31</f>
        <v>2</v>
      </c>
      <c r="F172" s="60">
        <f>SUMIF(AFA!$C$3:$L$3,RIGHT(D172,1),AFA!$C$4:$L$4)</f>
        <v>0.12956000000000001</v>
      </c>
      <c r="G172" s="59">
        <v>100</v>
      </c>
      <c r="H172" s="60">
        <f t="shared" si="152"/>
        <v>17.938425439950606</v>
      </c>
      <c r="I172">
        <v>0</v>
      </c>
      <c r="J172" s="61">
        <v>1</v>
      </c>
      <c r="K172" s="60">
        <f t="shared" si="146"/>
        <v>1.1620512000000003</v>
      </c>
      <c r="L172" s="60">
        <f t="shared" si="153"/>
        <v>2.3241024000000006</v>
      </c>
      <c r="N172" s="74" t="str">
        <f>""</f>
        <v/>
      </c>
      <c r="S172" s="78"/>
      <c r="T172" s="74"/>
      <c r="U172" s="74"/>
      <c r="V172" s="74"/>
      <c r="W172" s="74"/>
      <c r="Y172" s="74"/>
      <c r="Z172" s="263">
        <f>'PAMS central control panel'!C64</f>
        <v>0</v>
      </c>
      <c r="AA172" s="4">
        <f>'PAMS central control panel'!D64</f>
        <v>0.17499999999999999</v>
      </c>
      <c r="AB172" s="4">
        <f>'PAMS central control panel'!E64</f>
        <v>0.35</v>
      </c>
      <c r="AC172" s="4">
        <f>'PAMS central control panel'!F64</f>
        <v>0.35</v>
      </c>
      <c r="AD172" s="4">
        <f>'PAMS central control panel'!G64</f>
        <v>0.35</v>
      </c>
      <c r="AE172" s="264">
        <f>'PAMS central control panel'!H64</f>
        <v>0.35</v>
      </c>
      <c r="AH172" t="str">
        <f t="shared" si="147"/>
        <v>IOTCELC-E</v>
      </c>
      <c r="AI172" t="str">
        <f t="shared" si="148"/>
        <v>Industry-Other-Cooling - Electricity</v>
      </c>
      <c r="AJ172" s="70" t="s">
        <v>387</v>
      </c>
      <c r="AK172" s="70" t="s">
        <v>610</v>
      </c>
      <c r="AL172" s="70" t="s">
        <v>480</v>
      </c>
      <c r="AM172" s="70" t="s">
        <v>611</v>
      </c>
      <c r="AO172" s="70" t="str">
        <f t="shared" si="149"/>
        <v>IOTC</v>
      </c>
      <c r="AP172" s="70" t="str">
        <f>"Industry - "&amp;VLOOKUP(RIGHT(LEFT(AO172,3),2),NameConv!$E$21:$F$301,2,FALSE)&amp;" - " &amp;VLOOKUP(RIGHT(AO172,1),NameConv!$D$42:$E$53,2,FALSE)</f>
        <v>Industry - Other - Cooling</v>
      </c>
      <c r="AQ172" s="245" t="s">
        <v>387</v>
      </c>
      <c r="AR172" s="70" t="s">
        <v>631</v>
      </c>
      <c r="AS172" s="70" t="s">
        <v>632</v>
      </c>
      <c r="AV172" s="254" t="s">
        <v>401</v>
      </c>
      <c r="AW172" s="72" t="str">
        <f t="shared" si="150"/>
        <v>IOTC</v>
      </c>
      <c r="AX172" s="254" t="s">
        <v>387</v>
      </c>
      <c r="AY172" s="266">
        <f t="shared" si="151"/>
        <v>2.3241024000000006</v>
      </c>
    </row>
    <row r="173" spans="1:51">
      <c r="A173" s="45" t="str">
        <f t="shared" si="144"/>
        <v>Industry-Other-HVAC - Electricity</v>
      </c>
      <c r="B173" s="45" t="str">
        <f t="shared" si="154"/>
        <v>IOTHELC-E</v>
      </c>
      <c r="C173" s="46" t="str">
        <f t="shared" si="145"/>
        <v>IOTELC</v>
      </c>
      <c r="D173" s="46" t="str">
        <f>$B$5&amp;RIGHT($B167,2)&amp;$B$65</f>
        <v>IOTH</v>
      </c>
      <c r="E173" s="58">
        <f>Methodology!C32</f>
        <v>0.9</v>
      </c>
      <c r="F173" s="60">
        <f>SUMIF(AFA!$C$3:$L$3,RIGHT(D173,1),AFA!$C$4:$L$4)</f>
        <v>0.13161</v>
      </c>
      <c r="G173" s="59">
        <v>100</v>
      </c>
      <c r="H173" s="60">
        <f t="shared" si="152"/>
        <v>13.125729655801232</v>
      </c>
      <c r="I173">
        <v>0</v>
      </c>
      <c r="J173" s="61">
        <v>1</v>
      </c>
      <c r="K173" s="60">
        <f t="shared" si="146"/>
        <v>1.9194192000000001</v>
      </c>
      <c r="L173" s="60">
        <f t="shared" si="153"/>
        <v>1.7274772800000002</v>
      </c>
      <c r="N173" s="74" t="str">
        <f>""</f>
        <v/>
      </c>
      <c r="S173" s="78"/>
      <c r="T173" s="74"/>
      <c r="U173" s="74"/>
      <c r="V173" s="74"/>
      <c r="W173" s="74"/>
      <c r="Y173" s="74"/>
      <c r="Z173" s="263">
        <f>'PAMS central control panel'!C65</f>
        <v>0</v>
      </c>
      <c r="AA173" s="4">
        <f>'PAMS central control panel'!D65</f>
        <v>0.17499999999999999</v>
      </c>
      <c r="AB173" s="4">
        <f>'PAMS central control panel'!E65</f>
        <v>0.35</v>
      </c>
      <c r="AC173" s="4">
        <f>'PAMS central control panel'!F65</f>
        <v>0.35</v>
      </c>
      <c r="AD173" s="4">
        <f>'PAMS central control panel'!G65</f>
        <v>0.35</v>
      </c>
      <c r="AE173" s="264">
        <f>'PAMS central control panel'!H65</f>
        <v>0.35</v>
      </c>
      <c r="AH173" t="str">
        <f t="shared" si="147"/>
        <v>IOTHELC-E</v>
      </c>
      <c r="AI173" t="str">
        <f t="shared" si="148"/>
        <v>Industry-Other-HVAC - Electricity</v>
      </c>
      <c r="AJ173" s="70" t="s">
        <v>387</v>
      </c>
      <c r="AK173" s="70" t="s">
        <v>610</v>
      </c>
      <c r="AL173" s="70" t="s">
        <v>480</v>
      </c>
      <c r="AM173" s="70" t="s">
        <v>611</v>
      </c>
      <c r="AO173" s="70" t="str">
        <f t="shared" si="149"/>
        <v>IOTH</v>
      </c>
      <c r="AP173" s="70" t="str">
        <f>"Industry - "&amp;VLOOKUP(RIGHT(LEFT(AO173,3),2),NameConv!$E$21:$F$301,2,FALSE)&amp;" - " &amp;VLOOKUP(RIGHT(AO173,1),NameConv!$D$42:$E$53,2,FALSE)</f>
        <v>Industry - Other - HVAC</v>
      </c>
      <c r="AQ173" s="245" t="s">
        <v>387</v>
      </c>
      <c r="AR173" s="70" t="s">
        <v>631</v>
      </c>
      <c r="AS173" s="70" t="s">
        <v>632</v>
      </c>
      <c r="AV173" s="254" t="s">
        <v>401</v>
      </c>
      <c r="AW173" s="72" t="str">
        <f t="shared" si="150"/>
        <v>IOTH</v>
      </c>
      <c r="AX173" s="254" t="s">
        <v>387</v>
      </c>
      <c r="AY173" s="266">
        <f t="shared" si="151"/>
        <v>1.7274772800000002</v>
      </c>
    </row>
    <row r="174" spans="1:51">
      <c r="A174" s="45" t="str">
        <f t="shared" si="144"/>
        <v>Industry-Other-Pumping - Electricity</v>
      </c>
      <c r="B174" s="45" t="str">
        <f t="shared" si="154"/>
        <v>IOTPELC-E</v>
      </c>
      <c r="C174" s="46" t="str">
        <f t="shared" si="145"/>
        <v>IOTELC</v>
      </c>
      <c r="D174" s="46" t="str">
        <f>$B$5&amp;RIGHT($B167,2)&amp;$B$66</f>
        <v>IOTP</v>
      </c>
      <c r="E174" s="58">
        <f>Methodology!C33</f>
        <v>0.8</v>
      </c>
      <c r="F174" s="60">
        <f>SUMIF(AFA!$C$3:$L$3,RIGHT(D174,1),AFA!$C$4:$L$4)</f>
        <v>0.12116</v>
      </c>
      <c r="G174" s="59">
        <v>100</v>
      </c>
      <c r="H174" s="60">
        <f t="shared" si="152"/>
        <v>19.406008583690991</v>
      </c>
      <c r="I174">
        <v>0</v>
      </c>
      <c r="J174" s="61">
        <v>1</v>
      </c>
      <c r="K174" s="60">
        <f t="shared" si="146"/>
        <v>2.9390400000000003</v>
      </c>
      <c r="L174" s="60">
        <f t="shared" si="153"/>
        <v>2.3512320000000004</v>
      </c>
      <c r="N174" s="74" t="str">
        <f>""</f>
        <v/>
      </c>
      <c r="S174" s="78"/>
      <c r="T174" s="74"/>
      <c r="U174" s="74"/>
      <c r="V174" s="74"/>
      <c r="W174" s="74"/>
      <c r="Y174" s="74"/>
      <c r="Z174" s="263">
        <f>'PAMS central control panel'!C66</f>
        <v>0</v>
      </c>
      <c r="AA174" s="4">
        <f>'PAMS central control panel'!D66</f>
        <v>0.17499999999999999</v>
      </c>
      <c r="AB174" s="4">
        <f>'PAMS central control panel'!E66</f>
        <v>0.35</v>
      </c>
      <c r="AC174" s="4">
        <f>'PAMS central control panel'!F66</f>
        <v>0.35</v>
      </c>
      <c r="AD174" s="4">
        <f>'PAMS central control panel'!G66</f>
        <v>0.35</v>
      </c>
      <c r="AE174" s="264">
        <f>'PAMS central control panel'!H66</f>
        <v>0.35</v>
      </c>
      <c r="AH174" t="str">
        <f t="shared" si="147"/>
        <v>IOTPELC-E</v>
      </c>
      <c r="AI174" t="str">
        <f t="shared" si="148"/>
        <v>Industry-Other-Pumping - Electricity</v>
      </c>
      <c r="AJ174" s="70" t="s">
        <v>387</v>
      </c>
      <c r="AK174" s="70" t="s">
        <v>610</v>
      </c>
      <c r="AL174" s="70" t="s">
        <v>480</v>
      </c>
      <c r="AM174" s="70" t="s">
        <v>611</v>
      </c>
      <c r="AO174" s="70" t="str">
        <f t="shared" si="149"/>
        <v>IOTP</v>
      </c>
      <c r="AP174" s="70" t="str">
        <f>"Industry - "&amp;VLOOKUP(RIGHT(LEFT(AO174,3),2),NameConv!$E$21:$F$301,2,FALSE)&amp;" - " &amp;VLOOKUP(RIGHT(AO174,1),NameConv!$D$42:$E$53,2,FALSE)</f>
        <v>Industry - Other - Pumping</v>
      </c>
      <c r="AQ174" s="245" t="s">
        <v>387</v>
      </c>
      <c r="AR174" s="70" t="s">
        <v>631</v>
      </c>
      <c r="AS174" s="70" t="s">
        <v>632</v>
      </c>
      <c r="AV174" s="254" t="s">
        <v>401</v>
      </c>
      <c r="AW174" s="72" t="str">
        <f t="shared" si="150"/>
        <v>IOTP</v>
      </c>
      <c r="AX174" s="254" t="s">
        <v>387</v>
      </c>
      <c r="AY174" s="266">
        <f t="shared" si="151"/>
        <v>2.3512320000000004</v>
      </c>
    </row>
    <row r="175" spans="1:51">
      <c r="A175" s="45" t="str">
        <f t="shared" si="144"/>
        <v>Industry-Other-Fans - Electricity</v>
      </c>
      <c r="B175" s="45" t="str">
        <f t="shared" si="154"/>
        <v>IOTFELC-E</v>
      </c>
      <c r="C175" s="46" t="str">
        <f t="shared" si="145"/>
        <v>IOTELC</v>
      </c>
      <c r="D175" s="46" t="str">
        <f>$B$5&amp;RIGHT($B167,2)&amp;$B$67</f>
        <v>IOTF</v>
      </c>
      <c r="E175" s="58">
        <f>Methodology!C34</f>
        <v>0.8</v>
      </c>
      <c r="F175" s="60">
        <f>SUMIF(AFA!$C$3:$L$3,RIGHT(D175,1),AFA!$C$4:$L$4)</f>
        <v>0.10936999999999999</v>
      </c>
      <c r="G175" s="59">
        <v>100</v>
      </c>
      <c r="H175" s="60">
        <f t="shared" si="152"/>
        <v>9.1531703392155084</v>
      </c>
      <c r="I175">
        <v>0</v>
      </c>
      <c r="J175" s="61">
        <v>1</v>
      </c>
      <c r="K175" s="60">
        <f t="shared" si="146"/>
        <v>1.2513528</v>
      </c>
      <c r="L175" s="60">
        <f t="shared" si="153"/>
        <v>1.0010822400000001</v>
      </c>
      <c r="N175" s="74" t="str">
        <f>""</f>
        <v/>
      </c>
      <c r="S175" s="78"/>
      <c r="T175" s="74"/>
      <c r="U175" s="74"/>
      <c r="V175" s="74"/>
      <c r="W175" s="74"/>
      <c r="Y175" s="74"/>
      <c r="Z175" s="263">
        <f>'PAMS central control panel'!C67</f>
        <v>0</v>
      </c>
      <c r="AA175" s="4">
        <f>'PAMS central control panel'!D67</f>
        <v>0.17499999999999999</v>
      </c>
      <c r="AB175" s="4">
        <f>'PAMS central control panel'!E67</f>
        <v>0.35</v>
      </c>
      <c r="AC175" s="4">
        <f>'PAMS central control panel'!F67</f>
        <v>0.35</v>
      </c>
      <c r="AD175" s="4">
        <f>'PAMS central control panel'!G67</f>
        <v>0.35</v>
      </c>
      <c r="AE175" s="264">
        <f>'PAMS central control panel'!H67</f>
        <v>0.35</v>
      </c>
      <c r="AH175" t="str">
        <f t="shared" si="147"/>
        <v>IOTFELC-E</v>
      </c>
      <c r="AI175" t="str">
        <f t="shared" si="148"/>
        <v>Industry-Other-Fans - Electricity</v>
      </c>
      <c r="AJ175" s="70" t="s">
        <v>387</v>
      </c>
      <c r="AK175" s="70" t="s">
        <v>610</v>
      </c>
      <c r="AL175" s="70" t="s">
        <v>480</v>
      </c>
      <c r="AM175" s="70" t="s">
        <v>611</v>
      </c>
      <c r="AO175" s="70" t="str">
        <f t="shared" si="149"/>
        <v>IOTF</v>
      </c>
      <c r="AP175" s="70" t="str">
        <f>"Industry - "&amp;VLOOKUP(RIGHT(LEFT(AO175,3),2),NameConv!$E$21:$F$301,2,FALSE)&amp;" - " &amp;VLOOKUP(RIGHT(AO175,1),NameConv!$D$42:$E$53,2,FALSE)</f>
        <v>Industry - Other - Fans</v>
      </c>
      <c r="AQ175" s="245" t="s">
        <v>387</v>
      </c>
      <c r="AR175" s="70" t="s">
        <v>631</v>
      </c>
      <c r="AS175" s="70" t="s">
        <v>632</v>
      </c>
      <c r="AV175" s="254" t="s">
        <v>401</v>
      </c>
      <c r="AW175" s="72" t="str">
        <f t="shared" si="150"/>
        <v>IOTF</v>
      </c>
      <c r="AX175" s="254" t="s">
        <v>387</v>
      </c>
      <c r="AY175" s="266">
        <f t="shared" si="151"/>
        <v>1.0010822400000001</v>
      </c>
    </row>
    <row r="176" spans="1:51">
      <c r="A176" s="45" t="str">
        <f t="shared" si="144"/>
        <v>Industry-Other-Other motive - Electricity</v>
      </c>
      <c r="B176" s="45" t="str">
        <f t="shared" si="154"/>
        <v>IOTOELC-E</v>
      </c>
      <c r="C176" s="46" t="str">
        <f t="shared" si="145"/>
        <v>IOTELC</v>
      </c>
      <c r="D176" s="46" t="str">
        <f>$B$5&amp;RIGHT($B167,2)&amp;$B$68</f>
        <v>IOTO</v>
      </c>
      <c r="E176" s="58">
        <f>Methodology!C35</f>
        <v>0.8</v>
      </c>
      <c r="F176" s="60">
        <f>SUMIF(AFA!$C$3:$L$3,RIGHT(D176,1),AFA!$C$4:$L$4)</f>
        <v>0.13081999999999999</v>
      </c>
      <c r="G176" s="59">
        <v>100</v>
      </c>
      <c r="H176" s="60">
        <f t="shared" si="152"/>
        <v>50.992255863017895</v>
      </c>
      <c r="I176">
        <v>0</v>
      </c>
      <c r="J176" s="61">
        <v>1</v>
      </c>
      <c r="K176" s="60">
        <f t="shared" si="146"/>
        <v>8.3385086400000006</v>
      </c>
      <c r="L176" s="60">
        <f t="shared" si="153"/>
        <v>6.6708069120000006</v>
      </c>
      <c r="N176" s="74" t="str">
        <f>""</f>
        <v/>
      </c>
      <c r="S176" s="78"/>
      <c r="T176" s="74"/>
      <c r="U176" s="74"/>
      <c r="V176" s="74"/>
      <c r="W176" s="74"/>
      <c r="Y176" s="74"/>
      <c r="Z176" s="263">
        <f>'PAMS central control panel'!C68</f>
        <v>0</v>
      </c>
      <c r="AA176" s="4">
        <f>'PAMS central control panel'!D68</f>
        <v>0.17499999999999999</v>
      </c>
      <c r="AB176" s="4">
        <f>'PAMS central control panel'!E68</f>
        <v>0.35</v>
      </c>
      <c r="AC176" s="4">
        <f>'PAMS central control panel'!F68</f>
        <v>0.35</v>
      </c>
      <c r="AD176" s="4">
        <f>'PAMS central control panel'!G68</f>
        <v>0.35</v>
      </c>
      <c r="AE176" s="264">
        <f>'PAMS central control panel'!H68</f>
        <v>0.35</v>
      </c>
      <c r="AH176" t="str">
        <f t="shared" si="147"/>
        <v>IOTOELC-E</v>
      </c>
      <c r="AI176" t="str">
        <f t="shared" si="148"/>
        <v>Industry-Other-Other motive - Electricity</v>
      </c>
      <c r="AJ176" s="70" t="s">
        <v>387</v>
      </c>
      <c r="AK176" s="70" t="s">
        <v>610</v>
      </c>
      <c r="AL176" s="70" t="s">
        <v>480</v>
      </c>
      <c r="AM176" s="70" t="s">
        <v>611</v>
      </c>
      <c r="AO176" s="70" t="str">
        <f t="shared" si="149"/>
        <v>IOTO</v>
      </c>
      <c r="AP176" s="70" t="str">
        <f>"Industry - "&amp;VLOOKUP(RIGHT(LEFT(AO176,3),2),NameConv!$E$21:$F$301,2,FALSE)&amp;" - " &amp;VLOOKUP(RIGHT(AO176,1),NameConv!$D$42:$E$53,2,FALSE)</f>
        <v>Industry - Other - Other motive</v>
      </c>
      <c r="AQ176" s="245" t="s">
        <v>387</v>
      </c>
      <c r="AR176" s="70" t="s">
        <v>631</v>
      </c>
      <c r="AS176" s="70" t="s">
        <v>632</v>
      </c>
      <c r="AV176" s="254" t="s">
        <v>401</v>
      </c>
      <c r="AW176" s="72" t="str">
        <f t="shared" si="150"/>
        <v>IOTO</v>
      </c>
      <c r="AX176" s="254" t="s">
        <v>387</v>
      </c>
      <c r="AY176" s="266">
        <f t="shared" si="151"/>
        <v>6.6708069120000006</v>
      </c>
    </row>
    <row r="177" spans="1:51">
      <c r="A177" s="45" t="str">
        <f t="shared" si="144"/>
        <v>Industry-Other-Electrochemical - Electricity</v>
      </c>
      <c r="B177" s="45" t="str">
        <f t="shared" si="154"/>
        <v>IOTEELC-E</v>
      </c>
      <c r="C177" s="46" t="str">
        <f t="shared" si="145"/>
        <v>IOTELC</v>
      </c>
      <c r="D177" s="46" t="str">
        <f>$B$5&amp;RIGHT($B167,2)&amp;$B$69</f>
        <v>IOTE</v>
      </c>
      <c r="E177" s="58">
        <f>Methodology!C27</f>
        <v>0.76</v>
      </c>
      <c r="F177" s="60">
        <f>SUMIF(AFA!$C$3:$L$3,RIGHT(D177,1),AFA!$C$4:$L$4)</f>
        <v>0.13233</v>
      </c>
      <c r="G177" s="59">
        <v>100</v>
      </c>
      <c r="H177" s="60">
        <f>L177/F177</f>
        <v>1.6905515121287691</v>
      </c>
      <c r="I177">
        <v>0</v>
      </c>
      <c r="J177" s="61">
        <v>1</v>
      </c>
      <c r="K177" s="60">
        <f t="shared" si="146"/>
        <v>0.29435616000000003</v>
      </c>
      <c r="L177" s="60">
        <f t="shared" si="153"/>
        <v>0.22371068160000002</v>
      </c>
      <c r="N177" s="74" t="str">
        <f>""</f>
        <v/>
      </c>
      <c r="S177" s="78"/>
      <c r="T177" s="74"/>
      <c r="U177" s="74"/>
      <c r="V177" s="74"/>
      <c r="W177" s="74"/>
      <c r="Y177" s="74"/>
      <c r="Z177" s="263">
        <f>'PAMS central control panel'!C69</f>
        <v>0</v>
      </c>
      <c r="AA177" s="4">
        <f>'PAMS central control panel'!D69</f>
        <v>0.17499999999999999</v>
      </c>
      <c r="AB177" s="4">
        <f>'PAMS central control panel'!E69</f>
        <v>0.35</v>
      </c>
      <c r="AC177" s="4">
        <f>'PAMS central control panel'!F69</f>
        <v>0.35</v>
      </c>
      <c r="AD177" s="4">
        <f>'PAMS central control panel'!G69</f>
        <v>0.35</v>
      </c>
      <c r="AE177" s="264">
        <f>'PAMS central control panel'!H69</f>
        <v>0.35</v>
      </c>
      <c r="AH177" t="str">
        <f t="shared" si="147"/>
        <v>IOTEELC-E</v>
      </c>
      <c r="AI177" t="str">
        <f t="shared" si="148"/>
        <v>Industry-Other-Electrochemical - Electricity</v>
      </c>
      <c r="AJ177" s="70" t="s">
        <v>387</v>
      </c>
      <c r="AK177" s="70" t="s">
        <v>610</v>
      </c>
      <c r="AL177" s="70" t="s">
        <v>480</v>
      </c>
      <c r="AM177" s="70" t="s">
        <v>611</v>
      </c>
      <c r="AO177" s="70" t="str">
        <f t="shared" si="149"/>
        <v>IOTE</v>
      </c>
      <c r="AP177" s="70" t="str">
        <f>"Industry - "&amp;VLOOKUP(RIGHT(LEFT(AO177,3),2),NameConv!$E$21:$F$301,2,FALSE)&amp;" - " &amp;VLOOKUP(RIGHT(AO177,1),NameConv!$D$42:$E$53,2,FALSE)</f>
        <v>Industry - Other - Electrochemical</v>
      </c>
      <c r="AQ177" s="245" t="s">
        <v>387</v>
      </c>
      <c r="AR177" s="70" t="s">
        <v>631</v>
      </c>
      <c r="AS177" s="70" t="s">
        <v>632</v>
      </c>
      <c r="AV177" s="254" t="s">
        <v>401</v>
      </c>
      <c r="AW177" s="72" t="str">
        <f t="shared" si="150"/>
        <v>IOTE</v>
      </c>
      <c r="AX177" s="254" t="s">
        <v>387</v>
      </c>
      <c r="AY177" s="266">
        <f t="shared" si="151"/>
        <v>0.22371068160000002</v>
      </c>
    </row>
    <row r="178" spans="1:51">
      <c r="A178" s="45" t="s">
        <v>476</v>
      </c>
      <c r="B178" s="45"/>
      <c r="C178" s="46"/>
      <c r="D178" s="46" t="s">
        <v>336</v>
      </c>
      <c r="E178" s="58"/>
      <c r="F178" s="60">
        <f>SUMIF(AFA!$C$3:$L$3,RIGHT(D178,1),AFA!$C$4:$L$4)</f>
        <v>0</v>
      </c>
      <c r="G178" s="59"/>
      <c r="H178" s="60"/>
      <c r="J178" s="61"/>
      <c r="K178" s="60"/>
      <c r="L178" s="60"/>
      <c r="N178" s="74" t="str">
        <f>""</f>
        <v/>
      </c>
      <c r="S178" s="78"/>
      <c r="T178" s="74"/>
      <c r="U178" s="74"/>
      <c r="V178" s="74"/>
      <c r="W178" s="74"/>
      <c r="Y178" s="74"/>
      <c r="Z178" s="263">
        <f>'PAMS central control panel'!C70</f>
        <v>0</v>
      </c>
      <c r="AA178" s="4">
        <f>'PAMS central control panel'!D70</f>
        <v>0.17499999999999999</v>
      </c>
      <c r="AB178" s="4">
        <f>'PAMS central control panel'!E70</f>
        <v>0.35</v>
      </c>
      <c r="AC178" s="4">
        <f>'PAMS central control panel'!F70</f>
        <v>0.35</v>
      </c>
      <c r="AD178" s="4">
        <f>'PAMS central control panel'!G70</f>
        <v>0.35</v>
      </c>
      <c r="AE178" s="264">
        <f>'PAMS central control panel'!H70</f>
        <v>0.35</v>
      </c>
      <c r="AH178" s="26" t="s">
        <v>476</v>
      </c>
      <c r="AJ178" s="70"/>
      <c r="AK178" s="70"/>
      <c r="AL178" s="70"/>
      <c r="AM178" s="70"/>
      <c r="AO178" s="70" t="s">
        <v>476</v>
      </c>
      <c r="AP178" s="70"/>
      <c r="AQ178" s="245"/>
      <c r="AR178" s="70"/>
      <c r="AS178" s="70"/>
      <c r="AV178" s="72" t="s">
        <v>476</v>
      </c>
      <c r="AW178" s="72" t="str">
        <f t="shared" si="150"/>
        <v>*</v>
      </c>
      <c r="AX178" s="254" t="s">
        <v>387</v>
      </c>
      <c r="AY178" s="266">
        <f t="shared" si="151"/>
        <v>338.97013191086643</v>
      </c>
    </row>
    <row r="179" spans="1:51">
      <c r="A179" s="45" t="str">
        <f>A$5&amp;"-"&amp;A$19&amp;"-"&amp;A$70&amp;" - "&amp;VLOOKUP(RIGHT(C179,3),NameConv!$E$4:$G$23,2,FALSE)&amp;" - Existing"</f>
        <v>Industry-Other-boiler/process heating -  - Existing</v>
      </c>
      <c r="B179" s="45" t="str">
        <f t="shared" ref="B179:B187" si="155">D179&amp;RIGHT(C179,3)&amp;"-E"</f>
        <v>IOTSCOA-E</v>
      </c>
      <c r="C179" s="46" t="str">
        <f>+$C$6</f>
        <v>INDCOA</v>
      </c>
      <c r="D179" s="46" t="str">
        <f>$B$5&amp;RIGHT($B167,2)&amp;$B$70</f>
        <v>IOTS</v>
      </c>
      <c r="E179" s="58">
        <f>Methodology!C40</f>
        <v>0.64</v>
      </c>
      <c r="F179" s="60">
        <f>SUMIF(AFA!$C$3:$L$3,RIGHT(D179,1),AFA!$C$4:$L$4)</f>
        <v>0.15426999999999999</v>
      </c>
      <c r="G179" s="59">
        <v>100</v>
      </c>
      <c r="H179" s="60">
        <f t="shared" ref="H179:H187" si="156">L179/F179</f>
        <v>421.66072470344204</v>
      </c>
      <c r="I179">
        <v>0</v>
      </c>
      <c r="J179" s="61">
        <v>1</v>
      </c>
      <c r="K179" s="60">
        <f>J179*INDEX($C$10:$L$19,MATCH($B$167,$B$10:$B$19,0),MATCH($B$6&amp;RIGHT(C179,3),$C$6:$L$6,0))</f>
        <v>101.64</v>
      </c>
      <c r="L179" s="60">
        <f t="shared" ref="L179:L187" si="157">K179*E179</f>
        <v>65.049599999999998</v>
      </c>
      <c r="N179" s="78">
        <f t="shared" ref="N179:N188" si="158">L179/SUMIF($D$81:$D$187,$D179,$L$81:$L$187)</f>
        <v>0.94916610378800759</v>
      </c>
      <c r="O179" s="168">
        <f>N179</f>
        <v>0.94916610378800759</v>
      </c>
      <c r="P179" s="168">
        <f>O179</f>
        <v>0.94916610378800759</v>
      </c>
      <c r="Q179" s="168">
        <f>P179</f>
        <v>0.94916610378800759</v>
      </c>
      <c r="R179" s="168"/>
      <c r="S179" s="78">
        <f t="shared" ref="S179:S183" si="159">N179</f>
        <v>0.94916610378800759</v>
      </c>
      <c r="T179" s="77">
        <f t="shared" ref="T179:V179" si="160">S179*T$75</f>
        <v>0.85424949340920686</v>
      </c>
      <c r="U179" s="77">
        <f t="shared" si="160"/>
        <v>0</v>
      </c>
      <c r="V179" s="77">
        <f t="shared" si="160"/>
        <v>0</v>
      </c>
      <c r="W179" s="74"/>
      <c r="Y179" s="74"/>
      <c r="Z179" s="263">
        <f>'PAMS central control panel'!C71</f>
        <v>0</v>
      </c>
      <c r="AA179" s="4">
        <f>'PAMS central control panel'!D71</f>
        <v>2.5000000000000001E-2</v>
      </c>
      <c r="AB179" s="4">
        <f>'PAMS central control panel'!E71</f>
        <v>0.05</v>
      </c>
      <c r="AC179" s="4">
        <f>'PAMS central control panel'!F71</f>
        <v>0.05</v>
      </c>
      <c r="AD179" s="4">
        <f>'PAMS central control panel'!G71</f>
        <v>0.05</v>
      </c>
      <c r="AE179" s="264">
        <f>'PAMS central control panel'!H71</f>
        <v>0.05</v>
      </c>
      <c r="AH179" t="str">
        <f t="shared" si="147"/>
        <v>IOTSCOA-E</v>
      </c>
      <c r="AI179" t="str">
        <f t="shared" si="148"/>
        <v>Industry-Other-boiler/process heating -  - Existing</v>
      </c>
      <c r="AJ179" s="70" t="s">
        <v>387</v>
      </c>
      <c r="AK179" s="70" t="s">
        <v>610</v>
      </c>
      <c r="AL179" s="70" t="s">
        <v>480</v>
      </c>
      <c r="AM179" s="70" t="s">
        <v>611</v>
      </c>
      <c r="AO179" s="70" t="str">
        <f>D179</f>
        <v>IOTS</v>
      </c>
      <c r="AP179" s="70" t="str">
        <f>"Industry - "&amp;VLOOKUP(RIGHT(LEFT(AO179,3),2),NameConv!$E$21:$F$301,2,FALSE)&amp;" - " &amp;VLOOKUP(RIGHT(AO179,1),NameConv!$D$42:$E$53,2,FALSE)</f>
        <v>Industry - Other - boiler/process heating</v>
      </c>
      <c r="AQ179" s="245" t="s">
        <v>387</v>
      </c>
      <c r="AR179" s="70" t="s">
        <v>631</v>
      </c>
      <c r="AS179" s="70" t="s">
        <v>480</v>
      </c>
      <c r="AV179" s="254" t="s">
        <v>401</v>
      </c>
      <c r="AW179" s="72" t="str">
        <f t="shared" si="150"/>
        <v>IOTS</v>
      </c>
      <c r="AX179" s="254" t="s">
        <v>387</v>
      </c>
      <c r="AY179" s="266">
        <f t="shared" si="151"/>
        <v>68.533420800000002</v>
      </c>
    </row>
    <row r="180" spans="1:51">
      <c r="A180" s="45" t="str">
        <f>A$5&amp;"-"&amp;A$19&amp;"-"&amp;A$70&amp;" - "&amp;VLOOKUP(RIGHT(C180,3),NameConv!$E$4:$G$23,2,FALSE)&amp;" - Existing"</f>
        <v>Industry-Other-boiler/process heating -  - Existing</v>
      </c>
      <c r="B180" s="45" t="str">
        <f t="shared" si="155"/>
        <v>IOTSGAS-E</v>
      </c>
      <c r="C180" s="46" t="str">
        <f>G6</f>
        <v>INDGAS</v>
      </c>
      <c r="D180" s="46" t="str">
        <f>$B$5&amp;RIGHT($B167,2)&amp;$B$70</f>
        <v>IOTS</v>
      </c>
      <c r="E180" s="58">
        <f>Methodology!C41</f>
        <v>0.72</v>
      </c>
      <c r="F180" s="60">
        <f>SUMIF(AFA!$C$3:$L$3,RIGHT(D180,1),AFA!$C$4:$L$4)</f>
        <v>0.15426999999999999</v>
      </c>
      <c r="G180" s="59">
        <v>100</v>
      </c>
      <c r="H180" s="60">
        <f t="shared" si="156"/>
        <v>21.468853309133337</v>
      </c>
      <c r="I180">
        <v>0</v>
      </c>
      <c r="J180" s="61">
        <v>1</v>
      </c>
      <c r="K180" s="60">
        <f>J180*INDEX($C$10:$L$19,MATCH($B$167,$B$10:$B$19,0),MATCH($B$6&amp;RIGHT(C180,3),$C$6:$L$6,0))</f>
        <v>4.5999999999999996</v>
      </c>
      <c r="L180" s="60">
        <f t="shared" si="157"/>
        <v>3.3119999999999998</v>
      </c>
      <c r="N180" s="78">
        <f t="shared" si="158"/>
        <v>4.8326786571260716E-2</v>
      </c>
      <c r="O180" s="77">
        <f t="shared" ref="O180:Q182" si="161">MIN(1,$N180+O$75)</f>
        <v>0.54832678657126066</v>
      </c>
      <c r="P180" s="77">
        <f t="shared" si="161"/>
        <v>1</v>
      </c>
      <c r="Q180" s="77">
        <f t="shared" si="161"/>
        <v>1</v>
      </c>
      <c r="R180" s="77"/>
      <c r="S180" s="78">
        <f t="shared" si="159"/>
        <v>4.8326786571260716E-2</v>
      </c>
      <c r="T180" s="77">
        <f t="shared" ref="T180:V180" si="162">S180*T$75</f>
        <v>4.3494107914134647E-2</v>
      </c>
      <c r="U180" s="77">
        <f t="shared" si="162"/>
        <v>0</v>
      </c>
      <c r="V180" s="77">
        <f t="shared" si="162"/>
        <v>0</v>
      </c>
      <c r="W180" s="74"/>
      <c r="Y180" s="74"/>
      <c r="Z180" s="263">
        <f>'PAMS central control panel'!C72</f>
        <v>0</v>
      </c>
      <c r="AA180" s="4">
        <f>'PAMS central control panel'!D72</f>
        <v>0</v>
      </c>
      <c r="AB180" s="4">
        <f>'PAMS central control panel'!E72</f>
        <v>0</v>
      </c>
      <c r="AC180" s="4">
        <f>'PAMS central control panel'!F72</f>
        <v>0</v>
      </c>
      <c r="AD180" s="4">
        <f>'PAMS central control panel'!G72</f>
        <v>0</v>
      </c>
      <c r="AE180" s="264">
        <f>'PAMS central control panel'!H72</f>
        <v>0</v>
      </c>
      <c r="AH180" t="str">
        <f t="shared" si="147"/>
        <v>IOTSGAS-E</v>
      </c>
      <c r="AI180" t="str">
        <f t="shared" si="148"/>
        <v>Industry-Other-boiler/process heating -  - Existing</v>
      </c>
      <c r="AJ180" s="70" t="s">
        <v>387</v>
      </c>
      <c r="AK180" s="70" t="s">
        <v>610</v>
      </c>
      <c r="AL180" s="70" t="s">
        <v>480</v>
      </c>
      <c r="AM180" s="70" t="s">
        <v>611</v>
      </c>
      <c r="AO180" s="26" t="s">
        <v>476</v>
      </c>
      <c r="AP180" s="70" t="str">
        <f t="shared" ref="AP180:AP186" si="163">A180</f>
        <v>Industry-Other-boiler/process heating -  - Existing</v>
      </c>
      <c r="AQ180" s="245" t="s">
        <v>387</v>
      </c>
      <c r="AR180" s="70" t="s">
        <v>631</v>
      </c>
      <c r="AS180" s="70" t="s">
        <v>480</v>
      </c>
      <c r="AV180" s="72" t="s">
        <v>476</v>
      </c>
      <c r="AW180" s="72" t="str">
        <f t="shared" si="150"/>
        <v>*</v>
      </c>
      <c r="AX180" s="254" t="s">
        <v>387</v>
      </c>
      <c r="AY180" s="266">
        <f t="shared" si="151"/>
        <v>338.97013191086643</v>
      </c>
    </row>
    <row r="181" spans="1:51">
      <c r="A181" s="45" t="str">
        <f>A$5&amp;"-"&amp;A$19&amp;"-"&amp;A$70&amp;" - "&amp;VLOOKUP(RIGHT(C181,3),NameConv!$E$4:$G$23,2,FALSE)&amp;" - Existing"</f>
        <v>Industry-Other-boiler/process heating -  - Existing</v>
      </c>
      <c r="B181" s="45" t="str">
        <f t="shared" si="155"/>
        <v>IOTSOHF-E</v>
      </c>
      <c r="C181" s="46" t="str">
        <f>+$H$6</f>
        <v>INDOHF</v>
      </c>
      <c r="D181" s="46" t="str">
        <f>$B$5&amp;RIGHT($B167,2)&amp;$B$70</f>
        <v>IOTS</v>
      </c>
      <c r="E181" s="58">
        <f>Methodology!C42</f>
        <v>0.68</v>
      </c>
      <c r="F181" s="60">
        <f>SUMIF(AFA!$C$3:$L$3,RIGHT(D181,1),AFA!$C$4:$L$4)</f>
        <v>0.15426999999999999</v>
      </c>
      <c r="G181" s="59">
        <v>100</v>
      </c>
      <c r="H181" s="60">
        <f t="shared" si="156"/>
        <v>0</v>
      </c>
      <c r="I181">
        <v>0</v>
      </c>
      <c r="J181" s="61">
        <v>1</v>
      </c>
      <c r="K181" s="60">
        <f>J181*INDEX($C$10:$L$19,MATCH($B$167,$B$10:$B$19,0),MATCH($B$6&amp;RIGHT(C181,3),$C$6:$L$6,0))</f>
        <v>0</v>
      </c>
      <c r="L181" s="60">
        <f t="shared" si="157"/>
        <v>0</v>
      </c>
      <c r="N181" s="78">
        <f t="shared" si="158"/>
        <v>0</v>
      </c>
      <c r="O181" s="77">
        <f t="shared" si="161"/>
        <v>0.5</v>
      </c>
      <c r="P181" s="77">
        <f t="shared" si="161"/>
        <v>1</v>
      </c>
      <c r="Q181" s="77">
        <f t="shared" si="161"/>
        <v>1</v>
      </c>
      <c r="R181" s="77"/>
      <c r="S181" s="78">
        <f t="shared" si="159"/>
        <v>0</v>
      </c>
      <c r="T181" s="77">
        <f t="shared" ref="T181:V181" si="164">S181*T$75</f>
        <v>0</v>
      </c>
      <c r="U181" s="77">
        <f t="shared" si="164"/>
        <v>0</v>
      </c>
      <c r="V181" s="77">
        <f t="shared" si="164"/>
        <v>0</v>
      </c>
      <c r="W181" s="74"/>
      <c r="Y181" s="74"/>
      <c r="Z181" s="14"/>
      <c r="AE181" s="13"/>
      <c r="AH181" t="str">
        <f t="shared" si="147"/>
        <v>IOTSOHF-E</v>
      </c>
      <c r="AI181" t="str">
        <f t="shared" si="148"/>
        <v>Industry-Other-boiler/process heating -  - Existing</v>
      </c>
      <c r="AJ181" s="70" t="s">
        <v>387</v>
      </c>
      <c r="AK181" s="70" t="s">
        <v>610</v>
      </c>
      <c r="AL181" s="70" t="s">
        <v>480</v>
      </c>
      <c r="AM181" s="70" t="s">
        <v>611</v>
      </c>
      <c r="AO181" s="26" t="s">
        <v>476</v>
      </c>
      <c r="AP181" s="70" t="str">
        <f t="shared" si="163"/>
        <v>Industry-Other-boiler/process heating -  - Existing</v>
      </c>
      <c r="AQ181" s="245" t="s">
        <v>387</v>
      </c>
      <c r="AR181" s="70" t="s">
        <v>631</v>
      </c>
      <c r="AS181" s="70" t="s">
        <v>480</v>
      </c>
      <c r="AV181" s="72" t="s">
        <v>476</v>
      </c>
      <c r="AW181" s="72" t="str">
        <f t="shared" si="150"/>
        <v>*</v>
      </c>
      <c r="AX181" s="254" t="s">
        <v>387</v>
      </c>
      <c r="AY181" s="266">
        <f t="shared" si="151"/>
        <v>338.97013191086643</v>
      </c>
    </row>
    <row r="182" spans="1:51">
      <c r="A182" s="45" t="str">
        <f>A$5&amp;"-"&amp;A$19&amp;"-"&amp;A$70&amp;" - "&amp;VLOOKUP(RIGHT(C182,3),NameConv!$E$4:$G$23,2,FALSE)&amp;" - Existing"</f>
        <v>Industry-Other-boiler/process heating -  - Existing</v>
      </c>
      <c r="B182" s="45" t="str">
        <f t="shared" si="155"/>
        <v>IOTSOLP-E</v>
      </c>
      <c r="C182" s="46" t="str">
        <f>+$I$6</f>
        <v>INDOLP</v>
      </c>
      <c r="D182" s="46" t="str">
        <f>$B$5&amp;RIGHT($B167,2)&amp;$B$70</f>
        <v>IOTS</v>
      </c>
      <c r="E182" s="58">
        <f>Methodology!C43</f>
        <v>0.72</v>
      </c>
      <c r="F182" s="60">
        <f>SUMIF(AFA!$C$3:$L$3,RIGHT(D182,1),AFA!$C$4:$L$4)</f>
        <v>0.15426999999999999</v>
      </c>
      <c r="G182" s="59">
        <v>100</v>
      </c>
      <c r="H182" s="60">
        <f t="shared" si="156"/>
        <v>0</v>
      </c>
      <c r="I182">
        <v>0</v>
      </c>
      <c r="J182" s="61">
        <v>1</v>
      </c>
      <c r="K182" s="60">
        <f>J182*INDEX($C$10:$L$19,MATCH($B$167,$B$10:$B$19,0),MATCH($B$6&amp;RIGHT(C182,3),$C$6:$L$6,0))</f>
        <v>0</v>
      </c>
      <c r="L182" s="60">
        <f t="shared" si="157"/>
        <v>0</v>
      </c>
      <c r="N182" s="78">
        <f t="shared" si="158"/>
        <v>0</v>
      </c>
      <c r="O182" s="77">
        <f t="shared" si="161"/>
        <v>0.5</v>
      </c>
      <c r="P182" s="77">
        <f t="shared" si="161"/>
        <v>1</v>
      </c>
      <c r="Q182" s="77">
        <f t="shared" si="161"/>
        <v>1</v>
      </c>
      <c r="R182" s="77"/>
      <c r="S182" s="78">
        <f t="shared" si="159"/>
        <v>0</v>
      </c>
      <c r="T182" s="77">
        <f t="shared" ref="T182:V182" si="165">S182*T$75</f>
        <v>0</v>
      </c>
      <c r="U182" s="77">
        <f t="shared" si="165"/>
        <v>0</v>
      </c>
      <c r="V182" s="77">
        <f t="shared" si="165"/>
        <v>0</v>
      </c>
      <c r="W182" s="74"/>
      <c r="Y182" s="74"/>
      <c r="Z182" s="14"/>
      <c r="AE182" s="13"/>
      <c r="AH182" t="str">
        <f t="shared" si="147"/>
        <v>IOTSOLP-E</v>
      </c>
      <c r="AI182" t="str">
        <f t="shared" si="148"/>
        <v>Industry-Other-boiler/process heating -  - Existing</v>
      </c>
      <c r="AJ182" s="70" t="s">
        <v>387</v>
      </c>
      <c r="AK182" s="70" t="s">
        <v>610</v>
      </c>
      <c r="AL182" s="70" t="s">
        <v>480</v>
      </c>
      <c r="AM182" s="70" t="s">
        <v>611</v>
      </c>
      <c r="AO182" s="26" t="s">
        <v>476</v>
      </c>
      <c r="AP182" s="70" t="str">
        <f t="shared" si="163"/>
        <v>Industry-Other-boiler/process heating -  - Existing</v>
      </c>
      <c r="AQ182" s="245" t="s">
        <v>387</v>
      </c>
      <c r="AR182" s="70" t="s">
        <v>631</v>
      </c>
      <c r="AS182" s="70" t="s">
        <v>480</v>
      </c>
      <c r="AV182" s="72" t="s">
        <v>476</v>
      </c>
      <c r="AW182" s="72" t="str">
        <f t="shared" si="150"/>
        <v>*</v>
      </c>
      <c r="AX182" s="254" t="s">
        <v>387</v>
      </c>
      <c r="AY182" s="266">
        <f t="shared" si="151"/>
        <v>338.97013191086643</v>
      </c>
    </row>
    <row r="183" spans="1:51" ht="15">
      <c r="A183" s="45" t="str">
        <f>A$5&amp;"-"&amp;A$19&amp;"-"&amp;A$70&amp;" - "&amp;VLOOKUP(RIGHT(C183,3),NameConv!$E$4:$G$23,2,FALSE)&amp;" - Existing"</f>
        <v>Industry-Other-boiler/process heating -  - Existing</v>
      </c>
      <c r="B183" s="45" t="str">
        <f t="shared" si="155"/>
        <v>IOTSELC-E</v>
      </c>
      <c r="C183" s="46" t="str">
        <f>$P$18</f>
        <v>IOTELC</v>
      </c>
      <c r="D183" s="46" t="str">
        <f>$B$5&amp;RIGHT($B167,2)&amp;$B$70</f>
        <v>IOTS</v>
      </c>
      <c r="E183" s="58">
        <f>Methodology!C27</f>
        <v>0.76</v>
      </c>
      <c r="F183" s="60">
        <f>SUMIF(AFA!$C$3:$L$3,RIGHT(D183,1),AFA!$C$4:$L$4)</f>
        <v>0.15426999999999999</v>
      </c>
      <c r="G183" s="59">
        <v>100</v>
      </c>
      <c r="H183" s="60">
        <f t="shared" si="156"/>
        <v>1.1137667725416478</v>
      </c>
      <c r="I183">
        <v>0</v>
      </c>
      <c r="J183" s="61">
        <v>1</v>
      </c>
      <c r="K183" s="60">
        <f>J183*INDEX($C$70:$K$70,MATCH($B167,$C$60:$K$60,0))</f>
        <v>0.22608</v>
      </c>
      <c r="L183" s="60">
        <f t="shared" si="157"/>
        <v>0.1718208</v>
      </c>
      <c r="N183" s="78">
        <f t="shared" si="158"/>
        <v>2.5071096407316648E-3</v>
      </c>
      <c r="O183" s="216">
        <v>0.1</v>
      </c>
      <c r="P183" s="216">
        <f>90%-P184</f>
        <v>0.30000000000000004</v>
      </c>
      <c r="Q183" s="216">
        <f>90%-Q184</f>
        <v>0.30000000000000004</v>
      </c>
      <c r="R183" s="77"/>
      <c r="S183" s="78">
        <f t="shared" si="159"/>
        <v>2.5071096407316648E-3</v>
      </c>
      <c r="T183" s="77">
        <f t="shared" ref="T183:V183" si="166">S183*T$75</f>
        <v>2.2563986766584985E-3</v>
      </c>
      <c r="U183" s="77">
        <f t="shared" si="166"/>
        <v>0</v>
      </c>
      <c r="V183" s="77">
        <f t="shared" si="166"/>
        <v>0</v>
      </c>
      <c r="W183" s="74"/>
      <c r="Y183" s="74"/>
      <c r="Z183" s="14"/>
      <c r="AE183" s="13"/>
      <c r="AH183" t="str">
        <f t="shared" si="147"/>
        <v>IOTSELC-E</v>
      </c>
      <c r="AI183" t="str">
        <f t="shared" si="148"/>
        <v>Industry-Other-boiler/process heating -  - Existing</v>
      </c>
      <c r="AJ183" s="70" t="s">
        <v>387</v>
      </c>
      <c r="AK183" s="70" t="s">
        <v>610</v>
      </c>
      <c r="AL183" s="70" t="s">
        <v>480</v>
      </c>
      <c r="AM183" s="70" t="s">
        <v>611</v>
      </c>
      <c r="AO183" s="26" t="s">
        <v>476</v>
      </c>
      <c r="AP183" s="70" t="str">
        <f t="shared" si="163"/>
        <v>Industry-Other-boiler/process heating -  - Existing</v>
      </c>
      <c r="AQ183" s="245" t="s">
        <v>387</v>
      </c>
      <c r="AR183" s="70" t="s">
        <v>631</v>
      </c>
      <c r="AS183" s="70" t="s">
        <v>632</v>
      </c>
      <c r="AV183" s="72" t="s">
        <v>476</v>
      </c>
      <c r="AW183" s="72" t="str">
        <f t="shared" si="150"/>
        <v>*</v>
      </c>
      <c r="AX183" s="254" t="s">
        <v>387</v>
      </c>
      <c r="AY183" s="266">
        <f t="shared" si="151"/>
        <v>338.97013191086643</v>
      </c>
    </row>
    <row r="184" spans="1:51" ht="15">
      <c r="A184" s="45" t="str">
        <f>A$5&amp;"-"&amp;A$19&amp;"-"&amp;A$70&amp;" - "&amp;VLOOKUP(RIGHT(C184,3),NameConv!$E$4:$G$23,2,FALSE)&amp;" - Heat Pump New"</f>
        <v>Industry-Other-boiler/process heating -  - Heat Pump New</v>
      </c>
      <c r="B184" s="45" t="str">
        <f>D184&amp;RIGHT(C184,3)&amp;"-N"</f>
        <v>IOTSELC-N</v>
      </c>
      <c r="C184" s="46" t="str">
        <f>$P$18</f>
        <v>IOTELC</v>
      </c>
      <c r="D184" s="46" t="str">
        <f>$B$5&amp;RIGHT($B167,2)&amp;$B$70</f>
        <v>IOTS</v>
      </c>
      <c r="E184" s="58">
        <f>E162</f>
        <v>3.34</v>
      </c>
      <c r="F184" s="60">
        <f>SUMIF(AFA!$C$3:$L$3,RIGHT(D184,1),AFA!$C$4:$L$4)</f>
        <v>0.15426999999999999</v>
      </c>
      <c r="G184" s="59">
        <v>100</v>
      </c>
      <c r="H184" s="60">
        <v>0</v>
      </c>
      <c r="I184">
        <v>0</v>
      </c>
      <c r="J184" s="61">
        <v>1</v>
      </c>
      <c r="K184" s="60">
        <v>0</v>
      </c>
      <c r="L184" s="60">
        <f>K184*E184</f>
        <v>0</v>
      </c>
      <c r="N184" s="78">
        <f t="shared" si="158"/>
        <v>0</v>
      </c>
      <c r="O184" s="216">
        <v>0.02</v>
      </c>
      <c r="P184" s="216">
        <v>0.6</v>
      </c>
      <c r="Q184" s="216">
        <v>0.6</v>
      </c>
      <c r="R184" s="77"/>
      <c r="S184" s="78">
        <f t="shared" ref="S184:S188" si="167">N184</f>
        <v>0</v>
      </c>
      <c r="T184" s="77">
        <f t="shared" ref="T184:V184" si="168">S184*T$75</f>
        <v>0</v>
      </c>
      <c r="U184" s="77">
        <f t="shared" si="168"/>
        <v>0</v>
      </c>
      <c r="V184" s="77">
        <f t="shared" si="168"/>
        <v>0</v>
      </c>
      <c r="W184" s="74"/>
      <c r="Y184" s="74"/>
      <c r="Z184" s="14"/>
      <c r="AE184" s="13"/>
      <c r="AH184" t="str">
        <f t="shared" si="147"/>
        <v>IOTSELC-N</v>
      </c>
      <c r="AI184" t="str">
        <f t="shared" si="148"/>
        <v>Industry-Other-boiler/process heating -  - Heat Pump New</v>
      </c>
      <c r="AJ184" s="70" t="s">
        <v>387</v>
      </c>
      <c r="AK184" s="70" t="s">
        <v>610</v>
      </c>
      <c r="AL184" s="70" t="s">
        <v>480</v>
      </c>
      <c r="AM184" s="70" t="s">
        <v>611</v>
      </c>
      <c r="AO184" s="26" t="s">
        <v>476</v>
      </c>
      <c r="AP184" s="70" t="str">
        <f t="shared" si="163"/>
        <v>Industry-Other-boiler/process heating -  - Heat Pump New</v>
      </c>
      <c r="AQ184" s="245" t="s">
        <v>387</v>
      </c>
      <c r="AR184" s="70" t="s">
        <v>631</v>
      </c>
      <c r="AS184" s="70" t="s">
        <v>632</v>
      </c>
      <c r="AV184" s="72" t="s">
        <v>476</v>
      </c>
      <c r="AW184" s="72" t="str">
        <f t="shared" si="150"/>
        <v>*</v>
      </c>
      <c r="AX184" s="254" t="s">
        <v>387</v>
      </c>
      <c r="AY184" s="266">
        <f t="shared" si="151"/>
        <v>338.97013191086643</v>
      </c>
    </row>
    <row r="185" spans="1:51">
      <c r="A185" s="45" t="s">
        <v>472</v>
      </c>
      <c r="B185" s="45" t="str">
        <f>D185&amp;RIGHT(C185,3)&amp;"-E"</f>
        <v>IOTSHGN-E</v>
      </c>
      <c r="C185" s="46" t="s">
        <v>467</v>
      </c>
      <c r="D185" s="46" t="str">
        <f>$B$5&amp;RIGHT($B167,2)&amp;$B$70</f>
        <v>IOTS</v>
      </c>
      <c r="E185" s="58">
        <f>E163</f>
        <v>0.76</v>
      </c>
      <c r="F185" s="60">
        <f>SUMIF(AFA!$C$3:$L$3,RIGHT(D185,1),AFA!$C$4:$L$4)</f>
        <v>0.15426999999999999</v>
      </c>
      <c r="G185" s="59">
        <v>100</v>
      </c>
      <c r="H185" s="60">
        <v>0</v>
      </c>
      <c r="I185">
        <v>0</v>
      </c>
      <c r="J185" s="61">
        <v>1</v>
      </c>
      <c r="K185" s="60">
        <v>0</v>
      </c>
      <c r="L185" s="60">
        <f>K185*E185</f>
        <v>0</v>
      </c>
      <c r="N185" s="78">
        <f t="shared" si="158"/>
        <v>0</v>
      </c>
      <c r="O185" s="77">
        <f t="shared" ref="O185:Q188" si="169">MIN(1,$N185+O$75)</f>
        <v>0.5</v>
      </c>
      <c r="P185" s="77">
        <f t="shared" si="169"/>
        <v>1</v>
      </c>
      <c r="Q185" s="77">
        <f t="shared" si="169"/>
        <v>1</v>
      </c>
      <c r="R185" s="77"/>
      <c r="S185" s="78">
        <f t="shared" si="167"/>
        <v>0</v>
      </c>
      <c r="T185" s="77">
        <f t="shared" ref="T185:V185" si="170">S185*T$75</f>
        <v>0</v>
      </c>
      <c r="U185" s="77">
        <f t="shared" si="170"/>
        <v>0</v>
      </c>
      <c r="V185" s="77">
        <f t="shared" si="170"/>
        <v>0</v>
      </c>
      <c r="W185" s="74"/>
      <c r="Y185" s="74"/>
      <c r="Z185" s="14"/>
      <c r="AE185" s="13"/>
      <c r="AH185" t="str">
        <f t="shared" si="147"/>
        <v>IOTSHGN-E</v>
      </c>
      <c r="AI185" t="str">
        <f t="shared" si="148"/>
        <v>Industry-Other-boiler/process heating - Hydrogen - New</v>
      </c>
      <c r="AJ185" s="70" t="s">
        <v>387</v>
      </c>
      <c r="AK185" s="70" t="s">
        <v>610</v>
      </c>
      <c r="AL185" s="70" t="s">
        <v>480</v>
      </c>
      <c r="AM185" s="70" t="s">
        <v>611</v>
      </c>
      <c r="AO185" s="26" t="s">
        <v>476</v>
      </c>
      <c r="AP185" s="70" t="str">
        <f t="shared" si="163"/>
        <v>Industry-Other-boiler/process heating - Hydrogen - New</v>
      </c>
      <c r="AQ185" s="245" t="s">
        <v>387</v>
      </c>
      <c r="AR185" s="70" t="s">
        <v>631</v>
      </c>
      <c r="AS185" s="70" t="s">
        <v>480</v>
      </c>
      <c r="AV185" s="72" t="s">
        <v>476</v>
      </c>
      <c r="AW185" s="72" t="str">
        <f t="shared" si="150"/>
        <v>*</v>
      </c>
      <c r="AX185" s="254" t="s">
        <v>387</v>
      </c>
      <c r="AY185" s="266">
        <f t="shared" si="151"/>
        <v>338.97013191086643</v>
      </c>
    </row>
    <row r="186" spans="1:51">
      <c r="A186" s="45" t="str">
        <f>A$5&amp;"-"&amp;A$19&amp;"-"&amp;A$70&amp;" - "&amp;VLOOKUP(RIGHT(C186,3),NameConv!$E$4:$G$23,2,FALSE)&amp;" - Existing"</f>
        <v>Industry-Other-boiler/process heating -  - Existing</v>
      </c>
      <c r="B186" s="45" t="str">
        <f>D186&amp;RIGHT(C186,3)&amp;"-E"</f>
        <v>IOTSWAS-E</v>
      </c>
      <c r="C186" s="46" t="str">
        <f>$L$6</f>
        <v>INDWAS</v>
      </c>
      <c r="D186" s="46" t="str">
        <f>$B$5&amp;RIGHT($B$167,2)&amp;$B$40</f>
        <v>IOTS</v>
      </c>
      <c r="E186" s="58">
        <f>Methodology!C52</f>
        <v>0.6</v>
      </c>
      <c r="F186" s="60">
        <f>SUMIF(AFA!$C$3:$L$3,RIGHT(D186,1),AFA!$C$4:$L$4)</f>
        <v>0.15426999999999999</v>
      </c>
      <c r="G186" s="59">
        <v>100</v>
      </c>
      <c r="H186" s="60">
        <f t="shared" si="156"/>
        <v>0</v>
      </c>
      <c r="I186">
        <v>0</v>
      </c>
      <c r="J186" s="61">
        <v>1</v>
      </c>
      <c r="K186" s="60">
        <f>J186*INDEX($C$10:$L$19,MATCH($B$167,$B$10:$B$19,0),MATCH($B$6&amp;RIGHT(C186,3),$C$6:$L$6,0))</f>
        <v>0</v>
      </c>
      <c r="L186" s="60">
        <f t="shared" si="157"/>
        <v>0</v>
      </c>
      <c r="N186" s="78">
        <f t="shared" si="158"/>
        <v>0</v>
      </c>
      <c r="O186" s="77">
        <f t="shared" si="169"/>
        <v>0.5</v>
      </c>
      <c r="P186" s="77">
        <f t="shared" si="169"/>
        <v>1</v>
      </c>
      <c r="Q186" s="77">
        <f t="shared" si="169"/>
        <v>1</v>
      </c>
      <c r="R186" s="77"/>
      <c r="S186" s="78">
        <f t="shared" si="167"/>
        <v>0</v>
      </c>
      <c r="T186" s="77">
        <f t="shared" ref="T186:V186" si="171">S186*T$75</f>
        <v>0</v>
      </c>
      <c r="U186" s="77">
        <f t="shared" si="171"/>
        <v>0</v>
      </c>
      <c r="V186" s="77">
        <f t="shared" si="171"/>
        <v>0</v>
      </c>
      <c r="W186" s="74"/>
      <c r="Y186" s="74"/>
      <c r="Z186" s="14"/>
      <c r="AE186" s="13"/>
      <c r="AH186" t="str">
        <f t="shared" si="147"/>
        <v>IOTSWAS-E</v>
      </c>
      <c r="AI186" t="str">
        <f t="shared" si="148"/>
        <v>Industry-Other-boiler/process heating -  - Existing</v>
      </c>
      <c r="AJ186" s="70" t="s">
        <v>387</v>
      </c>
      <c r="AK186" s="70" t="s">
        <v>610</v>
      </c>
      <c r="AL186" s="70" t="s">
        <v>480</v>
      </c>
      <c r="AM186" s="70" t="s">
        <v>611</v>
      </c>
      <c r="AO186" s="26" t="s">
        <v>476</v>
      </c>
      <c r="AP186" s="70" t="str">
        <f t="shared" si="163"/>
        <v>Industry-Other-boiler/process heating -  - Existing</v>
      </c>
      <c r="AQ186" s="245" t="s">
        <v>387</v>
      </c>
      <c r="AR186" s="70" t="s">
        <v>631</v>
      </c>
      <c r="AS186" s="70" t="s">
        <v>480</v>
      </c>
      <c r="AV186" s="72" t="s">
        <v>476</v>
      </c>
      <c r="AW186" s="72" t="str">
        <f t="shared" si="150"/>
        <v>*</v>
      </c>
      <c r="AX186" s="254" t="s">
        <v>387</v>
      </c>
      <c r="AY186" s="266">
        <f t="shared" si="151"/>
        <v>338.97013191086643</v>
      </c>
    </row>
    <row r="187" spans="1:51">
      <c r="A187" s="45" t="str">
        <f>A$5&amp;"-"&amp;A$19&amp;"-"&amp;A$42&amp;" - "&amp;VLOOKUP(RIGHT(C187,3),NameConv!$E$4:$G$20,2,FALSE)&amp;" - Existing"</f>
        <v>Industry-Other-Transport -  - Existing</v>
      </c>
      <c r="B187" s="45" t="str">
        <f t="shared" si="155"/>
        <v>IOTRODS-E</v>
      </c>
      <c r="C187" s="46" t="str">
        <f>+$E$6</f>
        <v>INDODS</v>
      </c>
      <c r="D187" s="46" t="str">
        <f>$B$5&amp;RIGHT($B$167,2)&amp;$B$42</f>
        <v>IOTR</v>
      </c>
      <c r="E187" s="58">
        <v>1</v>
      </c>
      <c r="F187" s="60">
        <v>1</v>
      </c>
      <c r="G187" s="59">
        <v>100</v>
      </c>
      <c r="H187" s="60">
        <f t="shared" si="156"/>
        <v>4.2</v>
      </c>
      <c r="I187">
        <v>0</v>
      </c>
      <c r="J187" s="61">
        <v>1</v>
      </c>
      <c r="K187" s="60">
        <f>J187*INDEX($C$10:$L$19,MATCH($B$167,$B$10:$B$19,0),MATCH($B$6&amp;RIGHT(C187,3),$C$6:$L$6,0))</f>
        <v>4.2</v>
      </c>
      <c r="L187" s="60">
        <f t="shared" si="157"/>
        <v>4.2</v>
      </c>
      <c r="N187" s="78">
        <f t="shared" si="158"/>
        <v>1</v>
      </c>
      <c r="O187" s="77">
        <f t="shared" si="169"/>
        <v>1</v>
      </c>
      <c r="P187" s="77">
        <f t="shared" si="169"/>
        <v>1</v>
      </c>
      <c r="Q187" s="77">
        <f t="shared" si="169"/>
        <v>1</v>
      </c>
      <c r="R187" s="77"/>
      <c r="S187" s="78">
        <f t="shared" si="167"/>
        <v>1</v>
      </c>
      <c r="T187" s="77">
        <f t="shared" ref="T187:V187" si="172">S187*T$75</f>
        <v>0.9</v>
      </c>
      <c r="U187" s="77">
        <f t="shared" si="172"/>
        <v>0</v>
      </c>
      <c r="V187" s="77">
        <f t="shared" si="172"/>
        <v>0</v>
      </c>
      <c r="W187" s="74"/>
      <c r="Y187" s="74"/>
      <c r="Z187" s="14"/>
      <c r="AE187" s="13"/>
      <c r="AH187" t="str">
        <f t="shared" si="147"/>
        <v>IOTRODS-E</v>
      </c>
      <c r="AI187" t="str">
        <f t="shared" si="148"/>
        <v>Industry-Other-Transport -  - Existing</v>
      </c>
      <c r="AJ187" s="70" t="s">
        <v>387</v>
      </c>
      <c r="AK187" s="70" t="s">
        <v>610</v>
      </c>
      <c r="AL187" s="70" t="s">
        <v>480</v>
      </c>
      <c r="AM187" s="70" t="s">
        <v>611</v>
      </c>
      <c r="AO187" s="70" t="str">
        <f>D187</f>
        <v>IOTR</v>
      </c>
      <c r="AP187" s="70" t="str">
        <f>"Industry - "&amp;VLOOKUP(RIGHT(LEFT(AO187,3),2),NameConv!$E$21:$F$301,2,FALSE)&amp;" - " &amp;VLOOKUP(RIGHT(AO187,1),NameConv!$D$42:$E$53,2,FALSE)</f>
        <v>Industry - Other - Transport</v>
      </c>
      <c r="AQ187" s="245" t="s">
        <v>387</v>
      </c>
      <c r="AR187" s="70" t="s">
        <v>631</v>
      </c>
      <c r="AS187" s="70" t="s">
        <v>480</v>
      </c>
      <c r="AV187" s="254" t="s">
        <v>401</v>
      </c>
      <c r="AW187" s="72" t="str">
        <f t="shared" si="150"/>
        <v>IOTR</v>
      </c>
      <c r="AX187" s="254" t="s">
        <v>387</v>
      </c>
      <c r="AY187" s="266">
        <f t="shared" si="151"/>
        <v>4.2</v>
      </c>
    </row>
    <row r="188" spans="1:51" ht="15">
      <c r="A188" s="45" t="str">
        <f>A$5&amp;"-"&amp;A$19&amp;"-"&amp;A$42&amp;" - "&amp;VLOOKUP(RIGHT(C188,3),NameConv!$E$4:$G$20,2,FALSE)&amp;" - New"</f>
        <v>Industry-Other-Transport -  - New</v>
      </c>
      <c r="B188" s="45" t="str">
        <f>D188&amp;RIGHT(C188,3)&amp;"-E"</f>
        <v>IOTRELC-E</v>
      </c>
      <c r="C188" s="213" t="str">
        <f>C169</f>
        <v>IOTELC</v>
      </c>
      <c r="D188" s="46" t="str">
        <f>$B$5&amp;RIGHT($B$167,2)&amp;$B$42</f>
        <v>IOTR</v>
      </c>
      <c r="E188" s="58">
        <v>1</v>
      </c>
      <c r="F188" s="60">
        <v>1</v>
      </c>
      <c r="G188" s="59">
        <v>100</v>
      </c>
      <c r="H188" s="60">
        <f>L188/F188</f>
        <v>0</v>
      </c>
      <c r="I188">
        <v>0</v>
      </c>
      <c r="J188" s="61">
        <v>1</v>
      </c>
      <c r="K188" s="60">
        <v>0</v>
      </c>
      <c r="L188" s="60">
        <f>K188*E188</f>
        <v>0</v>
      </c>
      <c r="N188" s="78">
        <f t="shared" si="158"/>
        <v>0</v>
      </c>
      <c r="O188" s="77">
        <f t="shared" si="169"/>
        <v>0.5</v>
      </c>
      <c r="P188" s="77">
        <f t="shared" si="169"/>
        <v>1</v>
      </c>
      <c r="Q188" s="77">
        <f t="shared" si="169"/>
        <v>1</v>
      </c>
      <c r="R188" s="77"/>
      <c r="S188" s="78">
        <f t="shared" si="167"/>
        <v>0</v>
      </c>
      <c r="T188" s="77">
        <f t="shared" ref="T188:V188" si="173">S188*T$75</f>
        <v>0</v>
      </c>
      <c r="U188" s="77">
        <f t="shared" si="173"/>
        <v>0</v>
      </c>
      <c r="V188" s="77">
        <f t="shared" si="173"/>
        <v>0</v>
      </c>
      <c r="W188" s="74"/>
      <c r="Y188" s="74"/>
      <c r="Z188" s="14"/>
      <c r="AE188" s="13"/>
      <c r="AH188" t="str">
        <f t="shared" si="147"/>
        <v>IOTRELC-E</v>
      </c>
      <c r="AI188" t="str">
        <f t="shared" si="148"/>
        <v>Industry-Other-Transport -  - New</v>
      </c>
      <c r="AJ188" s="70" t="s">
        <v>387</v>
      </c>
      <c r="AK188" s="70" t="s">
        <v>610</v>
      </c>
      <c r="AL188" s="70" t="s">
        <v>480</v>
      </c>
      <c r="AM188" s="70" t="s">
        <v>611</v>
      </c>
      <c r="AO188" s="26" t="s">
        <v>476</v>
      </c>
      <c r="AP188" s="70" t="str">
        <f>A188</f>
        <v>Industry-Other-Transport -  - New</v>
      </c>
      <c r="AQ188" s="245" t="s">
        <v>387</v>
      </c>
      <c r="AR188" s="70" t="s">
        <v>631</v>
      </c>
      <c r="AS188" s="70" t="s">
        <v>632</v>
      </c>
      <c r="AV188" s="72" t="s">
        <v>476</v>
      </c>
      <c r="AW188" s="72" t="str">
        <f t="shared" si="150"/>
        <v>*</v>
      </c>
      <c r="AX188" s="254" t="s">
        <v>387</v>
      </c>
      <c r="AY188" s="266">
        <f t="shared" si="151"/>
        <v>338.97013191086643</v>
      </c>
    </row>
    <row r="189" spans="1:51">
      <c r="P189" s="74" t="str">
        <f>""</f>
        <v/>
      </c>
      <c r="V189" s="74" t="str">
        <f>""</f>
        <v/>
      </c>
      <c r="Y189" s="74"/>
      <c r="Z189" s="14"/>
      <c r="AE189" s="13"/>
    </row>
    <row r="190" spans="1:51" s="82" customFormat="1" ht="15">
      <c r="B190" s="81"/>
      <c r="K190" s="83"/>
      <c r="M190"/>
      <c r="Y190" s="74"/>
      <c r="Z190" s="14"/>
      <c r="AA190"/>
      <c r="AB190"/>
      <c r="AC190"/>
      <c r="AD190"/>
      <c r="AE190" s="13"/>
    </row>
    <row r="191" spans="1:51">
      <c r="Z191" s="14"/>
      <c r="AE191" s="13"/>
    </row>
    <row r="192" spans="1:51">
      <c r="Z192" s="14"/>
      <c r="AE192" s="13"/>
    </row>
    <row r="193" spans="26:31">
      <c r="Z193" s="14"/>
      <c r="AE193" s="13"/>
    </row>
    <row r="194" spans="26:31">
      <c r="Z194" s="14"/>
      <c r="AE194" s="13"/>
    </row>
    <row r="195" spans="26:31">
      <c r="Z195" s="14"/>
      <c r="AE195" s="13"/>
    </row>
    <row r="196" spans="26:31">
      <c r="Z196" s="14"/>
      <c r="AE196" s="13"/>
    </row>
    <row r="197" spans="26:31">
      <c r="Z197" s="14"/>
      <c r="AE197" s="13"/>
    </row>
    <row r="198" spans="26:31">
      <c r="Z198" s="14"/>
      <c r="AE198" s="13"/>
    </row>
    <row r="199" spans="26:31">
      <c r="Z199" s="14"/>
      <c r="AE199" s="13"/>
    </row>
    <row r="200" spans="26:31">
      <c r="Z200" s="14"/>
      <c r="AE200" s="13"/>
    </row>
    <row r="201" spans="26:31">
      <c r="Z201" s="14"/>
      <c r="AE201" s="13"/>
    </row>
    <row r="202" spans="26:31">
      <c r="Z202" s="14"/>
      <c r="AE202" s="13"/>
    </row>
    <row r="203" spans="26:31">
      <c r="Z203" s="14"/>
      <c r="AE203" s="13"/>
    </row>
    <row r="204" spans="26:31">
      <c r="Z204" s="14"/>
      <c r="AE204" s="13"/>
    </row>
    <row r="205" spans="26:31">
      <c r="Z205" s="14"/>
      <c r="AE205" s="13"/>
    </row>
    <row r="206" spans="26:31">
      <c r="Z206" s="14"/>
      <c r="AE206" s="13"/>
    </row>
    <row r="207" spans="26:31">
      <c r="Z207" s="14"/>
      <c r="AE207" s="13"/>
    </row>
    <row r="208" spans="26:31">
      <c r="Z208" s="14"/>
      <c r="AE208" s="13"/>
    </row>
    <row r="209" spans="26:31">
      <c r="Z209" s="263">
        <f>'PAMS central control panel'!C99</f>
        <v>0</v>
      </c>
      <c r="AA209" s="4">
        <f>'PAMS central control panel'!D99</f>
        <v>0.17499999999999999</v>
      </c>
      <c r="AB209" s="4">
        <f>'PAMS central control panel'!E99</f>
        <v>0.35</v>
      </c>
      <c r="AC209" s="4">
        <f>'PAMS central control panel'!F99</f>
        <v>0.35</v>
      </c>
      <c r="AD209" s="4">
        <f>'PAMS central control panel'!G99</f>
        <v>0.35</v>
      </c>
      <c r="AE209" s="264">
        <f>'PAMS central control panel'!H99</f>
        <v>0.35</v>
      </c>
    </row>
    <row r="210" spans="26:31">
      <c r="Z210" s="263">
        <f>'PAMS central control panel'!C100</f>
        <v>0</v>
      </c>
      <c r="AA210" s="4">
        <f>'PAMS central control panel'!D100</f>
        <v>0.17499999999999999</v>
      </c>
      <c r="AB210" s="4">
        <f>'PAMS central control panel'!E100</f>
        <v>0.35</v>
      </c>
      <c r="AC210" s="4">
        <f>'PAMS central control panel'!F100</f>
        <v>0.35</v>
      </c>
      <c r="AD210" s="4">
        <f>'PAMS central control panel'!G100</f>
        <v>0.35</v>
      </c>
      <c r="AE210" s="264">
        <f>'PAMS central control panel'!H100</f>
        <v>0.35</v>
      </c>
    </row>
    <row r="211" spans="26:31">
      <c r="Z211" s="263">
        <f>'PAMS central control panel'!C101</f>
        <v>0</v>
      </c>
      <c r="AA211" s="4">
        <f>'PAMS central control panel'!D101</f>
        <v>0.17499999999999999</v>
      </c>
      <c r="AB211" s="4">
        <f>'PAMS central control panel'!E101</f>
        <v>0.35</v>
      </c>
      <c r="AC211" s="4">
        <f>'PAMS central control panel'!F101</f>
        <v>0.35</v>
      </c>
      <c r="AD211" s="4">
        <f>'PAMS central control panel'!G101</f>
        <v>0.35</v>
      </c>
      <c r="AE211" s="264">
        <f>'PAMS central control panel'!H101</f>
        <v>0.35</v>
      </c>
    </row>
    <row r="212" spans="26:31">
      <c r="Z212" s="263">
        <f>'PAMS central control panel'!C102</f>
        <v>0</v>
      </c>
      <c r="AA212" s="4">
        <f>'PAMS central control panel'!D102</f>
        <v>0.17499999999999999</v>
      </c>
      <c r="AB212" s="4">
        <f>'PAMS central control panel'!E102</f>
        <v>0.35</v>
      </c>
      <c r="AC212" s="4">
        <f>'PAMS central control panel'!F102</f>
        <v>0.35</v>
      </c>
      <c r="AD212" s="4">
        <f>'PAMS central control panel'!G102</f>
        <v>0.35</v>
      </c>
      <c r="AE212" s="264">
        <f>'PAMS central control panel'!H102</f>
        <v>0.35</v>
      </c>
    </row>
    <row r="213" spans="26:31">
      <c r="Z213" s="263">
        <f>'PAMS central control panel'!C103</f>
        <v>0</v>
      </c>
      <c r="AA213" s="4">
        <f>'PAMS central control panel'!D103</f>
        <v>0.17499999999999999</v>
      </c>
      <c r="AB213" s="4">
        <f>'PAMS central control panel'!E103</f>
        <v>0.35</v>
      </c>
      <c r="AC213" s="4">
        <f>'PAMS central control panel'!F103</f>
        <v>0.35</v>
      </c>
      <c r="AD213" s="4">
        <f>'PAMS central control panel'!G103</f>
        <v>0.35</v>
      </c>
      <c r="AE213" s="264">
        <f>'PAMS central control panel'!H103</f>
        <v>0.35</v>
      </c>
    </row>
    <row r="214" spans="26:31">
      <c r="Z214" s="263">
        <f>'PAMS central control panel'!C104</f>
        <v>0</v>
      </c>
      <c r="AA214" s="4">
        <f>'PAMS central control panel'!D104</f>
        <v>0.17499999999999999</v>
      </c>
      <c r="AB214" s="4">
        <f>'PAMS central control panel'!E104</f>
        <v>0.35</v>
      </c>
      <c r="AC214" s="4">
        <f>'PAMS central control panel'!F104</f>
        <v>0.35</v>
      </c>
      <c r="AD214" s="4">
        <f>'PAMS central control panel'!G104</f>
        <v>0.35</v>
      </c>
      <c r="AE214" s="264">
        <f>'PAMS central control panel'!H104</f>
        <v>0.35</v>
      </c>
    </row>
    <row r="215" spans="26:31">
      <c r="Z215" s="263">
        <f>'PAMS central control panel'!C105</f>
        <v>0</v>
      </c>
      <c r="AA215" s="4">
        <f>'PAMS central control panel'!D105</f>
        <v>0.17499999999999999</v>
      </c>
      <c r="AB215" s="4">
        <f>'PAMS central control panel'!E105</f>
        <v>0.35</v>
      </c>
      <c r="AC215" s="4">
        <f>'PAMS central control panel'!F105</f>
        <v>0.35</v>
      </c>
      <c r="AD215" s="4">
        <f>'PAMS central control panel'!G105</f>
        <v>0.35</v>
      </c>
      <c r="AE215" s="264">
        <f>'PAMS central control panel'!H105</f>
        <v>0.35</v>
      </c>
    </row>
    <row r="216" spans="26:31">
      <c r="Z216" s="263">
        <f>'PAMS central control panel'!C106</f>
        <v>0</v>
      </c>
      <c r="AA216" s="4">
        <f>'PAMS central control panel'!D106</f>
        <v>0.17499999999999999</v>
      </c>
      <c r="AB216" s="4">
        <f>'PAMS central control panel'!E106</f>
        <v>0.35</v>
      </c>
      <c r="AC216" s="4">
        <f>'PAMS central control panel'!F106</f>
        <v>0.35</v>
      </c>
      <c r="AD216" s="4">
        <f>'PAMS central control panel'!G106</f>
        <v>0.35</v>
      </c>
      <c r="AE216" s="264">
        <f>'PAMS central control panel'!H106</f>
        <v>0.35</v>
      </c>
    </row>
    <row r="217" spans="26:31">
      <c r="Z217" s="263">
        <f>'PAMS central control panel'!C107</f>
        <v>0</v>
      </c>
      <c r="AA217" s="4">
        <f>'PAMS central control panel'!D107</f>
        <v>0.17499999999999999</v>
      </c>
      <c r="AB217" s="4">
        <f>'PAMS central control panel'!E107</f>
        <v>0.35</v>
      </c>
      <c r="AC217" s="4">
        <f>'PAMS central control panel'!F107</f>
        <v>0.35</v>
      </c>
      <c r="AD217" s="4">
        <f>'PAMS central control panel'!G107</f>
        <v>0.35</v>
      </c>
      <c r="AE217" s="264">
        <f>'PAMS central control panel'!H107</f>
        <v>0.35</v>
      </c>
    </row>
    <row r="218" spans="26:31">
      <c r="Z218" s="263">
        <f>'PAMS central control panel'!C108</f>
        <v>0</v>
      </c>
      <c r="AA218" s="4">
        <f>'PAMS central control panel'!D108</f>
        <v>0</v>
      </c>
      <c r="AB218" s="4">
        <f>'PAMS central control panel'!E108</f>
        <v>0</v>
      </c>
      <c r="AC218" s="4">
        <f>'PAMS central control panel'!F108</f>
        <v>0</v>
      </c>
      <c r="AD218" s="4">
        <f>'PAMS central control panel'!G108</f>
        <v>0</v>
      </c>
      <c r="AE218" s="264">
        <f>'PAMS central control panel'!H108</f>
        <v>0</v>
      </c>
    </row>
    <row r="219" spans="26:31">
      <c r="Z219" s="14"/>
      <c r="AE219" s="13"/>
    </row>
    <row r="220" spans="26:31">
      <c r="Z220" s="14"/>
      <c r="AE220" s="13"/>
    </row>
    <row r="221" spans="26:31">
      <c r="Z221" s="14"/>
      <c r="AE221" s="13"/>
    </row>
    <row r="222" spans="26:31">
      <c r="Z222" s="14"/>
      <c r="AE222" s="13"/>
    </row>
    <row r="223" spans="26:31">
      <c r="Z223" s="14"/>
      <c r="AE223" s="13"/>
    </row>
    <row r="224" spans="26:31">
      <c r="Z224" s="14"/>
      <c r="AE224" s="13"/>
    </row>
    <row r="225" spans="26:31">
      <c r="Z225" s="14"/>
      <c r="AE225" s="13"/>
    </row>
    <row r="226" spans="26:31">
      <c r="Z226" s="14"/>
      <c r="AE226" s="13"/>
    </row>
    <row r="227" spans="26:31">
      <c r="Z227" s="14"/>
      <c r="AE227" s="13"/>
    </row>
    <row r="228" spans="26:31">
      <c r="Z228" s="14"/>
      <c r="AE228" s="13"/>
    </row>
    <row r="229" spans="26:31">
      <c r="Z229" s="14"/>
      <c r="AE229" s="13"/>
    </row>
    <row r="230" spans="26:31">
      <c r="Z230" s="14"/>
      <c r="AE230" s="13"/>
    </row>
    <row r="231" spans="26:31">
      <c r="Z231" s="14"/>
      <c r="AE231" s="13"/>
    </row>
    <row r="232" spans="26:31">
      <c r="Z232" s="14"/>
      <c r="AE232" s="13"/>
    </row>
    <row r="233" spans="26:31">
      <c r="Z233" s="14"/>
      <c r="AE233" s="13"/>
    </row>
    <row r="234" spans="26:31">
      <c r="Z234" s="14"/>
      <c r="AE234" s="13"/>
    </row>
    <row r="235" spans="26:31">
      <c r="Z235" s="14"/>
      <c r="AE235" s="13"/>
    </row>
    <row r="236" spans="26:31">
      <c r="Z236" s="14"/>
      <c r="AE236" s="13"/>
    </row>
    <row r="237" spans="26:31">
      <c r="Z237" s="14"/>
      <c r="AE237" s="13"/>
    </row>
    <row r="238" spans="26:31">
      <c r="Z238" s="14"/>
      <c r="AE238" s="13"/>
    </row>
    <row r="239" spans="26:31">
      <c r="Z239" s="14"/>
      <c r="AE239" s="13"/>
    </row>
    <row r="240" spans="26:31">
      <c r="Z240" s="14"/>
      <c r="AE240" s="13"/>
    </row>
    <row r="241" spans="26:31">
      <c r="Z241" s="14"/>
      <c r="AE241" s="13"/>
    </row>
    <row r="242" spans="26:31">
      <c r="Z242" s="14"/>
      <c r="AE242" s="13"/>
    </row>
    <row r="243" spans="26:31">
      <c r="Z243" s="14"/>
      <c r="AE243" s="13"/>
    </row>
    <row r="244" spans="26:31">
      <c r="Z244" s="14"/>
      <c r="AE244" s="13"/>
    </row>
    <row r="245" spans="26:31">
      <c r="Z245" s="14"/>
      <c r="AE245" s="13"/>
    </row>
    <row r="246" spans="26:31">
      <c r="Z246" s="14"/>
      <c r="AE246" s="13"/>
    </row>
    <row r="247" spans="26:31">
      <c r="Z247" s="14"/>
      <c r="AE247" s="13"/>
    </row>
    <row r="248" spans="26:31">
      <c r="Z248" s="14"/>
      <c r="AE248" s="13"/>
    </row>
    <row r="249" spans="26:31">
      <c r="Z249" s="14"/>
      <c r="AE249" s="13"/>
    </row>
    <row r="250" spans="26:31">
      <c r="Z250" s="263">
        <f>'PAMS central control panel'!C75</f>
        <v>0</v>
      </c>
      <c r="AA250" s="4">
        <f>'PAMS central control panel'!D75</f>
        <v>0.17499999999999999</v>
      </c>
      <c r="AB250" s="4">
        <f>'PAMS central control panel'!E75</f>
        <v>0.35</v>
      </c>
      <c r="AC250" s="4">
        <f>'PAMS central control panel'!F75</f>
        <v>0.35</v>
      </c>
      <c r="AD250" s="4">
        <f>'PAMS central control panel'!G75</f>
        <v>0.35</v>
      </c>
      <c r="AE250" s="264">
        <f>'PAMS central control panel'!H75</f>
        <v>0.35</v>
      </c>
    </row>
    <row r="251" spans="26:31">
      <c r="Z251" s="263">
        <f>'PAMS central control panel'!C76</f>
        <v>0</v>
      </c>
      <c r="AA251" s="4">
        <f>'PAMS central control panel'!D76</f>
        <v>0.17499999999999999</v>
      </c>
      <c r="AB251" s="4">
        <f>'PAMS central control panel'!E76</f>
        <v>0.35</v>
      </c>
      <c r="AC251" s="4">
        <f>'PAMS central control panel'!F76</f>
        <v>0.35</v>
      </c>
      <c r="AD251" s="4">
        <f>'PAMS central control panel'!G76</f>
        <v>0.35</v>
      </c>
      <c r="AE251" s="264">
        <f>'PAMS central control panel'!H76</f>
        <v>0.35</v>
      </c>
    </row>
    <row r="252" spans="26:31">
      <c r="Z252" s="263">
        <f>'PAMS central control panel'!C77</f>
        <v>0</v>
      </c>
      <c r="AA252" s="4">
        <f>'PAMS central control panel'!D77</f>
        <v>0.17499999999999999</v>
      </c>
      <c r="AB252" s="4">
        <f>'PAMS central control panel'!E77</f>
        <v>0.35</v>
      </c>
      <c r="AC252" s="4">
        <f>'PAMS central control panel'!F77</f>
        <v>0.35</v>
      </c>
      <c r="AD252" s="4">
        <f>'PAMS central control panel'!G77</f>
        <v>0.35</v>
      </c>
      <c r="AE252" s="264">
        <f>'PAMS central control panel'!H77</f>
        <v>0.35</v>
      </c>
    </row>
    <row r="253" spans="26:31">
      <c r="Z253" s="263">
        <f>'PAMS central control panel'!C78</f>
        <v>0</v>
      </c>
      <c r="AA253" s="4">
        <f>'PAMS central control panel'!D78</f>
        <v>0.17499999999999999</v>
      </c>
      <c r="AB253" s="4">
        <f>'PAMS central control panel'!E78</f>
        <v>0.35</v>
      </c>
      <c r="AC253" s="4">
        <f>'PAMS central control panel'!F78</f>
        <v>0.35</v>
      </c>
      <c r="AD253" s="4">
        <f>'PAMS central control panel'!G78</f>
        <v>0.35</v>
      </c>
      <c r="AE253" s="264">
        <f>'PAMS central control panel'!H78</f>
        <v>0.35</v>
      </c>
    </row>
    <row r="254" spans="26:31">
      <c r="Z254" s="263">
        <f>'PAMS central control panel'!C79</f>
        <v>0</v>
      </c>
      <c r="AA254" s="4">
        <f>'PAMS central control panel'!D79</f>
        <v>0.17499999999999999</v>
      </c>
      <c r="AB254" s="4">
        <f>'PAMS central control panel'!E79</f>
        <v>0.35</v>
      </c>
      <c r="AC254" s="4">
        <f>'PAMS central control panel'!F79</f>
        <v>0.35</v>
      </c>
      <c r="AD254" s="4">
        <f>'PAMS central control panel'!G79</f>
        <v>0.35</v>
      </c>
      <c r="AE254" s="264">
        <f>'PAMS central control panel'!H79</f>
        <v>0.35</v>
      </c>
    </row>
    <row r="255" spans="26:31">
      <c r="Z255" s="263">
        <f>'PAMS central control panel'!C80</f>
        <v>0</v>
      </c>
      <c r="AA255" s="4">
        <f>'PAMS central control panel'!D80</f>
        <v>0.17499999999999999</v>
      </c>
      <c r="AB255" s="4">
        <f>'PAMS central control panel'!E80</f>
        <v>0.35</v>
      </c>
      <c r="AC255" s="4">
        <f>'PAMS central control panel'!F80</f>
        <v>0.35</v>
      </c>
      <c r="AD255" s="4">
        <f>'PAMS central control panel'!G80</f>
        <v>0.35</v>
      </c>
      <c r="AE255" s="264">
        <f>'PAMS central control panel'!H80</f>
        <v>0.35</v>
      </c>
    </row>
    <row r="256" spans="26:31">
      <c r="Z256" s="263">
        <f>'PAMS central control panel'!C81</f>
        <v>0</v>
      </c>
      <c r="AA256" s="4">
        <f>'PAMS central control panel'!D81</f>
        <v>0.17499999999999999</v>
      </c>
      <c r="AB256" s="4">
        <f>'PAMS central control panel'!E81</f>
        <v>0.35</v>
      </c>
      <c r="AC256" s="4">
        <f>'PAMS central control panel'!F81</f>
        <v>0.35</v>
      </c>
      <c r="AD256" s="4">
        <f>'PAMS central control panel'!G81</f>
        <v>0.35</v>
      </c>
      <c r="AE256" s="264">
        <f>'PAMS central control panel'!H81</f>
        <v>0.35</v>
      </c>
    </row>
    <row r="257" spans="26:31">
      <c r="Z257" s="263">
        <f>'PAMS central control panel'!C82</f>
        <v>0</v>
      </c>
      <c r="AA257" s="4">
        <f>'PAMS central control panel'!D82</f>
        <v>0.17499999999999999</v>
      </c>
      <c r="AB257" s="4">
        <f>'PAMS central control panel'!E82</f>
        <v>0.35</v>
      </c>
      <c r="AC257" s="4">
        <f>'PAMS central control panel'!F82</f>
        <v>0.35</v>
      </c>
      <c r="AD257" s="4">
        <f>'PAMS central control panel'!G82</f>
        <v>0.35</v>
      </c>
      <c r="AE257" s="264">
        <f>'PAMS central control panel'!H82</f>
        <v>0.35</v>
      </c>
    </row>
    <row r="258" spans="26:31">
      <c r="Z258" s="263">
        <f>'PAMS central control panel'!C83</f>
        <v>0</v>
      </c>
      <c r="AA258" s="4">
        <f>'PAMS central control panel'!D83</f>
        <v>0.17499999999999999</v>
      </c>
      <c r="AB258" s="4">
        <f>'PAMS central control panel'!E83</f>
        <v>0.35</v>
      </c>
      <c r="AC258" s="4">
        <f>'PAMS central control panel'!F83</f>
        <v>0.35</v>
      </c>
      <c r="AD258" s="4">
        <f>'PAMS central control panel'!G83</f>
        <v>0.35</v>
      </c>
      <c r="AE258" s="264">
        <f>'PAMS central control panel'!H83</f>
        <v>0.35</v>
      </c>
    </row>
    <row r="259" spans="26:31">
      <c r="Z259" s="263">
        <f>'PAMS central control panel'!C84</f>
        <v>0</v>
      </c>
      <c r="AA259" s="4">
        <f>'PAMS central control panel'!D84</f>
        <v>0</v>
      </c>
      <c r="AB259" s="4">
        <f>'PAMS central control panel'!E84</f>
        <v>0</v>
      </c>
      <c r="AC259" s="4">
        <f>'PAMS central control panel'!F84</f>
        <v>0</v>
      </c>
      <c r="AD259" s="4">
        <f>'PAMS central control panel'!G84</f>
        <v>0</v>
      </c>
      <c r="AE259" s="264">
        <f>'PAMS central control panel'!H84</f>
        <v>0</v>
      </c>
    </row>
    <row r="260" spans="26:31">
      <c r="Z260" s="263">
        <f>'PAMS central control panel'!C85</f>
        <v>0</v>
      </c>
      <c r="AA260" s="4">
        <f>'PAMS central control panel'!D85</f>
        <v>0</v>
      </c>
      <c r="AB260" s="4">
        <f>'PAMS central control panel'!E85</f>
        <v>0</v>
      </c>
      <c r="AC260" s="4">
        <f>'PAMS central control panel'!F85</f>
        <v>0</v>
      </c>
      <c r="AD260" s="4">
        <f>'PAMS central control panel'!G85</f>
        <v>0</v>
      </c>
      <c r="AE260" s="264">
        <f>'PAMS central control panel'!H85</f>
        <v>0</v>
      </c>
    </row>
    <row r="261" spans="26:31">
      <c r="Z261" s="14"/>
      <c r="AE261" s="13"/>
    </row>
    <row r="262" spans="26:31">
      <c r="Z262" s="14"/>
      <c r="AE262" s="13"/>
    </row>
    <row r="263" spans="26:31">
      <c r="Z263" s="14"/>
      <c r="AE263" s="13"/>
    </row>
    <row r="264" spans="26:31">
      <c r="Z264" s="14"/>
      <c r="AE264" s="13"/>
    </row>
    <row r="265" spans="26:31">
      <c r="Z265" s="14"/>
      <c r="AE265" s="13"/>
    </row>
    <row r="266" spans="26:31">
      <c r="Z266" s="14"/>
      <c r="AE266" s="13"/>
    </row>
    <row r="267" spans="26:31">
      <c r="Z267" s="14"/>
      <c r="AE267" s="13"/>
    </row>
    <row r="268" spans="26:31">
      <c r="Z268" s="14"/>
      <c r="AE268" s="13"/>
    </row>
    <row r="269" spans="26:31">
      <c r="Z269" s="14"/>
      <c r="AE269" s="13"/>
    </row>
    <row r="270" spans="26:31">
      <c r="Z270" s="14"/>
      <c r="AE270" s="13"/>
    </row>
    <row r="271" spans="26:31">
      <c r="Z271" s="14"/>
      <c r="AE271" s="13"/>
    </row>
    <row r="272" spans="26:31">
      <c r="Z272" s="14"/>
      <c r="AE272" s="13"/>
    </row>
    <row r="273" spans="26:31">
      <c r="Z273" s="119"/>
      <c r="AA273" s="10"/>
      <c r="AB273" s="10"/>
      <c r="AC273" s="10"/>
      <c r="AD273" s="10"/>
      <c r="AE273" s="120"/>
    </row>
  </sheetData>
  <dataConsolidate link="1"/>
  <mergeCells count="1">
    <mergeCell ref="B1:D1"/>
  </mergeCells>
  <conditionalFormatting sqref="C10:L19">
    <cfRule type="expression" dxfId="3" priority="1">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81">
    <tabColor rgb="FFFFFF00"/>
  </sheetPr>
  <dimension ref="A2:AB268"/>
  <sheetViews>
    <sheetView zoomScale="115" zoomScaleNormal="115" workbookViewId="0">
      <selection activeCell="F32" sqref="F32"/>
    </sheetView>
  </sheetViews>
  <sheetFormatPr defaultRowHeight="12.75"/>
  <cols>
    <col min="2" max="2" width="16.25" customWidth="1"/>
    <col min="3" max="3" width="15.75" customWidth="1"/>
    <col min="5" max="5" width="14.125" customWidth="1"/>
    <col min="6" max="6" width="19.375" bestFit="1" customWidth="1"/>
    <col min="7" max="8" width="20.375" bestFit="1" customWidth="1"/>
    <col min="9" max="9" width="10.75" customWidth="1"/>
    <col min="10" max="11" width="20.375" bestFit="1" customWidth="1"/>
    <col min="14" max="14" width="10.25" customWidth="1"/>
    <col min="18" max="18" width="11.25" customWidth="1"/>
  </cols>
  <sheetData>
    <row r="2" spans="2:12">
      <c r="B2" s="26" t="s">
        <v>496</v>
      </c>
      <c r="C2" s="186" t="b">
        <v>0</v>
      </c>
    </row>
    <row r="3" spans="2:12">
      <c r="B3" s="26" t="s">
        <v>497</v>
      </c>
      <c r="C3" s="28" t="b">
        <v>0</v>
      </c>
      <c r="E3" s="26" t="s">
        <v>498</v>
      </c>
    </row>
    <row r="4" spans="2:12">
      <c r="E4" s="130" t="s">
        <v>499</v>
      </c>
    </row>
    <row r="5" spans="2:12">
      <c r="B5" s="26"/>
      <c r="C5" s="186"/>
    </row>
    <row r="6" spans="2:12" ht="18">
      <c r="B6" s="117"/>
      <c r="C6" s="217" t="s">
        <v>413</v>
      </c>
      <c r="D6" s="148"/>
      <c r="E6" s="148"/>
      <c r="F6" s="148"/>
      <c r="G6" s="148"/>
      <c r="H6" s="148"/>
      <c r="I6" s="148"/>
      <c r="J6" s="148"/>
      <c r="K6" s="148"/>
      <c r="L6" s="118"/>
    </row>
    <row r="7" spans="2:12">
      <c r="B7" s="14"/>
      <c r="C7" s="28" t="s">
        <v>500</v>
      </c>
      <c r="L7" s="13"/>
    </row>
    <row r="8" spans="2:12">
      <c r="B8" s="14"/>
      <c r="C8" t="s">
        <v>501</v>
      </c>
      <c r="D8" t="s">
        <v>502</v>
      </c>
      <c r="L8" s="13"/>
    </row>
    <row r="9" spans="2:12">
      <c r="B9" s="14"/>
      <c r="C9" t="s">
        <v>503</v>
      </c>
      <c r="D9" t="s">
        <v>504</v>
      </c>
      <c r="L9" s="13"/>
    </row>
    <row r="10" spans="2:12">
      <c r="B10" s="14"/>
      <c r="C10" s="26" t="s">
        <v>505</v>
      </c>
      <c r="D10" s="174" t="s">
        <v>501</v>
      </c>
      <c r="L10" s="13"/>
    </row>
    <row r="11" spans="2:12" ht="13.5" thickBot="1">
      <c r="B11" s="14"/>
      <c r="G11" s="28" t="s">
        <v>506</v>
      </c>
      <c r="L11" s="13"/>
    </row>
    <row r="12" spans="2:12">
      <c r="B12" s="14"/>
      <c r="C12" s="164"/>
      <c r="D12" s="156"/>
      <c r="E12" s="157"/>
      <c r="G12" s="26" t="s">
        <v>507</v>
      </c>
      <c r="L12" s="13"/>
    </row>
    <row r="13" spans="2:12">
      <c r="B13" s="14"/>
      <c r="C13" s="220" t="s">
        <v>508</v>
      </c>
      <c r="E13" s="159"/>
      <c r="G13" s="28" t="s">
        <v>509</v>
      </c>
      <c r="H13" s="28" t="s">
        <v>200</v>
      </c>
      <c r="I13" s="28" t="s">
        <v>510</v>
      </c>
      <c r="J13" s="28" t="s">
        <v>511</v>
      </c>
      <c r="L13" s="13"/>
    </row>
    <row r="14" spans="2:12">
      <c r="B14" s="14"/>
      <c r="C14" s="160" t="s">
        <v>104</v>
      </c>
      <c r="D14">
        <f t="shared" ref="D14:D22" si="0">IF(pamsindex,1,0)</f>
        <v>0</v>
      </c>
      <c r="E14" s="159"/>
      <c r="G14" s="26" t="s">
        <v>202</v>
      </c>
      <c r="H14" s="28"/>
      <c r="I14" t="b">
        <f>'[1]PAMS and scenarios'!$B$4</f>
        <v>0</v>
      </c>
      <c r="J14" t="str">
        <f>'[1]PAMS and scenarios'!$B$5</f>
        <v>PAMS</v>
      </c>
      <c r="L14" s="13"/>
    </row>
    <row r="15" spans="2:12">
      <c r="B15" s="14"/>
      <c r="C15" s="160" t="s">
        <v>8</v>
      </c>
      <c r="D15">
        <f t="shared" si="0"/>
        <v>0</v>
      </c>
      <c r="E15" s="159"/>
      <c r="G15" s="26" t="s">
        <v>10</v>
      </c>
      <c r="H15" s="28"/>
      <c r="I15" t="b" cm="1">
        <f t="array" ref="I15">[2]!pamsindex</f>
        <v>0</v>
      </c>
      <c r="J15" t="str">
        <f>'[2]PAMS levers'!$C$4</f>
        <v>High</v>
      </c>
      <c r="L15" s="13"/>
    </row>
    <row r="16" spans="2:12">
      <c r="B16" s="14"/>
      <c r="C16" s="160" t="s">
        <v>107</v>
      </c>
      <c r="D16">
        <f t="shared" si="0"/>
        <v>0</v>
      </c>
      <c r="E16" s="159"/>
      <c r="G16" s="26" t="s">
        <v>512</v>
      </c>
      <c r="H16" s="28"/>
      <c r="I16" t="b">
        <f>'[3]PAMS levers'!$B$2</f>
        <v>0</v>
      </c>
      <c r="J16" t="str">
        <f>'[3]PAMS levers'!$B$3</f>
        <v>High</v>
      </c>
      <c r="L16" s="13"/>
    </row>
    <row r="17" spans="2:12">
      <c r="B17" s="14"/>
      <c r="C17" s="158" t="s">
        <v>109</v>
      </c>
      <c r="D17">
        <f t="shared" si="0"/>
        <v>0</v>
      </c>
      <c r="E17" s="159"/>
      <c r="G17" s="26" t="s">
        <v>8</v>
      </c>
      <c r="H17" s="28" t="s">
        <v>513</v>
      </c>
      <c r="I17" t="b" cm="1">
        <f t="array" ref="I17">[4]!FA_PAMS_index</f>
        <v>0</v>
      </c>
      <c r="J17" t="str">
        <f>[4]Index!$I$9</f>
        <v>High</v>
      </c>
      <c r="L17" s="13"/>
    </row>
    <row r="18" spans="2:12">
      <c r="B18" s="14"/>
      <c r="C18" s="158" t="s">
        <v>111</v>
      </c>
      <c r="D18">
        <f t="shared" si="0"/>
        <v>0</v>
      </c>
      <c r="E18" s="159"/>
      <c r="G18" s="26" t="s">
        <v>514</v>
      </c>
      <c r="H18" s="28" t="s">
        <v>515</v>
      </c>
      <c r="I18" t="b">
        <f>[5]Index!$M$10</f>
        <v>0</v>
      </c>
      <c r="J18" t="str">
        <f>[5]Index!$M$11</f>
        <v>High</v>
      </c>
      <c r="L18" s="13"/>
    </row>
    <row r="19" spans="2:12">
      <c r="B19" s="14"/>
      <c r="C19" s="158" t="s">
        <v>113</v>
      </c>
      <c r="D19">
        <f t="shared" si="0"/>
        <v>0</v>
      </c>
      <c r="E19" s="159"/>
      <c r="G19" s="26" t="s">
        <v>9</v>
      </c>
      <c r="H19" s="28" t="s">
        <v>516</v>
      </c>
      <c r="I19" t="b">
        <f>[6]Index!$J$9</f>
        <v>0</v>
      </c>
      <c r="J19" t="str">
        <f>[6]Index!$J$10</f>
        <v>High</v>
      </c>
      <c r="L19" s="13"/>
    </row>
    <row r="20" spans="2:12">
      <c r="B20" s="14"/>
      <c r="C20" s="158" t="s">
        <v>115</v>
      </c>
      <c r="D20">
        <f t="shared" si="0"/>
        <v>0</v>
      </c>
      <c r="E20" s="159"/>
      <c r="H20" s="26"/>
      <c r="L20" s="13"/>
    </row>
    <row r="21" spans="2:12">
      <c r="B21" s="14"/>
      <c r="C21" s="158" t="s">
        <v>11</v>
      </c>
      <c r="D21">
        <f t="shared" si="0"/>
        <v>0</v>
      </c>
      <c r="E21" s="159"/>
      <c r="H21" s="26"/>
      <c r="L21" s="13"/>
    </row>
    <row r="22" spans="2:12">
      <c r="B22" s="14"/>
      <c r="C22" s="158" t="s">
        <v>119</v>
      </c>
      <c r="D22">
        <f t="shared" si="0"/>
        <v>0</v>
      </c>
      <c r="E22" s="159"/>
      <c r="H22" s="26"/>
      <c r="L22" s="13"/>
    </row>
    <row r="23" spans="2:12" ht="13.5" thickBot="1">
      <c r="B23" s="14"/>
      <c r="C23" s="161"/>
      <c r="D23" s="162"/>
      <c r="E23" s="163"/>
      <c r="H23" s="26"/>
      <c r="L23" s="13"/>
    </row>
    <row r="24" spans="2:12">
      <c r="B24" s="14"/>
      <c r="L24" s="13"/>
    </row>
    <row r="25" spans="2:12">
      <c r="B25" s="14"/>
      <c r="L25" s="13"/>
    </row>
    <row r="26" spans="2:12">
      <c r="B26" s="166"/>
      <c r="C26" s="186"/>
      <c r="L26" s="13"/>
    </row>
    <row r="27" spans="2:12">
      <c r="B27" s="218"/>
      <c r="C27" s="219"/>
      <c r="D27" s="10"/>
      <c r="E27" s="10"/>
      <c r="F27" s="10"/>
      <c r="G27" s="10"/>
      <c r="H27" s="10"/>
      <c r="I27" s="10"/>
      <c r="J27" s="10"/>
      <c r="K27" s="10"/>
      <c r="L27" s="120"/>
    </row>
    <row r="28" spans="2:12">
      <c r="B28" s="26"/>
      <c r="C28" s="186"/>
    </row>
    <row r="29" spans="2:12">
      <c r="B29" s="26"/>
      <c r="C29" s="186"/>
    </row>
    <row r="30" spans="2:12">
      <c r="B30" s="26"/>
      <c r="C30" s="186"/>
    </row>
    <row r="31" spans="2:12">
      <c r="B31" s="26"/>
      <c r="C31" s="186"/>
    </row>
    <row r="32" spans="2:12">
      <c r="B32" s="186"/>
      <c r="C32" s="28"/>
    </row>
    <row r="33" spans="1:22">
      <c r="B33" s="186"/>
      <c r="C33" s="28"/>
    </row>
    <row r="34" spans="1:22">
      <c r="B34" s="186"/>
      <c r="C34" s="28"/>
    </row>
    <row r="35" spans="1:22">
      <c r="B35" s="186"/>
      <c r="C35" s="28"/>
    </row>
    <row r="36" spans="1:22">
      <c r="B36" s="186"/>
      <c r="C36" s="28"/>
    </row>
    <row r="37" spans="1:22">
      <c r="B37" s="186"/>
      <c r="C37" s="28"/>
    </row>
    <row r="38" spans="1:22">
      <c r="C38" s="28"/>
      <c r="T38">
        <v>41</v>
      </c>
    </row>
    <row r="39" spans="1:22">
      <c r="B39" s="26"/>
      <c r="D39">
        <v>2015</v>
      </c>
      <c r="E39">
        <v>2020</v>
      </c>
      <c r="F39">
        <v>2025</v>
      </c>
      <c r="G39">
        <v>2030</v>
      </c>
      <c r="T39">
        <v>37.799999999999997</v>
      </c>
    </row>
    <row r="40" spans="1:22">
      <c r="C40" s="26" t="s">
        <v>517</v>
      </c>
      <c r="D40">
        <v>0</v>
      </c>
      <c r="E40" s="4">
        <f>($G$40/3)</f>
        <v>5.3333333333333337E-2</v>
      </c>
      <c r="F40" s="4">
        <f>E40+E40</f>
        <v>0.10666666666666667</v>
      </c>
      <c r="G40" s="4">
        <f>IF(PAMSlevel = "High", 16%,8%)</f>
        <v>0.16</v>
      </c>
      <c r="U40">
        <f>T38-T39</f>
        <v>3.2000000000000028</v>
      </c>
      <c r="V40">
        <f>U40/T38</f>
        <v>7.8048780487804947E-2</v>
      </c>
    </row>
    <row r="42" spans="1:22" ht="13.5" thickBot="1">
      <c r="A42" s="26"/>
      <c r="B42" s="26"/>
      <c r="C42" s="26"/>
      <c r="D42" s="26"/>
    </row>
    <row r="43" spans="1:22">
      <c r="B43" s="187" t="s">
        <v>518</v>
      </c>
      <c r="C43" s="156"/>
      <c r="D43" s="156"/>
      <c r="E43" s="156"/>
      <c r="F43" s="156"/>
      <c r="G43" s="156"/>
      <c r="H43" s="156"/>
      <c r="I43" s="157"/>
      <c r="K43" s="165" t="s">
        <v>519</v>
      </c>
      <c r="L43" s="148"/>
      <c r="M43" s="148"/>
      <c r="N43" s="148"/>
      <c r="O43" s="148"/>
      <c r="P43" s="148"/>
      <c r="Q43" s="118"/>
    </row>
    <row r="44" spans="1:22">
      <c r="B44" s="158"/>
      <c r="C44">
        <f>IND!AB58</f>
        <v>2020</v>
      </c>
      <c r="D44">
        <f>IND!AC58</f>
        <v>2025</v>
      </c>
      <c r="E44">
        <f>IND!AD58</f>
        <v>2030</v>
      </c>
      <c r="F44">
        <f>IND!AE58</f>
        <v>2035</v>
      </c>
      <c r="G44">
        <f>IND!AF58</f>
        <v>2040</v>
      </c>
      <c r="H44">
        <f>IND!AG58</f>
        <v>2050</v>
      </c>
      <c r="I44" s="159"/>
      <c r="K44" s="166" t="s">
        <v>520</v>
      </c>
      <c r="Q44" s="13"/>
    </row>
    <row r="45" spans="1:22">
      <c r="B45" s="158"/>
      <c r="I45" s="159"/>
      <c r="K45" s="14"/>
      <c r="L45">
        <v>2012</v>
      </c>
      <c r="M45">
        <v>2015</v>
      </c>
      <c r="N45">
        <v>2020</v>
      </c>
      <c r="O45">
        <v>2025</v>
      </c>
      <c r="P45">
        <v>2030</v>
      </c>
      <c r="Q45" s="13"/>
    </row>
    <row r="46" spans="1:22">
      <c r="B46" s="158" t="s">
        <v>423</v>
      </c>
      <c r="C46" s="190">
        <v>0</v>
      </c>
      <c r="D46" s="207">
        <f>IF(PAMSlevel = "High",O47,O47*0.5)</f>
        <v>0.03</v>
      </c>
      <c r="E46" s="207">
        <f>IF(PAMSlevel = "High",P47,P47*0.5)</f>
        <v>0.04</v>
      </c>
      <c r="F46" s="190">
        <f>E46</f>
        <v>0.04</v>
      </c>
      <c r="G46" s="190">
        <f>F46</f>
        <v>0.04</v>
      </c>
      <c r="H46" s="190">
        <f>G46</f>
        <v>0.04</v>
      </c>
      <c r="I46" s="159"/>
      <c r="K46" s="166"/>
      <c r="L46" s="191"/>
      <c r="M46" s="191"/>
      <c r="N46" s="191"/>
      <c r="O46" s="191"/>
      <c r="P46" s="191"/>
      <c r="Q46" s="13"/>
    </row>
    <row r="47" spans="1:22">
      <c r="B47" s="158" t="s">
        <v>424</v>
      </c>
      <c r="C47" s="190">
        <f>C46</f>
        <v>0</v>
      </c>
      <c r="D47" s="190">
        <f>D46</f>
        <v>0.03</v>
      </c>
      <c r="E47" s="190">
        <f>E46</f>
        <v>0.04</v>
      </c>
      <c r="F47" s="190">
        <f t="shared" ref="F47:H55" si="1">E47</f>
        <v>0.04</v>
      </c>
      <c r="G47" s="190">
        <f t="shared" si="1"/>
        <v>0.04</v>
      </c>
      <c r="H47" s="190">
        <f t="shared" si="1"/>
        <v>0.04</v>
      </c>
      <c r="I47" s="159"/>
      <c r="K47" s="166" t="s">
        <v>521</v>
      </c>
      <c r="N47" s="4">
        <v>0</v>
      </c>
      <c r="O47" s="5">
        <v>0.03</v>
      </c>
      <c r="P47" s="189">
        <v>0.04</v>
      </c>
      <c r="Q47" s="13"/>
    </row>
    <row r="48" spans="1:22">
      <c r="B48" s="158" t="s">
        <v>281</v>
      </c>
      <c r="C48" s="190">
        <f t="shared" ref="C48:C54" si="2">C47</f>
        <v>0</v>
      </c>
      <c r="D48" s="190">
        <f t="shared" ref="D48:D54" si="3">D47</f>
        <v>0.03</v>
      </c>
      <c r="E48" s="190">
        <f t="shared" ref="E48:E54" si="4">E47</f>
        <v>0.04</v>
      </c>
      <c r="F48" s="190">
        <f t="shared" si="1"/>
        <v>0.04</v>
      </c>
      <c r="G48" s="190">
        <f t="shared" si="1"/>
        <v>0.04</v>
      </c>
      <c r="H48" s="190">
        <f t="shared" si="1"/>
        <v>0.04</v>
      </c>
      <c r="I48" s="159"/>
      <c r="K48" s="14"/>
      <c r="Q48" s="13"/>
    </row>
    <row r="49" spans="1:20">
      <c r="B49" s="158" t="s">
        <v>282</v>
      </c>
      <c r="C49" s="190">
        <f t="shared" si="2"/>
        <v>0</v>
      </c>
      <c r="D49" s="190">
        <f t="shared" si="3"/>
        <v>0.03</v>
      </c>
      <c r="E49" s="190">
        <f t="shared" si="4"/>
        <v>0.04</v>
      </c>
      <c r="F49" s="190">
        <f t="shared" si="1"/>
        <v>0.04</v>
      </c>
      <c r="G49" s="190">
        <f t="shared" si="1"/>
        <v>0.04</v>
      </c>
      <c r="H49" s="190">
        <f t="shared" si="1"/>
        <v>0.04</v>
      </c>
      <c r="I49" s="159"/>
      <c r="K49" s="119"/>
      <c r="L49" s="10"/>
      <c r="M49" s="10"/>
      <c r="N49" s="10"/>
      <c r="O49" s="10"/>
      <c r="P49" s="10"/>
      <c r="Q49" s="120"/>
    </row>
    <row r="50" spans="1:20">
      <c r="B50" s="158" t="s">
        <v>283</v>
      </c>
      <c r="C50" s="190">
        <f t="shared" si="2"/>
        <v>0</v>
      </c>
      <c r="D50" s="190">
        <f t="shared" si="3"/>
        <v>0.03</v>
      </c>
      <c r="E50" s="190">
        <f t="shared" si="4"/>
        <v>0.04</v>
      </c>
      <c r="F50" s="190">
        <f t="shared" si="1"/>
        <v>0.04</v>
      </c>
      <c r="G50" s="190">
        <f t="shared" si="1"/>
        <v>0.04</v>
      </c>
      <c r="H50" s="190">
        <f t="shared" si="1"/>
        <v>0.04</v>
      </c>
      <c r="I50" s="159"/>
      <c r="K50" s="149"/>
      <c r="L50" s="149"/>
      <c r="M50" s="149"/>
      <c r="O50" s="191"/>
    </row>
    <row r="51" spans="1:20">
      <c r="B51" s="158" t="s">
        <v>284</v>
      </c>
      <c r="C51" s="190">
        <f t="shared" si="2"/>
        <v>0</v>
      </c>
      <c r="D51" s="190">
        <f t="shared" si="3"/>
        <v>0.03</v>
      </c>
      <c r="E51" s="190">
        <f t="shared" si="4"/>
        <v>0.04</v>
      </c>
      <c r="F51" s="190">
        <f t="shared" si="1"/>
        <v>0.04</v>
      </c>
      <c r="G51" s="190">
        <f t="shared" si="1"/>
        <v>0.04</v>
      </c>
      <c r="H51" s="190">
        <f t="shared" si="1"/>
        <v>0.04</v>
      </c>
      <c r="I51" s="159"/>
    </row>
    <row r="52" spans="1:20">
      <c r="B52" s="158" t="s">
        <v>285</v>
      </c>
      <c r="C52" s="190">
        <f t="shared" si="2"/>
        <v>0</v>
      </c>
      <c r="D52" s="190">
        <f t="shared" si="3"/>
        <v>0.03</v>
      </c>
      <c r="E52" s="190">
        <f>E51</f>
        <v>0.04</v>
      </c>
      <c r="F52" s="190">
        <f>E52</f>
        <v>0.04</v>
      </c>
      <c r="G52" s="190">
        <f t="shared" si="1"/>
        <v>0.04</v>
      </c>
      <c r="H52" s="190">
        <f>G52</f>
        <v>0.04</v>
      </c>
      <c r="I52" s="159"/>
      <c r="T52" s="26"/>
    </row>
    <row r="53" spans="1:20">
      <c r="B53" s="158" t="s">
        <v>118</v>
      </c>
      <c r="C53" s="190">
        <f t="shared" si="2"/>
        <v>0</v>
      </c>
      <c r="D53" s="190">
        <f t="shared" si="3"/>
        <v>0.03</v>
      </c>
      <c r="E53" s="190">
        <f t="shared" si="4"/>
        <v>0.04</v>
      </c>
      <c r="F53" s="190">
        <f t="shared" si="1"/>
        <v>0.04</v>
      </c>
      <c r="G53" s="190">
        <f>F53</f>
        <v>0.04</v>
      </c>
      <c r="H53" s="190">
        <f t="shared" si="1"/>
        <v>0.04</v>
      </c>
      <c r="I53" s="159"/>
    </row>
    <row r="54" spans="1:20">
      <c r="B54" s="158" t="s">
        <v>287</v>
      </c>
      <c r="C54" s="190">
        <f t="shared" si="2"/>
        <v>0</v>
      </c>
      <c r="D54" s="190">
        <f t="shared" si="3"/>
        <v>0.03</v>
      </c>
      <c r="E54" s="190">
        <f t="shared" si="4"/>
        <v>0.04</v>
      </c>
      <c r="F54" s="190">
        <f t="shared" si="1"/>
        <v>0.04</v>
      </c>
      <c r="G54" s="190">
        <f t="shared" si="1"/>
        <v>0.04</v>
      </c>
      <c r="H54" s="190">
        <f t="shared" si="1"/>
        <v>0.04</v>
      </c>
      <c r="I54" s="159"/>
    </row>
    <row r="55" spans="1:20">
      <c r="B55" s="158" t="s">
        <v>425</v>
      </c>
      <c r="C55" s="23">
        <v>0</v>
      </c>
      <c r="D55" s="23">
        <v>0</v>
      </c>
      <c r="E55" s="23">
        <v>0</v>
      </c>
      <c r="F55" s="23">
        <f t="shared" si="1"/>
        <v>0</v>
      </c>
      <c r="G55" s="23">
        <f t="shared" si="1"/>
        <v>0</v>
      </c>
      <c r="H55" s="23">
        <f t="shared" si="1"/>
        <v>0</v>
      </c>
      <c r="I55" s="159"/>
    </row>
    <row r="56" spans="1:20" ht="13.5" thickBot="1">
      <c r="B56" s="161"/>
      <c r="C56" s="162"/>
      <c r="D56" s="162"/>
      <c r="E56" s="162"/>
      <c r="F56" s="162"/>
      <c r="G56" s="162"/>
      <c r="H56" s="162"/>
      <c r="I56" s="163"/>
      <c r="N56" s="26"/>
    </row>
    <row r="59" spans="1:20" ht="15">
      <c r="B59" s="104"/>
      <c r="C59" s="104"/>
      <c r="D59" s="104"/>
      <c r="E59" s="104"/>
      <c r="F59" s="104"/>
      <c r="G59" s="104"/>
      <c r="H59" s="104"/>
      <c r="I59" s="104"/>
      <c r="J59" s="104"/>
    </row>
    <row r="60" spans="1:20" ht="15">
      <c r="B60" s="188" t="s">
        <v>522</v>
      </c>
      <c r="C60" s="104"/>
      <c r="D60" s="104"/>
      <c r="E60" s="104"/>
      <c r="F60" s="104"/>
      <c r="G60" s="104"/>
      <c r="H60" s="104"/>
      <c r="I60" s="104"/>
      <c r="J60" s="104"/>
    </row>
    <row r="61" spans="1:20" ht="15">
      <c r="B61" s="104"/>
      <c r="C61" s="130" t="s">
        <v>523</v>
      </c>
      <c r="D61" s="104"/>
      <c r="E61" s="104"/>
    </row>
    <row r="62" spans="1:20" ht="15">
      <c r="B62" s="104"/>
      <c r="C62" s="104">
        <v>2020</v>
      </c>
      <c r="D62" s="104">
        <v>2025</v>
      </c>
      <c r="E62" s="104">
        <v>2030</v>
      </c>
      <c r="F62" s="104">
        <v>2035</v>
      </c>
      <c r="G62">
        <v>2040</v>
      </c>
      <c r="H62">
        <v>2050</v>
      </c>
    </row>
    <row r="63" spans="1:20" ht="15">
      <c r="A63" s="188" t="s">
        <v>524</v>
      </c>
      <c r="B63" t="s">
        <v>423</v>
      </c>
      <c r="C63" s="4">
        <v>0</v>
      </c>
      <c r="D63" s="4">
        <f>C63+E63/2</f>
        <v>0.17499999999999999</v>
      </c>
      <c r="E63" s="205">
        <f t="shared" ref="E63:E70" si="5">IF(PAMSlevel = "High",35%,18%)</f>
        <v>0.35</v>
      </c>
      <c r="F63" s="4">
        <f t="shared" ref="F63:H71" si="6">E63</f>
        <v>0.35</v>
      </c>
      <c r="G63" s="4">
        <f t="shared" si="6"/>
        <v>0.35</v>
      </c>
      <c r="H63" s="4">
        <f t="shared" si="6"/>
        <v>0.35</v>
      </c>
    </row>
    <row r="64" spans="1:20" ht="15">
      <c r="A64" s="188" t="s">
        <v>524</v>
      </c>
      <c r="B64" t="s">
        <v>424</v>
      </c>
      <c r="C64" s="4">
        <v>0</v>
      </c>
      <c r="D64" s="4">
        <f t="shared" ref="D64:D71" si="7">C64+E64/2</f>
        <v>0.17499999999999999</v>
      </c>
      <c r="E64" s="205">
        <f t="shared" si="5"/>
        <v>0.35</v>
      </c>
      <c r="F64" s="4">
        <f t="shared" si="6"/>
        <v>0.35</v>
      </c>
      <c r="G64" s="4">
        <f t="shared" si="6"/>
        <v>0.35</v>
      </c>
      <c r="H64" s="4">
        <f t="shared" si="6"/>
        <v>0.35</v>
      </c>
    </row>
    <row r="65" spans="1:10" ht="15">
      <c r="A65" s="188" t="s">
        <v>524</v>
      </c>
      <c r="B65" t="s">
        <v>281</v>
      </c>
      <c r="C65" s="4">
        <v>0</v>
      </c>
      <c r="D65" s="4">
        <f t="shared" si="7"/>
        <v>0.17499999999999999</v>
      </c>
      <c r="E65" s="205">
        <f t="shared" si="5"/>
        <v>0.35</v>
      </c>
      <c r="F65" s="4">
        <f t="shared" si="6"/>
        <v>0.35</v>
      </c>
      <c r="G65" s="4">
        <f t="shared" si="6"/>
        <v>0.35</v>
      </c>
      <c r="H65" s="4">
        <f t="shared" si="6"/>
        <v>0.35</v>
      </c>
    </row>
    <row r="66" spans="1:10" ht="15">
      <c r="A66" s="188" t="s">
        <v>524</v>
      </c>
      <c r="B66" t="s">
        <v>282</v>
      </c>
      <c r="C66" s="4">
        <v>0</v>
      </c>
      <c r="D66" s="4">
        <f t="shared" si="7"/>
        <v>0.17499999999999999</v>
      </c>
      <c r="E66" s="205">
        <f t="shared" si="5"/>
        <v>0.35</v>
      </c>
      <c r="F66" s="4">
        <f t="shared" si="6"/>
        <v>0.35</v>
      </c>
      <c r="G66" s="4">
        <f t="shared" si="6"/>
        <v>0.35</v>
      </c>
      <c r="H66" s="4">
        <f t="shared" si="6"/>
        <v>0.35</v>
      </c>
    </row>
    <row r="67" spans="1:10" ht="15">
      <c r="A67" s="188" t="s">
        <v>524</v>
      </c>
      <c r="B67" t="s">
        <v>283</v>
      </c>
      <c r="C67" s="4">
        <v>0</v>
      </c>
      <c r="D67" s="4">
        <f t="shared" si="7"/>
        <v>0.17499999999999999</v>
      </c>
      <c r="E67" s="205">
        <f t="shared" si="5"/>
        <v>0.35</v>
      </c>
      <c r="F67" s="4">
        <f t="shared" si="6"/>
        <v>0.35</v>
      </c>
      <c r="G67" s="4">
        <f t="shared" si="6"/>
        <v>0.35</v>
      </c>
      <c r="H67" s="4">
        <f t="shared" si="6"/>
        <v>0.35</v>
      </c>
    </row>
    <row r="68" spans="1:10" ht="15">
      <c r="A68" s="188" t="s">
        <v>524</v>
      </c>
      <c r="B68" t="s">
        <v>284</v>
      </c>
      <c r="C68" s="4">
        <v>0</v>
      </c>
      <c r="D68" s="4">
        <f t="shared" si="7"/>
        <v>0.17499999999999999</v>
      </c>
      <c r="E68" s="205">
        <f t="shared" si="5"/>
        <v>0.35</v>
      </c>
      <c r="F68" s="4">
        <f t="shared" si="6"/>
        <v>0.35</v>
      </c>
      <c r="G68" s="4">
        <f t="shared" si="6"/>
        <v>0.35</v>
      </c>
      <c r="H68" s="4">
        <f t="shared" si="6"/>
        <v>0.35</v>
      </c>
    </row>
    <row r="69" spans="1:10" ht="15">
      <c r="A69" s="188" t="s">
        <v>524</v>
      </c>
      <c r="B69" t="s">
        <v>285</v>
      </c>
      <c r="C69" s="4">
        <v>0</v>
      </c>
      <c r="D69" s="4">
        <f t="shared" si="7"/>
        <v>0.17499999999999999</v>
      </c>
      <c r="E69" s="205">
        <f t="shared" si="5"/>
        <v>0.35</v>
      </c>
      <c r="F69" s="4">
        <f t="shared" si="6"/>
        <v>0.35</v>
      </c>
      <c r="G69" s="4">
        <f t="shared" si="6"/>
        <v>0.35</v>
      </c>
      <c r="H69" s="4">
        <f t="shared" si="6"/>
        <v>0.35</v>
      </c>
    </row>
    <row r="70" spans="1:10" ht="15">
      <c r="A70" s="188" t="s">
        <v>524</v>
      </c>
      <c r="B70" t="s">
        <v>118</v>
      </c>
      <c r="C70" s="4">
        <v>0</v>
      </c>
      <c r="D70" s="4">
        <f t="shared" si="7"/>
        <v>0.17499999999999999</v>
      </c>
      <c r="E70" s="205">
        <f t="shared" si="5"/>
        <v>0.35</v>
      </c>
      <c r="F70" s="4">
        <f t="shared" si="6"/>
        <v>0.35</v>
      </c>
      <c r="G70" s="4">
        <f t="shared" si="6"/>
        <v>0.35</v>
      </c>
      <c r="H70" s="4">
        <f t="shared" si="6"/>
        <v>0.35</v>
      </c>
    </row>
    <row r="71" spans="1:10" ht="15">
      <c r="A71" s="188" t="s">
        <v>524</v>
      </c>
      <c r="B71" t="s">
        <v>287</v>
      </c>
      <c r="C71" s="4">
        <v>0</v>
      </c>
      <c r="D71" s="4">
        <f t="shared" si="7"/>
        <v>2.5000000000000001E-2</v>
      </c>
      <c r="E71" s="205">
        <f>IF(PAMSlevel = "High",5%,2.5%)</f>
        <v>0.05</v>
      </c>
      <c r="F71" s="4">
        <f t="shared" si="6"/>
        <v>0.05</v>
      </c>
      <c r="G71" s="4">
        <f t="shared" si="6"/>
        <v>0.05</v>
      </c>
      <c r="H71" s="4">
        <f t="shared" si="6"/>
        <v>0.05</v>
      </c>
      <c r="J71" s="26" t="s">
        <v>525</v>
      </c>
    </row>
    <row r="72" spans="1:10" ht="15">
      <c r="A72" s="188" t="s">
        <v>524</v>
      </c>
      <c r="B72" t="s">
        <v>425</v>
      </c>
      <c r="C72">
        <v>0</v>
      </c>
      <c r="D72">
        <v>0</v>
      </c>
      <c r="E72" s="23">
        <v>0</v>
      </c>
      <c r="F72">
        <v>0</v>
      </c>
      <c r="G72">
        <v>0</v>
      </c>
      <c r="H72">
        <v>0</v>
      </c>
    </row>
    <row r="74" spans="1:10">
      <c r="F74" s="26"/>
      <c r="H74" s="26"/>
    </row>
    <row r="75" spans="1:10">
      <c r="A75" s="28" t="s">
        <v>118</v>
      </c>
      <c r="B75" t="s">
        <v>423</v>
      </c>
      <c r="C75" s="4">
        <v>0</v>
      </c>
      <c r="D75" s="4">
        <f t="shared" ref="D75:D84" si="8">C75+E75/2</f>
        <v>0.17499999999999999</v>
      </c>
      <c r="E75" s="205">
        <f t="shared" ref="E75:E83" si="9">IF(PAMSlevel = "High",35%,18%)</f>
        <v>0.35</v>
      </c>
      <c r="F75" s="4">
        <f t="shared" ref="F75:H82" si="10">E75</f>
        <v>0.35</v>
      </c>
      <c r="G75" s="4">
        <f t="shared" si="10"/>
        <v>0.35</v>
      </c>
      <c r="H75" s="4">
        <f t="shared" si="10"/>
        <v>0.35</v>
      </c>
    </row>
    <row r="76" spans="1:10">
      <c r="A76" s="28" t="s">
        <v>118</v>
      </c>
      <c r="B76" t="s">
        <v>424</v>
      </c>
      <c r="C76" s="4">
        <v>0</v>
      </c>
      <c r="D76" s="4">
        <f t="shared" si="8"/>
        <v>0.17499999999999999</v>
      </c>
      <c r="E76" s="205">
        <f t="shared" si="9"/>
        <v>0.35</v>
      </c>
      <c r="F76" s="4">
        <f t="shared" si="10"/>
        <v>0.35</v>
      </c>
      <c r="G76" s="4">
        <f t="shared" si="10"/>
        <v>0.35</v>
      </c>
      <c r="H76" s="4">
        <f t="shared" si="10"/>
        <v>0.35</v>
      </c>
    </row>
    <row r="77" spans="1:10">
      <c r="A77" s="28" t="s">
        <v>118</v>
      </c>
      <c r="B77" t="s">
        <v>281</v>
      </c>
      <c r="C77" s="4">
        <v>0</v>
      </c>
      <c r="D77" s="4">
        <f t="shared" si="8"/>
        <v>0.17499999999999999</v>
      </c>
      <c r="E77" s="205">
        <f t="shared" si="9"/>
        <v>0.35</v>
      </c>
      <c r="F77" s="4">
        <f t="shared" si="10"/>
        <v>0.35</v>
      </c>
      <c r="G77" s="4">
        <f t="shared" si="10"/>
        <v>0.35</v>
      </c>
      <c r="H77" s="4">
        <f t="shared" si="10"/>
        <v>0.35</v>
      </c>
    </row>
    <row r="78" spans="1:10">
      <c r="A78" s="28" t="s">
        <v>118</v>
      </c>
      <c r="B78" t="s">
        <v>282</v>
      </c>
      <c r="C78" s="4">
        <v>0</v>
      </c>
      <c r="D78" s="4">
        <f t="shared" si="8"/>
        <v>0.17499999999999999</v>
      </c>
      <c r="E78" s="205">
        <f t="shared" si="9"/>
        <v>0.35</v>
      </c>
      <c r="F78" s="4">
        <f t="shared" si="10"/>
        <v>0.35</v>
      </c>
      <c r="G78" s="4">
        <f t="shared" si="10"/>
        <v>0.35</v>
      </c>
      <c r="H78" s="4">
        <f t="shared" si="10"/>
        <v>0.35</v>
      </c>
    </row>
    <row r="79" spans="1:10">
      <c r="A79" s="28" t="s">
        <v>118</v>
      </c>
      <c r="B79" t="s">
        <v>283</v>
      </c>
      <c r="C79" s="4">
        <v>0</v>
      </c>
      <c r="D79" s="4">
        <f t="shared" si="8"/>
        <v>0.17499999999999999</v>
      </c>
      <c r="E79" s="205">
        <f t="shared" si="9"/>
        <v>0.35</v>
      </c>
      <c r="F79" s="4">
        <f t="shared" si="10"/>
        <v>0.35</v>
      </c>
      <c r="G79" s="4">
        <f t="shared" si="10"/>
        <v>0.35</v>
      </c>
      <c r="H79" s="4">
        <f t="shared" si="10"/>
        <v>0.35</v>
      </c>
    </row>
    <row r="80" spans="1:10">
      <c r="A80" s="28" t="s">
        <v>118</v>
      </c>
      <c r="B80" t="s">
        <v>284</v>
      </c>
      <c r="C80" s="4">
        <v>0</v>
      </c>
      <c r="D80" s="4">
        <f t="shared" si="8"/>
        <v>0.17499999999999999</v>
      </c>
      <c r="E80" s="205">
        <f t="shared" si="9"/>
        <v>0.35</v>
      </c>
      <c r="F80" s="4">
        <f t="shared" si="10"/>
        <v>0.35</v>
      </c>
      <c r="G80" s="4">
        <f t="shared" si="10"/>
        <v>0.35</v>
      </c>
      <c r="H80" s="4">
        <f t="shared" si="10"/>
        <v>0.35</v>
      </c>
    </row>
    <row r="81" spans="1:8">
      <c r="A81" s="28" t="s">
        <v>118</v>
      </c>
      <c r="B81" t="s">
        <v>285</v>
      </c>
      <c r="C81" s="4">
        <v>0</v>
      </c>
      <c r="D81" s="4">
        <f t="shared" si="8"/>
        <v>0.17499999999999999</v>
      </c>
      <c r="E81" s="205">
        <f t="shared" si="9"/>
        <v>0.35</v>
      </c>
      <c r="F81" s="4">
        <f t="shared" si="10"/>
        <v>0.35</v>
      </c>
      <c r="G81" s="4">
        <f t="shared" si="10"/>
        <v>0.35</v>
      </c>
      <c r="H81" s="4">
        <f t="shared" si="10"/>
        <v>0.35</v>
      </c>
    </row>
    <row r="82" spans="1:8">
      <c r="A82" s="28" t="s">
        <v>118</v>
      </c>
      <c r="B82" t="s">
        <v>118</v>
      </c>
      <c r="C82" s="4">
        <v>0</v>
      </c>
      <c r="D82" s="4">
        <f t="shared" si="8"/>
        <v>0.17499999999999999</v>
      </c>
      <c r="E82" s="205">
        <f t="shared" si="9"/>
        <v>0.35</v>
      </c>
      <c r="F82" s="4">
        <f t="shared" si="10"/>
        <v>0.35</v>
      </c>
      <c r="G82" s="4">
        <f t="shared" si="10"/>
        <v>0.35</v>
      </c>
      <c r="H82" s="4">
        <f t="shared" si="10"/>
        <v>0.35</v>
      </c>
    </row>
    <row r="83" spans="1:8">
      <c r="A83" s="28" t="s">
        <v>118</v>
      </c>
      <c r="B83" t="s">
        <v>287</v>
      </c>
      <c r="C83" s="4">
        <v>0</v>
      </c>
      <c r="D83" s="4">
        <f t="shared" si="8"/>
        <v>0.17499999999999999</v>
      </c>
      <c r="E83" s="205">
        <f t="shared" si="9"/>
        <v>0.35</v>
      </c>
      <c r="F83" s="4">
        <f t="shared" ref="F83:H84" si="11">E83</f>
        <v>0.35</v>
      </c>
      <c r="G83" s="4">
        <f t="shared" si="11"/>
        <v>0.35</v>
      </c>
      <c r="H83" s="4">
        <f t="shared" si="11"/>
        <v>0.35</v>
      </c>
    </row>
    <row r="84" spans="1:8">
      <c r="A84" s="28" t="s">
        <v>118</v>
      </c>
      <c r="B84" t="s">
        <v>425</v>
      </c>
      <c r="C84" s="4">
        <v>0</v>
      </c>
      <c r="D84" s="4">
        <f t="shared" si="8"/>
        <v>0</v>
      </c>
      <c r="E84" s="205">
        <v>0</v>
      </c>
      <c r="F84" s="4">
        <f t="shared" si="11"/>
        <v>0</v>
      </c>
      <c r="G84" s="4">
        <f t="shared" si="11"/>
        <v>0</v>
      </c>
      <c r="H84" s="4">
        <f t="shared" si="11"/>
        <v>0</v>
      </c>
    </row>
    <row r="87" spans="1:8" ht="15">
      <c r="A87" s="188" t="s">
        <v>108</v>
      </c>
      <c r="B87" t="s">
        <v>423</v>
      </c>
      <c r="C87" s="4">
        <v>0</v>
      </c>
      <c r="D87" s="4">
        <f t="shared" ref="D87:D96" si="12">C87+E87/2</f>
        <v>0.17499999999999999</v>
      </c>
      <c r="E87" s="205">
        <f t="shared" ref="E87:E95" si="13">IF(PAMSlevel = "High",35%,18%)</f>
        <v>0.35</v>
      </c>
      <c r="F87" s="4">
        <f t="shared" ref="F87:H96" si="14">E87</f>
        <v>0.35</v>
      </c>
      <c r="G87" s="4">
        <f t="shared" si="14"/>
        <v>0.35</v>
      </c>
      <c r="H87" s="4">
        <f t="shared" si="14"/>
        <v>0.35</v>
      </c>
    </row>
    <row r="88" spans="1:8" ht="15">
      <c r="A88" s="188" t="s">
        <v>108</v>
      </c>
      <c r="B88" t="s">
        <v>424</v>
      </c>
      <c r="C88" s="4">
        <v>0</v>
      </c>
      <c r="D88" s="4">
        <f t="shared" si="12"/>
        <v>0.17499999999999999</v>
      </c>
      <c r="E88" s="205">
        <f t="shared" si="13"/>
        <v>0.35</v>
      </c>
      <c r="F88" s="4">
        <f t="shared" si="14"/>
        <v>0.35</v>
      </c>
      <c r="G88" s="4">
        <f t="shared" si="14"/>
        <v>0.35</v>
      </c>
      <c r="H88" s="4">
        <f t="shared" si="14"/>
        <v>0.35</v>
      </c>
    </row>
    <row r="89" spans="1:8" ht="15">
      <c r="A89" s="188" t="s">
        <v>108</v>
      </c>
      <c r="B89" t="s">
        <v>281</v>
      </c>
      <c r="C89" s="4">
        <v>0</v>
      </c>
      <c r="D89" s="4">
        <f t="shared" si="12"/>
        <v>0.17499999999999999</v>
      </c>
      <c r="E89" s="205">
        <f t="shared" si="13"/>
        <v>0.35</v>
      </c>
      <c r="F89" s="4">
        <f t="shared" si="14"/>
        <v>0.35</v>
      </c>
      <c r="G89" s="4">
        <f t="shared" si="14"/>
        <v>0.35</v>
      </c>
      <c r="H89" s="4">
        <f t="shared" si="14"/>
        <v>0.35</v>
      </c>
    </row>
    <row r="90" spans="1:8" ht="15">
      <c r="A90" s="188" t="s">
        <v>108</v>
      </c>
      <c r="B90" t="s">
        <v>282</v>
      </c>
      <c r="C90" s="4">
        <v>0</v>
      </c>
      <c r="D90" s="4">
        <f t="shared" si="12"/>
        <v>0.17499999999999999</v>
      </c>
      <c r="E90" s="205">
        <f t="shared" si="13"/>
        <v>0.35</v>
      </c>
      <c r="F90" s="4">
        <f t="shared" si="14"/>
        <v>0.35</v>
      </c>
      <c r="G90" s="4">
        <f t="shared" si="14"/>
        <v>0.35</v>
      </c>
      <c r="H90" s="4">
        <f t="shared" si="14"/>
        <v>0.35</v>
      </c>
    </row>
    <row r="91" spans="1:8" ht="15">
      <c r="A91" s="188" t="s">
        <v>108</v>
      </c>
      <c r="B91" t="s">
        <v>283</v>
      </c>
      <c r="C91" s="4">
        <v>0</v>
      </c>
      <c r="D91" s="4">
        <f t="shared" si="12"/>
        <v>0.17499999999999999</v>
      </c>
      <c r="E91" s="205">
        <f t="shared" si="13"/>
        <v>0.35</v>
      </c>
      <c r="F91" s="4">
        <f t="shared" si="14"/>
        <v>0.35</v>
      </c>
      <c r="G91" s="4">
        <f t="shared" si="14"/>
        <v>0.35</v>
      </c>
      <c r="H91" s="4">
        <f t="shared" si="14"/>
        <v>0.35</v>
      </c>
    </row>
    <row r="92" spans="1:8" ht="15">
      <c r="A92" s="188" t="s">
        <v>108</v>
      </c>
      <c r="B92" t="s">
        <v>284</v>
      </c>
      <c r="C92" s="4">
        <v>0</v>
      </c>
      <c r="D92" s="4">
        <f t="shared" si="12"/>
        <v>0.17499999999999999</v>
      </c>
      <c r="E92" s="205">
        <f t="shared" si="13"/>
        <v>0.35</v>
      </c>
      <c r="F92" s="4">
        <f t="shared" si="14"/>
        <v>0.35</v>
      </c>
      <c r="G92" s="4">
        <f t="shared" si="14"/>
        <v>0.35</v>
      </c>
      <c r="H92" s="4">
        <f t="shared" si="14"/>
        <v>0.35</v>
      </c>
    </row>
    <row r="93" spans="1:8" ht="15">
      <c r="A93" s="188" t="s">
        <v>108</v>
      </c>
      <c r="B93" t="s">
        <v>285</v>
      </c>
      <c r="C93" s="4">
        <v>0</v>
      </c>
      <c r="D93" s="4">
        <f t="shared" si="12"/>
        <v>0.17499999999999999</v>
      </c>
      <c r="E93" s="205">
        <f t="shared" si="13"/>
        <v>0.35</v>
      </c>
      <c r="F93" s="4">
        <f t="shared" si="14"/>
        <v>0.35</v>
      </c>
      <c r="G93" s="4">
        <f t="shared" si="14"/>
        <v>0.35</v>
      </c>
      <c r="H93" s="4">
        <f t="shared" si="14"/>
        <v>0.35</v>
      </c>
    </row>
    <row r="94" spans="1:8" ht="15">
      <c r="A94" s="188" t="s">
        <v>108</v>
      </c>
      <c r="B94" t="s">
        <v>118</v>
      </c>
      <c r="C94" s="4">
        <v>0</v>
      </c>
      <c r="D94" s="4">
        <f t="shared" si="12"/>
        <v>0.17499999999999999</v>
      </c>
      <c r="E94" s="205">
        <f t="shared" si="13"/>
        <v>0.35</v>
      </c>
      <c r="F94" s="4">
        <f t="shared" si="14"/>
        <v>0.35</v>
      </c>
      <c r="G94" s="4">
        <f t="shared" si="14"/>
        <v>0.35</v>
      </c>
      <c r="H94" s="4">
        <f t="shared" si="14"/>
        <v>0.35</v>
      </c>
    </row>
    <row r="95" spans="1:8" ht="15">
      <c r="A95" s="188" t="s">
        <v>108</v>
      </c>
      <c r="B95" t="s">
        <v>287</v>
      </c>
      <c r="C95" s="4">
        <v>0</v>
      </c>
      <c r="D95" s="4">
        <f t="shared" si="12"/>
        <v>0.17499999999999999</v>
      </c>
      <c r="E95" s="205">
        <f t="shared" si="13"/>
        <v>0.35</v>
      </c>
      <c r="F95" s="4">
        <f t="shared" si="14"/>
        <v>0.35</v>
      </c>
      <c r="G95" s="4">
        <f t="shared" si="14"/>
        <v>0.35</v>
      </c>
      <c r="H95" s="4">
        <f t="shared" si="14"/>
        <v>0.35</v>
      </c>
    </row>
    <row r="96" spans="1:8" ht="15">
      <c r="A96" s="188" t="s">
        <v>108</v>
      </c>
      <c r="B96" t="s">
        <v>425</v>
      </c>
      <c r="C96" s="4">
        <v>0</v>
      </c>
      <c r="D96" s="4">
        <f t="shared" si="12"/>
        <v>0</v>
      </c>
      <c r="E96" s="205">
        <v>0</v>
      </c>
      <c r="F96" s="4">
        <f t="shared" si="14"/>
        <v>0</v>
      </c>
      <c r="G96" s="4">
        <f t="shared" si="14"/>
        <v>0</v>
      </c>
      <c r="H96" s="4">
        <f t="shared" si="14"/>
        <v>0</v>
      </c>
    </row>
    <row r="99" spans="1:8" ht="15">
      <c r="A99" s="253" t="s">
        <v>526</v>
      </c>
      <c r="B99" t="s">
        <v>423</v>
      </c>
      <c r="C99" s="4">
        <v>0</v>
      </c>
      <c r="D99" s="4">
        <f t="shared" ref="D99:D108" si="15">C99+E99/2</f>
        <v>0.17499999999999999</v>
      </c>
      <c r="E99" s="205">
        <f t="shared" ref="E99:E107" si="16">IF(PAMSlevel = "High",35%,18%)</f>
        <v>0.35</v>
      </c>
      <c r="F99" s="4">
        <f t="shared" ref="F99:H108" si="17">E99</f>
        <v>0.35</v>
      </c>
      <c r="G99" s="4">
        <f t="shared" si="17"/>
        <v>0.35</v>
      </c>
      <c r="H99" s="4">
        <f t="shared" si="17"/>
        <v>0.35</v>
      </c>
    </row>
    <row r="100" spans="1:8" ht="15">
      <c r="A100" s="253" t="s">
        <v>526</v>
      </c>
      <c r="B100" t="s">
        <v>424</v>
      </c>
      <c r="C100" s="4">
        <v>0</v>
      </c>
      <c r="D100" s="4">
        <f t="shared" si="15"/>
        <v>0.17499999999999999</v>
      </c>
      <c r="E100" s="205">
        <f t="shared" si="16"/>
        <v>0.35</v>
      </c>
      <c r="F100" s="4">
        <f t="shared" si="17"/>
        <v>0.35</v>
      </c>
      <c r="G100" s="4">
        <f t="shared" si="17"/>
        <v>0.35</v>
      </c>
      <c r="H100" s="4">
        <f t="shared" si="17"/>
        <v>0.35</v>
      </c>
    </row>
    <row r="101" spans="1:8" ht="15">
      <c r="A101" s="253" t="s">
        <v>526</v>
      </c>
      <c r="B101" t="s">
        <v>281</v>
      </c>
      <c r="C101" s="4">
        <v>0</v>
      </c>
      <c r="D101" s="4">
        <f t="shared" si="15"/>
        <v>0.17499999999999999</v>
      </c>
      <c r="E101" s="205">
        <f t="shared" si="16"/>
        <v>0.35</v>
      </c>
      <c r="F101" s="4">
        <f t="shared" si="17"/>
        <v>0.35</v>
      </c>
      <c r="G101" s="4">
        <f t="shared" si="17"/>
        <v>0.35</v>
      </c>
      <c r="H101" s="4">
        <f t="shared" si="17"/>
        <v>0.35</v>
      </c>
    </row>
    <row r="102" spans="1:8" ht="15">
      <c r="A102" s="253" t="s">
        <v>526</v>
      </c>
      <c r="B102" t="s">
        <v>282</v>
      </c>
      <c r="C102" s="4">
        <v>0</v>
      </c>
      <c r="D102" s="4">
        <f t="shared" si="15"/>
        <v>0.17499999999999999</v>
      </c>
      <c r="E102" s="205">
        <f t="shared" si="16"/>
        <v>0.35</v>
      </c>
      <c r="F102" s="4">
        <f t="shared" si="17"/>
        <v>0.35</v>
      </c>
      <c r="G102" s="4">
        <f t="shared" si="17"/>
        <v>0.35</v>
      </c>
      <c r="H102" s="4">
        <f t="shared" si="17"/>
        <v>0.35</v>
      </c>
    </row>
    <row r="103" spans="1:8" ht="15">
      <c r="A103" s="253" t="s">
        <v>526</v>
      </c>
      <c r="B103" t="s">
        <v>283</v>
      </c>
      <c r="C103" s="4">
        <v>0</v>
      </c>
      <c r="D103" s="4">
        <f t="shared" si="15"/>
        <v>0.17499999999999999</v>
      </c>
      <c r="E103" s="205">
        <f t="shared" si="16"/>
        <v>0.35</v>
      </c>
      <c r="F103" s="4">
        <f t="shared" si="17"/>
        <v>0.35</v>
      </c>
      <c r="G103" s="4">
        <f t="shared" si="17"/>
        <v>0.35</v>
      </c>
      <c r="H103" s="4">
        <f t="shared" si="17"/>
        <v>0.35</v>
      </c>
    </row>
    <row r="104" spans="1:8" ht="15">
      <c r="A104" s="253" t="s">
        <v>526</v>
      </c>
      <c r="B104" t="s">
        <v>284</v>
      </c>
      <c r="C104" s="4">
        <v>0</v>
      </c>
      <c r="D104" s="4">
        <f t="shared" si="15"/>
        <v>0.17499999999999999</v>
      </c>
      <c r="E104" s="205">
        <f t="shared" si="16"/>
        <v>0.35</v>
      </c>
      <c r="F104" s="4">
        <f t="shared" si="17"/>
        <v>0.35</v>
      </c>
      <c r="G104" s="4">
        <f t="shared" si="17"/>
        <v>0.35</v>
      </c>
      <c r="H104" s="4">
        <f t="shared" si="17"/>
        <v>0.35</v>
      </c>
    </row>
    <row r="105" spans="1:8" ht="15">
      <c r="A105" s="253" t="s">
        <v>526</v>
      </c>
      <c r="B105" t="s">
        <v>285</v>
      </c>
      <c r="C105" s="4">
        <v>0</v>
      </c>
      <c r="D105" s="4">
        <f t="shared" si="15"/>
        <v>0.17499999999999999</v>
      </c>
      <c r="E105" s="205">
        <f t="shared" si="16"/>
        <v>0.35</v>
      </c>
      <c r="F105" s="4">
        <f t="shared" si="17"/>
        <v>0.35</v>
      </c>
      <c r="G105" s="4">
        <f t="shared" si="17"/>
        <v>0.35</v>
      </c>
      <c r="H105" s="4">
        <f t="shared" si="17"/>
        <v>0.35</v>
      </c>
    </row>
    <row r="106" spans="1:8" ht="15">
      <c r="A106" s="253" t="s">
        <v>526</v>
      </c>
      <c r="B106" t="s">
        <v>118</v>
      </c>
      <c r="C106" s="4">
        <v>0</v>
      </c>
      <c r="D106" s="4">
        <f t="shared" si="15"/>
        <v>0.17499999999999999</v>
      </c>
      <c r="E106" s="205">
        <f t="shared" si="16"/>
        <v>0.35</v>
      </c>
      <c r="F106" s="4">
        <f t="shared" si="17"/>
        <v>0.35</v>
      </c>
      <c r="G106" s="4">
        <f t="shared" si="17"/>
        <v>0.35</v>
      </c>
      <c r="H106" s="4">
        <f t="shared" si="17"/>
        <v>0.35</v>
      </c>
    </row>
    <row r="107" spans="1:8" ht="15">
      <c r="A107" s="253" t="s">
        <v>526</v>
      </c>
      <c r="B107" t="s">
        <v>287</v>
      </c>
      <c r="C107" s="4">
        <v>0</v>
      </c>
      <c r="D107" s="4">
        <f t="shared" si="15"/>
        <v>0.17499999999999999</v>
      </c>
      <c r="E107" s="205">
        <f t="shared" si="16"/>
        <v>0.35</v>
      </c>
      <c r="F107" s="4">
        <f t="shared" si="17"/>
        <v>0.35</v>
      </c>
      <c r="G107" s="4">
        <f t="shared" si="17"/>
        <v>0.35</v>
      </c>
      <c r="H107" s="4">
        <f t="shared" si="17"/>
        <v>0.35</v>
      </c>
    </row>
    <row r="108" spans="1:8" ht="15">
      <c r="A108" s="253" t="s">
        <v>526</v>
      </c>
      <c r="B108" t="s">
        <v>425</v>
      </c>
      <c r="C108" s="4">
        <v>0</v>
      </c>
      <c r="D108" s="4">
        <f t="shared" si="15"/>
        <v>0</v>
      </c>
      <c r="E108" s="4">
        <v>0</v>
      </c>
      <c r="F108" s="4">
        <f t="shared" si="17"/>
        <v>0</v>
      </c>
      <c r="G108" s="4">
        <f t="shared" si="17"/>
        <v>0</v>
      </c>
      <c r="H108" s="4">
        <f t="shared" si="17"/>
        <v>0</v>
      </c>
    </row>
    <row r="111" spans="1:8" ht="15">
      <c r="A111" s="188" t="s">
        <v>527</v>
      </c>
    </row>
    <row r="112" spans="1:8">
      <c r="B112" s="121" t="s">
        <v>528</v>
      </c>
    </row>
    <row r="113" spans="2:28">
      <c r="B113" s="189">
        <v>0.1</v>
      </c>
      <c r="C113" s="26" t="s">
        <v>529</v>
      </c>
    </row>
    <row r="115" spans="2:28" ht="15">
      <c r="B115" s="4"/>
      <c r="C115" s="104">
        <v>2020</v>
      </c>
      <c r="D115" s="104">
        <v>2025</v>
      </c>
      <c r="E115" s="104">
        <v>2030</v>
      </c>
      <c r="F115" s="104">
        <v>2035</v>
      </c>
      <c r="G115">
        <v>2040</v>
      </c>
      <c r="H115">
        <v>2050</v>
      </c>
    </row>
    <row r="116" spans="2:28">
      <c r="B116" s="26" t="s">
        <v>530</v>
      </c>
      <c r="C116" s="4">
        <f>E116/3</f>
        <v>0.11666666666666665</v>
      </c>
      <c r="D116" s="4">
        <f>C116+E116/3</f>
        <v>0.23333333333333331</v>
      </c>
      <c r="E116" s="205">
        <f>IF(PAMSlevel = "High",35%,18%)</f>
        <v>0.35</v>
      </c>
      <c r="F116" s="4">
        <f t="shared" ref="F116:H117" si="18">E116</f>
        <v>0.35</v>
      </c>
      <c r="G116" s="4">
        <f t="shared" si="18"/>
        <v>0.35</v>
      </c>
      <c r="H116" s="4">
        <f t="shared" si="18"/>
        <v>0.35</v>
      </c>
    </row>
    <row r="117" spans="2:28">
      <c r="B117" s="203" t="s">
        <v>531</v>
      </c>
      <c r="C117" s="204">
        <f>C116*$B$113</f>
        <v>1.1666666666666665E-2</v>
      </c>
      <c r="D117" s="204">
        <f>D116*$B$113</f>
        <v>2.3333333333333331E-2</v>
      </c>
      <c r="E117" s="204">
        <f>E116*$B$113</f>
        <v>3.4999999999999996E-2</v>
      </c>
      <c r="F117" s="204">
        <f t="shared" si="18"/>
        <v>3.4999999999999996E-2</v>
      </c>
      <c r="G117" s="204">
        <f t="shared" si="18"/>
        <v>3.4999999999999996E-2</v>
      </c>
      <c r="H117" s="204">
        <f t="shared" si="18"/>
        <v>3.4999999999999996E-2</v>
      </c>
    </row>
    <row r="119" spans="2:28">
      <c r="B119" s="26" t="s">
        <v>532</v>
      </c>
      <c r="C119" s="198">
        <f t="shared" ref="C119:H119" si="19">IF(pamsindex,C117,0)</f>
        <v>0</v>
      </c>
      <c r="D119" s="198">
        <f t="shared" si="19"/>
        <v>0</v>
      </c>
      <c r="E119" s="198">
        <f>IF(pamsindex,E117,0)</f>
        <v>0</v>
      </c>
      <c r="F119" s="198">
        <f t="shared" si="19"/>
        <v>0</v>
      </c>
      <c r="G119" s="198">
        <f t="shared" si="19"/>
        <v>0</v>
      </c>
      <c r="H119" s="198">
        <f t="shared" si="19"/>
        <v>0</v>
      </c>
    </row>
    <row r="122" spans="2:28">
      <c r="O122" s="26" t="s">
        <v>533</v>
      </c>
      <c r="R122" s="26" t="s">
        <v>534</v>
      </c>
    </row>
    <row r="123" spans="2:28">
      <c r="B123" s="28" t="s">
        <v>535</v>
      </c>
    </row>
    <row r="124" spans="2:28">
      <c r="K124" s="28"/>
      <c r="L124" s="28"/>
      <c r="M124" s="28">
        <v>2015</v>
      </c>
      <c r="N124" s="28"/>
      <c r="O124" s="28">
        <v>2017</v>
      </c>
      <c r="P124" s="28"/>
      <c r="R124" s="28">
        <v>2020</v>
      </c>
      <c r="S124" s="28"/>
      <c r="T124" s="28"/>
      <c r="U124" s="28"/>
      <c r="V124" s="28"/>
      <c r="W124" s="28">
        <v>2025</v>
      </c>
      <c r="X124" s="28"/>
      <c r="Y124" s="28"/>
      <c r="Z124" s="28"/>
      <c r="AA124" s="28"/>
      <c r="AB124" s="28">
        <v>2030</v>
      </c>
    </row>
    <row r="125" spans="2:28">
      <c r="B125" t="s">
        <v>536</v>
      </c>
      <c r="D125" t="s">
        <v>495</v>
      </c>
      <c r="E125" t="s">
        <v>537</v>
      </c>
      <c r="F125" t="s">
        <v>538</v>
      </c>
      <c r="G125" t="s">
        <v>480</v>
      </c>
      <c r="H125" t="s">
        <v>495</v>
      </c>
      <c r="I125">
        <v>3</v>
      </c>
      <c r="O125" s="8">
        <v>-17.114424712023649</v>
      </c>
      <c r="R125" s="8">
        <f>O125*(1-C119)</f>
        <v>-17.114424712023649</v>
      </c>
      <c r="W125">
        <f>O125*(1-D119)</f>
        <v>-17.114424712023649</v>
      </c>
      <c r="AB125">
        <f>R125*(1-E119)</f>
        <v>-17.114424712023649</v>
      </c>
    </row>
    <row r="126" spans="2:28">
      <c r="B126" t="s">
        <v>536</v>
      </c>
      <c r="D126" t="s">
        <v>495</v>
      </c>
      <c r="E126" t="s">
        <v>537</v>
      </c>
      <c r="F126" t="s">
        <v>539</v>
      </c>
      <c r="G126" t="s">
        <v>480</v>
      </c>
      <c r="H126" t="s">
        <v>495</v>
      </c>
      <c r="I126">
        <v>3</v>
      </c>
      <c r="O126" s="8">
        <v>-3.4000000000000004</v>
      </c>
      <c r="R126" s="8">
        <f>O126</f>
        <v>-3.4000000000000004</v>
      </c>
      <c r="W126" s="8">
        <f>R126</f>
        <v>-3.4000000000000004</v>
      </c>
      <c r="AB126" s="8">
        <f>W126</f>
        <v>-3.4000000000000004</v>
      </c>
    </row>
    <row r="127" spans="2:28">
      <c r="B127" t="s">
        <v>540</v>
      </c>
      <c r="D127" t="s">
        <v>541</v>
      </c>
      <c r="E127" t="s">
        <v>538</v>
      </c>
      <c r="F127" t="s">
        <v>495</v>
      </c>
      <c r="G127" t="s">
        <v>480</v>
      </c>
      <c r="H127" t="s">
        <v>542</v>
      </c>
      <c r="I127">
        <v>3</v>
      </c>
      <c r="O127" s="8">
        <v>0.20827020317659165</v>
      </c>
      <c r="R127" s="8">
        <f>1-R128</f>
        <v>0.20827020317659162</v>
      </c>
      <c r="W127" s="8">
        <f>1-W128</f>
        <v>0.20827020317659162</v>
      </c>
      <c r="AB127" s="8">
        <f>1-AB128</f>
        <v>0.20827020317659162</v>
      </c>
    </row>
    <row r="128" spans="2:28">
      <c r="B128" t="s">
        <v>540</v>
      </c>
      <c r="D128" t="s">
        <v>543</v>
      </c>
      <c r="E128" t="s">
        <v>538</v>
      </c>
      <c r="F128" t="s">
        <v>495</v>
      </c>
      <c r="G128" t="s">
        <v>480</v>
      </c>
      <c r="H128" t="s">
        <v>542</v>
      </c>
      <c r="I128">
        <v>3</v>
      </c>
      <c r="O128" s="8">
        <v>0.79172979682340838</v>
      </c>
      <c r="R128" s="8">
        <f>O128*(1+C119)</f>
        <v>0.79172979682340838</v>
      </c>
      <c r="W128" s="8">
        <f>O128*(1+D119)</f>
        <v>0.79172979682340838</v>
      </c>
      <c r="AB128" s="8">
        <f>R128*(1+E119)</f>
        <v>0.79172979682340838</v>
      </c>
    </row>
    <row r="130" spans="2:28" ht="15">
      <c r="B130" s="188" t="s">
        <v>544</v>
      </c>
    </row>
    <row r="131" spans="2:28" ht="15">
      <c r="B131" s="104" t="s">
        <v>536</v>
      </c>
      <c r="D131" s="104" t="s">
        <v>495</v>
      </c>
      <c r="E131" s="104" t="s">
        <v>537</v>
      </c>
      <c r="F131" s="104" t="s">
        <v>545</v>
      </c>
      <c r="G131" s="104" t="s">
        <v>480</v>
      </c>
      <c r="H131" s="104" t="s">
        <v>495</v>
      </c>
      <c r="I131" s="104">
        <v>3</v>
      </c>
      <c r="O131" s="8">
        <v>-17.114424712023649</v>
      </c>
      <c r="R131" s="8">
        <f>O131*(1-INDEX($C$119:$H$119,1,MATCH(R$124,$C$115:$H$115,0)))</f>
        <v>-17.114424712023649</v>
      </c>
      <c r="W131" s="8">
        <f>O131*(1-INDEX($C$119:$H$119,1,MATCH(W$124,$C$115:$H$115,0)))</f>
        <v>-17.114424712023649</v>
      </c>
      <c r="AB131" s="8">
        <f>O131*(1-INDEX($C$119:$H$119,1,MATCH(AB$124,$C$115:$H$115,0)))</f>
        <v>-17.114424712023649</v>
      </c>
    </row>
    <row r="132" spans="2:28" ht="15">
      <c r="B132" s="104" t="s">
        <v>536</v>
      </c>
      <c r="C132" s="104"/>
      <c r="D132" s="104" t="s">
        <v>495</v>
      </c>
      <c r="E132" s="104" t="s">
        <v>537</v>
      </c>
      <c r="F132" s="104" t="s">
        <v>539</v>
      </c>
      <c r="G132" s="104" t="s">
        <v>480</v>
      </c>
      <c r="H132" s="104" t="s">
        <v>495</v>
      </c>
      <c r="I132" s="104">
        <v>3</v>
      </c>
      <c r="O132" s="8">
        <v>-3.4000000000000004</v>
      </c>
      <c r="R132" s="8">
        <f>O132</f>
        <v>-3.4000000000000004</v>
      </c>
      <c r="W132" s="8">
        <f>$O$132</f>
        <v>-3.4000000000000004</v>
      </c>
      <c r="AB132" s="8">
        <f>$O$132</f>
        <v>-3.4000000000000004</v>
      </c>
    </row>
    <row r="133" spans="2:28" ht="15">
      <c r="B133" s="104" t="s">
        <v>540</v>
      </c>
      <c r="C133" s="104"/>
      <c r="D133" s="104" t="s">
        <v>541</v>
      </c>
      <c r="E133" s="104" t="s">
        <v>545</v>
      </c>
      <c r="F133" s="104" t="s">
        <v>495</v>
      </c>
      <c r="G133" s="104" t="s">
        <v>480</v>
      </c>
      <c r="H133" s="104" t="s">
        <v>542</v>
      </c>
      <c r="I133" s="104">
        <v>3</v>
      </c>
      <c r="O133" s="8">
        <v>0.2</v>
      </c>
      <c r="R133" s="8">
        <f>1-R134</f>
        <v>0.19999999999999996</v>
      </c>
      <c r="W133" s="8">
        <f>1-W134</f>
        <v>0.19999999999999996</v>
      </c>
      <c r="AB133" s="8">
        <f>1-AB134</f>
        <v>0.19999999999999996</v>
      </c>
    </row>
    <row r="134" spans="2:28" ht="15">
      <c r="B134" s="104" t="s">
        <v>540</v>
      </c>
      <c r="C134" s="104"/>
      <c r="D134" s="104" t="s">
        <v>543</v>
      </c>
      <c r="E134" s="104" t="s">
        <v>545</v>
      </c>
      <c r="F134" s="104" t="s">
        <v>495</v>
      </c>
      <c r="G134" s="104" t="s">
        <v>480</v>
      </c>
      <c r="H134" s="104" t="s">
        <v>542</v>
      </c>
      <c r="I134" s="104">
        <v>3</v>
      </c>
      <c r="O134" s="206">
        <v>0.8</v>
      </c>
      <c r="P134" s="206"/>
      <c r="Q134" s="206"/>
      <c r="R134" s="206">
        <f>O134*(1+INDEX($C$119:$H$119,1,MATCH(R$124,$C$115:$H$115,0)))</f>
        <v>0.8</v>
      </c>
      <c r="W134" s="8">
        <f>$O$134*(1+INDEX($C$119:$H$119,1,MATCH(W$124,$C$115:$H$115,0)))</f>
        <v>0.8</v>
      </c>
      <c r="AB134" s="8">
        <f>$O$134*(1+INDEX($C$119:$H$119,1,MATCH(AB$124,$C$115:$H$115,0)))</f>
        <v>0.8</v>
      </c>
    </row>
    <row r="136" spans="2:28" ht="15">
      <c r="B136" s="188" t="s">
        <v>546</v>
      </c>
    </row>
    <row r="138" spans="2:28">
      <c r="B138" t="s">
        <v>536</v>
      </c>
      <c r="D138" t="s">
        <v>495</v>
      </c>
      <c r="E138" t="s">
        <v>547</v>
      </c>
      <c r="F138" t="s">
        <v>548</v>
      </c>
      <c r="G138" t="s">
        <v>480</v>
      </c>
      <c r="H138" t="s">
        <v>495</v>
      </c>
      <c r="I138">
        <v>0</v>
      </c>
      <c r="O138" s="8">
        <v>-16.610602374617468</v>
      </c>
      <c r="R138" s="8">
        <f>O138*(1-INDEX($C$119:$H$119,1,MATCH(R$124,$C$115:$H$115,0)))</f>
        <v>-16.610602374617468</v>
      </c>
      <c r="W138" s="8">
        <f>O138*(1-INDEX($C$119:$H$119,1,MATCH(W$124,$C$115:$H$115,0)))</f>
        <v>-16.610602374617468</v>
      </c>
      <c r="AB138" s="8">
        <f>O138*(1-INDEX($C$119:$H$119,1,MATCH(AB$124,$C$115:$H$115,0)))</f>
        <v>-16.610602374617468</v>
      </c>
    </row>
    <row r="139" spans="2:28">
      <c r="B139" t="s">
        <v>536</v>
      </c>
      <c r="D139" t="s">
        <v>495</v>
      </c>
      <c r="E139" t="s">
        <v>547</v>
      </c>
      <c r="F139" t="s">
        <v>539</v>
      </c>
      <c r="G139" t="s">
        <v>480</v>
      </c>
      <c r="H139" t="s">
        <v>495</v>
      </c>
      <c r="I139">
        <v>0</v>
      </c>
      <c r="O139" s="8">
        <v>-3.45</v>
      </c>
      <c r="R139" s="8">
        <f>O139*(1-INDEX($C$119:$H$119,1,MATCH(R$124,$C$115:$H$115,0)))</f>
        <v>-3.45</v>
      </c>
      <c r="W139" s="8">
        <f>O139*(1-INDEX($C$119:$H$119,1,MATCH(W$124,$C$115:$H$115,0)))</f>
        <v>-3.45</v>
      </c>
      <c r="AB139" s="8">
        <f>O139*(1-INDEX($C$119:$H$119,1,MATCH(AB$124,$C$115:$H$115,0)))</f>
        <v>-3.45</v>
      </c>
    </row>
    <row r="140" spans="2:28">
      <c r="B140" t="s">
        <v>536</v>
      </c>
      <c r="D140" t="s">
        <v>495</v>
      </c>
      <c r="E140" t="s">
        <v>547</v>
      </c>
      <c r="F140" t="s">
        <v>549</v>
      </c>
      <c r="G140" t="s">
        <v>480</v>
      </c>
      <c r="H140" t="s">
        <v>495</v>
      </c>
      <c r="I140">
        <v>0</v>
      </c>
      <c r="O140" s="8">
        <v>0.05</v>
      </c>
      <c r="R140" s="8">
        <f>O140*(1-INDEX($C$119:$H$119,1,MATCH(R$124,$C$115:$H$115,0)))</f>
        <v>0.05</v>
      </c>
      <c r="W140" s="8">
        <f>O140*(1-INDEX($C$119:$H$119,1,MATCH(W$124,$C$115:$H$115,0)))</f>
        <v>0.05</v>
      </c>
      <c r="AB140" s="8">
        <f>O140*(1-INDEX($C$119:$H$119,1,MATCH(AB$124,$C$115:$H$115,0)))</f>
        <v>0.05</v>
      </c>
    </row>
    <row r="141" spans="2:28">
      <c r="B141" t="s">
        <v>540</v>
      </c>
      <c r="D141" t="s">
        <v>541</v>
      </c>
      <c r="E141" t="s">
        <v>548</v>
      </c>
      <c r="F141" t="s">
        <v>495</v>
      </c>
      <c r="G141" t="s">
        <v>480</v>
      </c>
      <c r="H141" t="s">
        <v>542</v>
      </c>
      <c r="I141">
        <v>3</v>
      </c>
      <c r="O141" s="8">
        <v>0.19930658142033242</v>
      </c>
      <c r="R141" s="8">
        <f>1-R142</f>
        <v>0.19930658142033242</v>
      </c>
      <c r="W141" s="8">
        <f>1-W142</f>
        <v>0.19930658142033242</v>
      </c>
      <c r="AB141" s="8">
        <f>1-AB142</f>
        <v>0.19930658142033242</v>
      </c>
    </row>
    <row r="142" spans="2:28">
      <c r="B142" t="s">
        <v>540</v>
      </c>
      <c r="D142" t="s">
        <v>543</v>
      </c>
      <c r="E142" t="s">
        <v>548</v>
      </c>
      <c r="F142" t="s">
        <v>495</v>
      </c>
      <c r="G142" t="s">
        <v>480</v>
      </c>
      <c r="H142" t="s">
        <v>542</v>
      </c>
      <c r="I142">
        <v>3</v>
      </c>
      <c r="O142" s="8">
        <v>0.80069341857966758</v>
      </c>
      <c r="R142" s="8">
        <f>O142*(1+INDEX($C$119:$H$119,1,MATCH(R$124,$C$115:$H$115,0)))</f>
        <v>0.80069341857966758</v>
      </c>
      <c r="W142" s="8">
        <f>$O$142*(1+INDEX($C$119:$H$119,1,MATCH(W$124,$C$115:$H$115,0)))</f>
        <v>0.80069341857966758</v>
      </c>
      <c r="AB142" s="8">
        <f>$O$142*(1+INDEX($C$119:$H$119,1,MATCH(AB$124,$C$115:$H$115,0)))</f>
        <v>0.80069341857966758</v>
      </c>
    </row>
    <row r="144" spans="2:28" ht="15">
      <c r="B144" s="188" t="s">
        <v>550</v>
      </c>
    </row>
    <row r="145" spans="2:28" ht="15">
      <c r="B145" s="104" t="s">
        <v>536</v>
      </c>
      <c r="D145" s="104" t="s">
        <v>495</v>
      </c>
      <c r="E145" s="104" t="s">
        <v>547</v>
      </c>
      <c r="F145" s="104" t="s">
        <v>551</v>
      </c>
      <c r="G145" s="104" t="s">
        <v>480</v>
      </c>
      <c r="H145" s="104" t="s">
        <v>495</v>
      </c>
      <c r="I145" s="104">
        <v>0</v>
      </c>
      <c r="O145" s="8">
        <v>-16.610602374617468</v>
      </c>
      <c r="R145" s="8">
        <f>O145*(1-INDEX($C$119:$H$119,1,MATCH(R$124,$C$115:$H$115,0)))</f>
        <v>-16.610602374617468</v>
      </c>
      <c r="W145" s="8">
        <f>O145*(1-INDEX($C$119:$H$119,1,MATCH(W$124,$C$115:$H$115,0)))</f>
        <v>-16.610602374617468</v>
      </c>
      <c r="AB145" s="8">
        <f>O145*(1-INDEX($C$119:$H$119,1,MATCH(AB$124,$C$115:$H$115,0)))</f>
        <v>-16.610602374617468</v>
      </c>
    </row>
    <row r="146" spans="2:28" ht="15">
      <c r="B146" s="104" t="s">
        <v>536</v>
      </c>
      <c r="D146" s="104" t="s">
        <v>495</v>
      </c>
      <c r="E146" s="104" t="s">
        <v>547</v>
      </c>
      <c r="F146" s="104" t="s">
        <v>539</v>
      </c>
      <c r="G146" s="104" t="s">
        <v>480</v>
      </c>
      <c r="H146" s="104" t="s">
        <v>495</v>
      </c>
      <c r="I146" s="104">
        <v>0</v>
      </c>
      <c r="O146" s="8">
        <v>-3.45</v>
      </c>
      <c r="R146" s="8">
        <f>O146*(1-INDEX($C$119:$H$119,1,MATCH(R$124,$C$115:$H$115,0)))</f>
        <v>-3.45</v>
      </c>
      <c r="W146" s="8">
        <f>$O$146*(1-INDEX($C$119:$H$119,1,MATCH(W$124,$C$115:$H$115,0)))</f>
        <v>-3.45</v>
      </c>
      <c r="AB146" s="8">
        <f>$O$146*(1-INDEX($C$119:$H$119,1,MATCH(AB$124,$C$115:$H$115,0)))</f>
        <v>-3.45</v>
      </c>
    </row>
    <row r="147" spans="2:28" ht="15">
      <c r="B147" s="104" t="s">
        <v>536</v>
      </c>
      <c r="D147" s="104" t="s">
        <v>495</v>
      </c>
      <c r="E147" s="104" t="s">
        <v>547</v>
      </c>
      <c r="F147" s="104" t="s">
        <v>549</v>
      </c>
      <c r="G147" s="104" t="s">
        <v>480</v>
      </c>
      <c r="H147" s="104" t="s">
        <v>495</v>
      </c>
      <c r="I147" s="104">
        <v>0</v>
      </c>
      <c r="O147" s="8">
        <v>0.05</v>
      </c>
      <c r="R147" s="8">
        <f>O147*(1-INDEX($C$119:$H$119,1,MATCH(R$124,$C$115:$H$115,0)))</f>
        <v>0.05</v>
      </c>
      <c r="W147" s="8">
        <f>$O$147*(1-INDEX($C$119:$H$119,1,MATCH(W$124,$C$115:$H$115,0)))</f>
        <v>0.05</v>
      </c>
      <c r="AB147" s="8">
        <f>$O$147*(1-INDEX($C$119:$H$119,1,MATCH(AB$124,$C$115:$H$115,0)))</f>
        <v>0.05</v>
      </c>
    </row>
    <row r="148" spans="2:28" ht="15">
      <c r="B148" s="104" t="s">
        <v>540</v>
      </c>
      <c r="D148" s="104" t="s">
        <v>541</v>
      </c>
      <c r="E148" s="104" t="s">
        <v>551</v>
      </c>
      <c r="F148" s="104" t="s">
        <v>495</v>
      </c>
      <c r="G148" s="104" t="s">
        <v>480</v>
      </c>
      <c r="H148" s="104" t="s">
        <v>542</v>
      </c>
      <c r="I148" s="104">
        <v>3</v>
      </c>
      <c r="O148" s="8">
        <v>0.2</v>
      </c>
      <c r="R148" s="8">
        <f>1-R149</f>
        <v>0.19999999999999996</v>
      </c>
      <c r="W148" s="8">
        <f>1-W149</f>
        <v>0.19999999999999996</v>
      </c>
      <c r="AB148" s="8">
        <f>1-AB149</f>
        <v>0.19999999999999996</v>
      </c>
    </row>
    <row r="149" spans="2:28" ht="15">
      <c r="B149" s="104" t="s">
        <v>540</v>
      </c>
      <c r="D149" s="104" t="s">
        <v>543</v>
      </c>
      <c r="E149" s="104" t="s">
        <v>551</v>
      </c>
      <c r="F149" s="104" t="s">
        <v>495</v>
      </c>
      <c r="G149" s="104" t="s">
        <v>480</v>
      </c>
      <c r="H149" s="104" t="s">
        <v>542</v>
      </c>
      <c r="I149" s="104">
        <v>3</v>
      </c>
      <c r="O149" s="8">
        <v>0.8</v>
      </c>
      <c r="R149" s="8">
        <f>O149*(1+INDEX($C$119:$H$119,1,MATCH(R$124,$C$115:$H$115,0)))</f>
        <v>0.8</v>
      </c>
      <c r="W149" s="8">
        <f>$O$149*(1+INDEX($C$119:$H$119,1,MATCH(W$124,$C$115:$H$115,0)))</f>
        <v>0.8</v>
      </c>
      <c r="AB149" s="8">
        <f>$O$149*(1+INDEX($C$119:$H$119,1,MATCH(AB$124,$C$115:$H$115,0)))</f>
        <v>0.8</v>
      </c>
    </row>
    <row r="151" spans="2:28">
      <c r="B151" s="28" t="s">
        <v>552</v>
      </c>
    </row>
    <row r="152" spans="2:28">
      <c r="B152" t="s">
        <v>536</v>
      </c>
      <c r="D152" t="s">
        <v>495</v>
      </c>
      <c r="E152" t="s">
        <v>537</v>
      </c>
      <c r="F152" t="s">
        <v>553</v>
      </c>
      <c r="G152" t="s">
        <v>480</v>
      </c>
      <c r="H152" t="s">
        <v>495</v>
      </c>
      <c r="I152">
        <v>0</v>
      </c>
      <c r="O152" s="8">
        <v>-15.207954735410253</v>
      </c>
      <c r="R152" s="8">
        <f>O152*(1-INDEX($C$119:$H$119,1,MATCH(R$124,$C$115:$H$115,0)))</f>
        <v>-15.207954735410253</v>
      </c>
      <c r="W152" s="8">
        <f>O152*(1-INDEX($C$119:$H$119,1,MATCH(W$124,$C$115:$H$115,0)))</f>
        <v>-15.207954735410253</v>
      </c>
      <c r="AB152" s="8">
        <f>O152*(1-INDEX($C$119:$H$119,1,MATCH(AB$124,$C$115:$H$115,0)))</f>
        <v>-15.207954735410253</v>
      </c>
    </row>
    <row r="153" spans="2:28">
      <c r="B153" t="s">
        <v>540</v>
      </c>
      <c r="D153" t="s">
        <v>541</v>
      </c>
      <c r="E153" t="s">
        <v>553</v>
      </c>
      <c r="F153" t="s">
        <v>495</v>
      </c>
      <c r="G153" t="s">
        <v>480</v>
      </c>
      <c r="H153" t="s">
        <v>542</v>
      </c>
      <c r="I153">
        <v>3</v>
      </c>
      <c r="O153" s="8">
        <v>0.68766345753646374</v>
      </c>
      <c r="R153" s="8">
        <f>1-R154</f>
        <v>0.68766345753646374</v>
      </c>
      <c r="W153" s="8">
        <f>1-W154</f>
        <v>0.68766345753646374</v>
      </c>
      <c r="AB153" s="8">
        <f>1-AB154</f>
        <v>0.68766345753646374</v>
      </c>
    </row>
    <row r="154" spans="2:28">
      <c r="B154" t="s">
        <v>540</v>
      </c>
      <c r="D154" t="s">
        <v>543</v>
      </c>
      <c r="E154" t="s">
        <v>553</v>
      </c>
      <c r="F154" t="s">
        <v>495</v>
      </c>
      <c r="G154" t="s">
        <v>480</v>
      </c>
      <c r="H154" t="s">
        <v>542</v>
      </c>
      <c r="I154">
        <v>3</v>
      </c>
      <c r="O154" s="8">
        <v>0.31233654246353626</v>
      </c>
      <c r="R154" s="8">
        <f>O154*(1+INDEX($C$119:$H$119,1,MATCH(R$124,$C$115:$H$115,0)))</f>
        <v>0.31233654246353626</v>
      </c>
      <c r="W154" s="8">
        <f>$O$154*(1+INDEX($C$119:$H$119,1,MATCH(W$124,$C$115:$H$115,0)))</f>
        <v>0.31233654246353626</v>
      </c>
      <c r="AB154" s="8">
        <f>$O$154*(1+INDEX($C$119:$H$119,1,MATCH(AB$124,$C$115:$H$115,0)))</f>
        <v>0.31233654246353626</v>
      </c>
    </row>
    <row r="156" spans="2:28" ht="15">
      <c r="B156" s="188" t="s">
        <v>554</v>
      </c>
    </row>
    <row r="157" spans="2:28" ht="15">
      <c r="B157" s="104" t="s">
        <v>536</v>
      </c>
      <c r="D157" s="104" t="s">
        <v>495</v>
      </c>
      <c r="E157" s="104" t="s">
        <v>537</v>
      </c>
      <c r="F157" s="104" t="s">
        <v>555</v>
      </c>
      <c r="G157" s="104" t="s">
        <v>480</v>
      </c>
      <c r="H157" s="104" t="s">
        <v>495</v>
      </c>
      <c r="I157" s="104">
        <v>0</v>
      </c>
      <c r="O157" s="8">
        <v>-15.207954735410253</v>
      </c>
      <c r="R157" s="8">
        <f>$O157*(1-INDEX($C$119:$H$119,1,MATCH(R$124,$C$115:$H$115,0)))</f>
        <v>-15.207954735410253</v>
      </c>
      <c r="W157" s="8">
        <f>$O157*(1-INDEX($C$119:$H$119,1,MATCH(W$124,$C$115:$H$115,0)))</f>
        <v>-15.207954735410253</v>
      </c>
      <c r="AB157" s="8">
        <f>$O157*(1-INDEX($C$119:$H$119,1,MATCH(AB$124,$C$115:$H$115,0)))</f>
        <v>-15.207954735410253</v>
      </c>
    </row>
    <row r="158" spans="2:28" ht="15">
      <c r="B158" s="104" t="s">
        <v>540</v>
      </c>
      <c r="C158" s="104"/>
      <c r="D158" s="104" t="s">
        <v>541</v>
      </c>
      <c r="E158" s="104" t="s">
        <v>555</v>
      </c>
      <c r="F158" s="104" t="s">
        <v>495</v>
      </c>
      <c r="G158" s="104" t="s">
        <v>480</v>
      </c>
      <c r="H158" s="104" t="s">
        <v>542</v>
      </c>
      <c r="I158" s="104">
        <v>3</v>
      </c>
      <c r="O158" s="8">
        <v>0.68766345753646374</v>
      </c>
      <c r="R158" s="8">
        <f>1-R159</f>
        <v>0.68766345753646374</v>
      </c>
      <c r="W158" s="8">
        <f>1-W159</f>
        <v>0.68766345753646374</v>
      </c>
      <c r="AB158" s="8">
        <f>1-AB159</f>
        <v>0.68766345753646374</v>
      </c>
    </row>
    <row r="159" spans="2:28" ht="15">
      <c r="B159" s="104" t="s">
        <v>540</v>
      </c>
      <c r="C159" s="104"/>
      <c r="D159" s="104" t="s">
        <v>543</v>
      </c>
      <c r="E159" s="104" t="s">
        <v>555</v>
      </c>
      <c r="F159" s="104" t="s">
        <v>495</v>
      </c>
      <c r="G159" s="104" t="s">
        <v>480</v>
      </c>
      <c r="H159" s="104" t="s">
        <v>542</v>
      </c>
      <c r="I159" s="104">
        <v>3</v>
      </c>
      <c r="O159" s="8">
        <v>0.31233654246353626</v>
      </c>
      <c r="R159" s="8">
        <f>$O159*(1+INDEX($C$119:$H$119,1,MATCH(R$124,$C$115:$H$115,0)))</f>
        <v>0.31233654246353626</v>
      </c>
      <c r="W159" s="8">
        <f>$O159*(1+INDEX($C$119:$H$119,1,MATCH(W$124,$C$115:$H$115,0)))</f>
        <v>0.31233654246353626</v>
      </c>
      <c r="AB159" s="8">
        <f>$O159*(1+INDEX($C$119:$H$119,1,MATCH(AB$124,$C$115:$H$115,0)))</f>
        <v>0.31233654246353626</v>
      </c>
    </row>
    <row r="161" spans="2:28">
      <c r="B161" s="28" t="s">
        <v>556</v>
      </c>
    </row>
    <row r="162" spans="2:28">
      <c r="B162" t="s">
        <v>536</v>
      </c>
      <c r="D162" t="s">
        <v>495</v>
      </c>
      <c r="E162" t="s">
        <v>557</v>
      </c>
      <c r="F162" t="s">
        <v>558</v>
      </c>
      <c r="G162" t="s">
        <v>480</v>
      </c>
      <c r="H162" t="s">
        <v>495</v>
      </c>
      <c r="I162">
        <v>3</v>
      </c>
      <c r="O162" s="8">
        <v>-13.128734688551315</v>
      </c>
      <c r="R162" s="8">
        <f>$O162*(1-INDEX($C$119:$H$119,1,MATCH(R$124,$C$115:$H$115,0)))</f>
        <v>-13.128734688551315</v>
      </c>
      <c r="W162" s="8">
        <f>$O162*(1-INDEX($C$119:$H$119,1,MATCH(W$124,$C$115:$H$115,0)))</f>
        <v>-13.128734688551315</v>
      </c>
      <c r="AB162" s="8">
        <f>$O162*(1-INDEX($C$119:$H$119,1,MATCH(AB$124,$C$115:$H$115,0)))</f>
        <v>-13.128734688551315</v>
      </c>
    </row>
    <row r="163" spans="2:28">
      <c r="B163" t="s">
        <v>536</v>
      </c>
      <c r="D163" t="s">
        <v>495</v>
      </c>
      <c r="E163" t="s">
        <v>557</v>
      </c>
      <c r="F163" t="s">
        <v>549</v>
      </c>
      <c r="G163" t="s">
        <v>480</v>
      </c>
      <c r="H163" t="s">
        <v>495</v>
      </c>
      <c r="I163">
        <v>3</v>
      </c>
      <c r="O163" s="8">
        <v>0.05</v>
      </c>
      <c r="R163" s="8">
        <f>$O163*(1-INDEX($C$119:$H$119,1,MATCH(R$124,$C$115:$H$115,0)))</f>
        <v>0.05</v>
      </c>
      <c r="W163" s="8">
        <f>$O163*(1-INDEX($C$119:$H$119,1,MATCH(W$124,$C$115:$H$115,0)))</f>
        <v>0.05</v>
      </c>
      <c r="AB163" s="8">
        <f>$O163*(1-INDEX($C$119:$H$119,1,MATCH(AB$124,$C$115:$H$115,0)))</f>
        <v>0.05</v>
      </c>
    </row>
    <row r="164" spans="2:28">
      <c r="B164" t="s">
        <v>540</v>
      </c>
      <c r="D164" t="s">
        <v>541</v>
      </c>
      <c r="E164" t="s">
        <v>558</v>
      </c>
      <c r="F164" t="s">
        <v>495</v>
      </c>
      <c r="G164" t="s">
        <v>480</v>
      </c>
      <c r="H164" t="s">
        <v>542</v>
      </c>
      <c r="I164">
        <v>3</v>
      </c>
      <c r="O164" s="8">
        <v>0.19261069315053295</v>
      </c>
      <c r="R164" s="8">
        <f>1-R165</f>
        <v>0.19261069315053292</v>
      </c>
      <c r="W164" s="8">
        <f>1-W165</f>
        <v>0.19261069315053292</v>
      </c>
      <c r="AB164" s="8">
        <f>1-AB165</f>
        <v>0.19261069315053292</v>
      </c>
    </row>
    <row r="165" spans="2:28">
      <c r="B165" t="s">
        <v>540</v>
      </c>
      <c r="D165" t="s">
        <v>543</v>
      </c>
      <c r="E165" t="s">
        <v>558</v>
      </c>
      <c r="F165" t="s">
        <v>495</v>
      </c>
      <c r="G165" t="s">
        <v>480</v>
      </c>
      <c r="H165" t="s">
        <v>542</v>
      </c>
      <c r="I165">
        <v>3</v>
      </c>
      <c r="O165" s="8">
        <v>0.80738930684946708</v>
      </c>
      <c r="R165" s="8">
        <f>$O165*(1+INDEX($C$119:$H$119,1,MATCH(R$124,$C$115:$H$115,0)))</f>
        <v>0.80738930684946708</v>
      </c>
      <c r="W165" s="8">
        <f>$O165*(1+INDEX($C$119:$H$119,1,MATCH(W$124,$C$115:$H$115,0)))</f>
        <v>0.80738930684946708</v>
      </c>
      <c r="AB165" s="8">
        <f>$O165*(1+INDEX($C$119:$H$119,1,MATCH(AB$124,$C$115:$H$115,0)))</f>
        <v>0.80738930684946708</v>
      </c>
    </row>
    <row r="167" spans="2:28">
      <c r="B167" s="28" t="s">
        <v>559</v>
      </c>
    </row>
    <row r="168" spans="2:28">
      <c r="B168" t="s">
        <v>536</v>
      </c>
      <c r="D168" t="s">
        <v>495</v>
      </c>
      <c r="E168" t="s">
        <v>557</v>
      </c>
      <c r="F168" t="s">
        <v>560</v>
      </c>
      <c r="G168" t="s">
        <v>480</v>
      </c>
      <c r="H168" t="s">
        <v>495</v>
      </c>
      <c r="I168">
        <v>0</v>
      </c>
      <c r="O168" s="8">
        <v>-13.128734688551315</v>
      </c>
      <c r="R168" s="8">
        <f>$O168*(1-INDEX($C$119:$H$119,1,MATCH(R$124,$C$115:$H$115,0)))</f>
        <v>-13.128734688551315</v>
      </c>
      <c r="W168" s="8">
        <f>$O168*(1-INDEX($C$119:$H$119,1,MATCH(W$124,$C$115:$H$115,0)))</f>
        <v>-13.128734688551315</v>
      </c>
      <c r="AB168" s="8">
        <f>$O168*(1-INDEX($C$119:$H$119,1,MATCH(AB$124,$C$115:$H$115,0)))</f>
        <v>-13.128734688551315</v>
      </c>
    </row>
    <row r="169" spans="2:28">
      <c r="B169" t="s">
        <v>536</v>
      </c>
      <c r="D169" t="s">
        <v>495</v>
      </c>
      <c r="E169" t="s">
        <v>557</v>
      </c>
      <c r="F169" t="s">
        <v>539</v>
      </c>
      <c r="G169" t="s">
        <v>480</v>
      </c>
      <c r="H169" t="s">
        <v>495</v>
      </c>
      <c r="I169">
        <v>0</v>
      </c>
      <c r="O169" s="8">
        <v>0.4</v>
      </c>
      <c r="R169" s="8">
        <f>$O169*(1-INDEX($C$119:$H$119,1,MATCH(R$124,$C$115:$H$115,0)))</f>
        <v>0.4</v>
      </c>
      <c r="W169" s="8">
        <f>$O169*(1-INDEX($C$119:$H$119,1,MATCH(W$124,$C$115:$H$115,0)))</f>
        <v>0.4</v>
      </c>
      <c r="AB169" s="8">
        <f>$O169*(1-INDEX($C$119:$H$119,1,MATCH(AB$124,$C$115:$H$115,0)))</f>
        <v>0.4</v>
      </c>
    </row>
    <row r="170" spans="2:28">
      <c r="B170" t="s">
        <v>536</v>
      </c>
      <c r="D170" t="s">
        <v>495</v>
      </c>
      <c r="E170" t="s">
        <v>537</v>
      </c>
      <c r="F170" t="s">
        <v>549</v>
      </c>
      <c r="G170" t="s">
        <v>480</v>
      </c>
      <c r="H170" t="s">
        <v>495</v>
      </c>
      <c r="I170">
        <v>0</v>
      </c>
      <c r="O170" s="8">
        <v>0.05</v>
      </c>
      <c r="R170" s="8">
        <f>$O170*(1-INDEX($C$119:$H$119,1,MATCH(R$124,$C$115:$H$115,0)))</f>
        <v>0.05</v>
      </c>
      <c r="W170" s="8">
        <f>$O170*(1-INDEX($C$119:$H$119,1,MATCH(W$124,$C$115:$H$115,0)))</f>
        <v>0.05</v>
      </c>
      <c r="AB170" s="8">
        <f>$O170*(1-INDEX($C$119:$H$119,1,MATCH(AB$124,$C$115:$H$115,0)))</f>
        <v>0.05</v>
      </c>
    </row>
    <row r="171" spans="2:28">
      <c r="B171" t="s">
        <v>540</v>
      </c>
      <c r="D171" t="s">
        <v>541</v>
      </c>
      <c r="E171" t="s">
        <v>560</v>
      </c>
      <c r="F171" t="s">
        <v>495</v>
      </c>
      <c r="G171" t="s">
        <v>480</v>
      </c>
      <c r="H171" t="s">
        <v>542</v>
      </c>
      <c r="I171">
        <v>3</v>
      </c>
      <c r="O171" s="8">
        <v>0.3</v>
      </c>
      <c r="R171" s="8">
        <f>1-R172</f>
        <v>0.30000000000000004</v>
      </c>
      <c r="W171" s="8">
        <f>1-W172</f>
        <v>0.30000000000000004</v>
      </c>
      <c r="AB171" s="8">
        <f>1-AB172</f>
        <v>0.30000000000000004</v>
      </c>
    </row>
    <row r="172" spans="2:28">
      <c r="B172" t="s">
        <v>540</v>
      </c>
      <c r="D172" t="s">
        <v>543</v>
      </c>
      <c r="E172" t="s">
        <v>560</v>
      </c>
      <c r="F172" t="s">
        <v>495</v>
      </c>
      <c r="G172" t="s">
        <v>480</v>
      </c>
      <c r="H172" t="s">
        <v>542</v>
      </c>
      <c r="I172">
        <v>3</v>
      </c>
      <c r="O172" s="8">
        <v>0.7</v>
      </c>
      <c r="R172" s="8">
        <f>$O172*(1+INDEX($C$119:$H$119,1,MATCH(R$124,$C$115:$H$115,0)))</f>
        <v>0.7</v>
      </c>
      <c r="W172" s="8">
        <f>$O172*(1+INDEX($C$119:$H$119,1,MATCH(W$124,$C$115:$H$115,0)))</f>
        <v>0.7</v>
      </c>
      <c r="AB172" s="8">
        <f>$O172*(1+INDEX($C$119:$H$119,1,MATCH(AB$124,$C$115:$H$115,0)))</f>
        <v>0.7</v>
      </c>
    </row>
    <row r="174" spans="2:28">
      <c r="B174" s="28" t="s">
        <v>561</v>
      </c>
    </row>
    <row r="175" spans="2:28">
      <c r="B175" t="s">
        <v>536</v>
      </c>
      <c r="D175" t="s">
        <v>495</v>
      </c>
      <c r="E175" t="s">
        <v>537</v>
      </c>
      <c r="F175" t="s">
        <v>562</v>
      </c>
      <c r="G175" t="s">
        <v>480</v>
      </c>
      <c r="H175" t="s">
        <v>495</v>
      </c>
      <c r="I175">
        <v>0</v>
      </c>
      <c r="O175" s="8">
        <v>3.85</v>
      </c>
      <c r="R175" s="8">
        <f>$O175*(1-INDEX($C$119:$H$119,1,MATCH(R$124,$C$115:$H$115,0)))</f>
        <v>3.85</v>
      </c>
      <c r="W175" s="8">
        <f>$O175*(1-INDEX($C$119:$H$119,1,MATCH(W$124,$C$115:$H$115,0)))</f>
        <v>3.85</v>
      </c>
      <c r="AB175" s="8">
        <f>$O175*(1-INDEX($C$119:$H$119,1,MATCH(AB$124,$C$115:$H$115,0)))</f>
        <v>3.85</v>
      </c>
    </row>
    <row r="176" spans="2:28">
      <c r="B176" t="s">
        <v>540</v>
      </c>
      <c r="D176" t="s">
        <v>541</v>
      </c>
      <c r="E176" t="s">
        <v>562</v>
      </c>
      <c r="F176" t="s">
        <v>495</v>
      </c>
      <c r="G176" t="s">
        <v>480</v>
      </c>
      <c r="H176" t="s">
        <v>542</v>
      </c>
      <c r="I176">
        <v>3</v>
      </c>
      <c r="O176" s="8">
        <v>0.441</v>
      </c>
      <c r="R176" s="8">
        <f>1-R177</f>
        <v>0.44099999999999995</v>
      </c>
      <c r="W176" s="8">
        <f>1-W177</f>
        <v>0.44099999999999995</v>
      </c>
      <c r="AB176" s="8">
        <f>1-AB177</f>
        <v>0.44099999999999995</v>
      </c>
    </row>
    <row r="177" spans="2:28">
      <c r="B177" t="s">
        <v>540</v>
      </c>
      <c r="D177" t="s">
        <v>543</v>
      </c>
      <c r="E177" t="s">
        <v>562</v>
      </c>
      <c r="F177" t="s">
        <v>495</v>
      </c>
      <c r="G177" t="s">
        <v>480</v>
      </c>
      <c r="H177" t="s">
        <v>542</v>
      </c>
      <c r="I177">
        <v>3</v>
      </c>
      <c r="O177" s="8">
        <v>0.55900000000000005</v>
      </c>
      <c r="R177" s="8">
        <f>$O177*(1+INDEX($C$119:$H$119,1,MATCH(R$124,$C$115:$H$115,0)))</f>
        <v>0.55900000000000005</v>
      </c>
      <c r="W177" s="8">
        <f>$O177*(1+INDEX($C$119:$H$119,1,MATCH(W$124,$C$115:$H$115,0)))</f>
        <v>0.55900000000000005</v>
      </c>
      <c r="AB177" s="8">
        <f>$O177*(1+INDEX($C$119:$H$119,1,MATCH(AB$124,$C$115:$H$115,0)))</f>
        <v>0.55900000000000005</v>
      </c>
    </row>
    <row r="179" spans="2:28" ht="15">
      <c r="B179" s="188" t="s">
        <v>563</v>
      </c>
    </row>
    <row r="180" spans="2:28" ht="15">
      <c r="B180" s="104" t="s">
        <v>536</v>
      </c>
      <c r="D180" s="104" t="s">
        <v>495</v>
      </c>
      <c r="E180" s="104" t="s">
        <v>537</v>
      </c>
      <c r="F180" s="104" t="s">
        <v>564</v>
      </c>
      <c r="G180" s="104" t="s">
        <v>480</v>
      </c>
      <c r="H180" s="104" t="s">
        <v>495</v>
      </c>
      <c r="I180" s="104">
        <v>0</v>
      </c>
      <c r="J180" s="104"/>
      <c r="O180" s="8">
        <v>3.85</v>
      </c>
      <c r="R180" s="8">
        <f>$O180*(1-INDEX($C$119:$H$119,1,MATCH(R$124,$C$115:$H$115,0)))</f>
        <v>3.85</v>
      </c>
      <c r="W180" s="8">
        <f>$O180*(1-INDEX($C$119:$H$119,1,MATCH(W$124,$C$115:$H$115,0)))</f>
        <v>3.85</v>
      </c>
      <c r="AB180" s="8">
        <f>$O180*(1-INDEX($C$119:$H$119,1,MATCH(AB$124,$C$115:$H$115,0)))</f>
        <v>3.85</v>
      </c>
    </row>
    <row r="181" spans="2:28" ht="15">
      <c r="B181" s="104" t="s">
        <v>540</v>
      </c>
      <c r="C181" s="104"/>
      <c r="D181" s="104" t="s">
        <v>541</v>
      </c>
      <c r="E181" s="104" t="s">
        <v>564</v>
      </c>
      <c r="F181" s="104" t="s">
        <v>495</v>
      </c>
      <c r="G181" s="104" t="s">
        <v>480</v>
      </c>
      <c r="H181" s="104" t="s">
        <v>542</v>
      </c>
      <c r="I181" s="104">
        <v>3</v>
      </c>
      <c r="J181" s="104"/>
      <c r="O181">
        <v>0.56999999999999995</v>
      </c>
      <c r="R181" s="8">
        <f>1-R182</f>
        <v>0.57000000000000006</v>
      </c>
      <c r="W181" s="8">
        <f>1-W182</f>
        <v>0.57000000000000006</v>
      </c>
      <c r="AB181" s="8">
        <f>1-AB182</f>
        <v>0.57000000000000006</v>
      </c>
    </row>
    <row r="182" spans="2:28" ht="15">
      <c r="B182" s="104" t="s">
        <v>540</v>
      </c>
      <c r="C182" s="104"/>
      <c r="D182" s="104" t="s">
        <v>543</v>
      </c>
      <c r="E182" s="104" t="s">
        <v>564</v>
      </c>
      <c r="F182" s="104" t="s">
        <v>495</v>
      </c>
      <c r="G182" s="104" t="s">
        <v>480</v>
      </c>
      <c r="H182" s="104" t="s">
        <v>542</v>
      </c>
      <c r="I182" s="104">
        <v>3</v>
      </c>
      <c r="J182" s="104"/>
      <c r="O182">
        <v>0.43</v>
      </c>
      <c r="R182" s="8">
        <f>$O182*(1+INDEX($C$119:$H$119,1,MATCH(R$124,$C$115:$H$115,0)))</f>
        <v>0.43</v>
      </c>
      <c r="W182" s="8">
        <f>$O182*(1+INDEX($C$119:$H$119,1,MATCH(W$124,$C$115:$H$115,0)))</f>
        <v>0.43</v>
      </c>
      <c r="AB182" s="8">
        <f>$O182*(1+INDEX($C$119:$H$119,1,MATCH(AB$124,$C$115:$H$115,0)))</f>
        <v>0.43</v>
      </c>
    </row>
    <row r="185" spans="2:28" ht="15">
      <c r="B185" s="104" t="s">
        <v>565</v>
      </c>
      <c r="C185" s="104" t="s">
        <v>566</v>
      </c>
      <c r="D185" s="104" t="s">
        <v>495</v>
      </c>
      <c r="E185" s="104" t="s">
        <v>495</v>
      </c>
      <c r="F185" s="104" t="s">
        <v>495</v>
      </c>
      <c r="G185" s="104" t="s">
        <v>495</v>
      </c>
      <c r="H185" s="104" t="str">
        <f>IF(pamsindex,"FX","UP")</f>
        <v>UP</v>
      </c>
      <c r="I185" s="104"/>
      <c r="J185" s="104"/>
    </row>
    <row r="186" spans="2:28" ht="15">
      <c r="B186" s="104" t="s">
        <v>567</v>
      </c>
      <c r="C186" s="104" t="s">
        <v>566</v>
      </c>
      <c r="D186" s="104" t="s">
        <v>568</v>
      </c>
      <c r="E186" s="104" t="s">
        <v>569</v>
      </c>
      <c r="F186" s="104" t="s">
        <v>495</v>
      </c>
      <c r="G186" s="104" t="s">
        <v>480</v>
      </c>
      <c r="H186" s="104" t="s">
        <v>495</v>
      </c>
      <c r="I186" s="104">
        <v>0</v>
      </c>
      <c r="J186" s="104"/>
      <c r="R186" s="4">
        <f>-E40</f>
        <v>-5.3333333333333337E-2</v>
      </c>
      <c r="W186" s="4">
        <f>-F40</f>
        <v>-0.10666666666666667</v>
      </c>
      <c r="AB186" s="4">
        <f>-G40</f>
        <v>-0.16</v>
      </c>
    </row>
    <row r="188" spans="2:28" ht="15">
      <c r="B188" s="104" t="s">
        <v>565</v>
      </c>
      <c r="C188" s="104" t="s">
        <v>570</v>
      </c>
      <c r="D188" s="104" t="s">
        <v>495</v>
      </c>
      <c r="E188" s="104" t="s">
        <v>495</v>
      </c>
      <c r="F188" s="104" t="s">
        <v>495</v>
      </c>
      <c r="G188" s="104" t="s">
        <v>495</v>
      </c>
      <c r="H188" s="104" t="str">
        <f>IF(pamsindex,"FX","UP")</f>
        <v>UP</v>
      </c>
      <c r="I188" s="104"/>
      <c r="J188" s="104"/>
      <c r="AB188" s="4"/>
    </row>
    <row r="189" spans="2:28" ht="15">
      <c r="B189" s="104" t="s">
        <v>567</v>
      </c>
      <c r="C189" s="104" t="s">
        <v>570</v>
      </c>
      <c r="D189" s="104" t="s">
        <v>568</v>
      </c>
      <c r="E189" s="104" t="s">
        <v>569</v>
      </c>
      <c r="F189" s="104" t="s">
        <v>495</v>
      </c>
      <c r="G189" s="104" t="s">
        <v>480</v>
      </c>
      <c r="H189" s="104" t="s">
        <v>495</v>
      </c>
      <c r="I189" s="104">
        <v>0</v>
      </c>
      <c r="J189" s="104"/>
      <c r="R189" s="4">
        <f>R186</f>
        <v>-5.3333333333333337E-2</v>
      </c>
      <c r="W189" s="4">
        <f>W186</f>
        <v>-0.10666666666666667</v>
      </c>
      <c r="AB189" s="4">
        <f>AB186</f>
        <v>-0.16</v>
      </c>
    </row>
    <row r="193" spans="1:13">
      <c r="A193" s="28"/>
    </row>
    <row r="195" spans="1:13">
      <c r="B195" s="26"/>
      <c r="C195" s="205"/>
      <c r="D195" s="26"/>
    </row>
    <row r="199" spans="1:13">
      <c r="A199" s="28" t="s">
        <v>571</v>
      </c>
    </row>
    <row r="200" spans="1:13">
      <c r="C200" s="205">
        <f>IF(PAMSlevel = "High",-5%,-2.5%)</f>
        <v>-0.05</v>
      </c>
      <c r="D200" s="26" t="s">
        <v>572</v>
      </c>
      <c r="E200">
        <v>0</v>
      </c>
      <c r="F200" s="4">
        <f>G200/2</f>
        <v>-2.5000000000000001E-2</v>
      </c>
      <c r="G200" s="4">
        <f>C200</f>
        <v>-0.05</v>
      </c>
      <c r="H200" s="4">
        <f>G200</f>
        <v>-0.05</v>
      </c>
      <c r="I200" s="4">
        <f>H200</f>
        <v>-0.05</v>
      </c>
      <c r="J200" s="4">
        <f>I200</f>
        <v>-0.05</v>
      </c>
      <c r="K200" s="4">
        <f>J200</f>
        <v>-0.05</v>
      </c>
    </row>
    <row r="201" spans="1:13">
      <c r="E201">
        <f t="shared" ref="E201:K201" si="20">IF(pamsindex,E200,0)</f>
        <v>0</v>
      </c>
      <c r="F201">
        <f t="shared" si="20"/>
        <v>0</v>
      </c>
      <c r="G201">
        <f t="shared" si="20"/>
        <v>0</v>
      </c>
      <c r="H201">
        <f t="shared" si="20"/>
        <v>0</v>
      </c>
      <c r="I201">
        <f t="shared" si="20"/>
        <v>0</v>
      </c>
      <c r="J201">
        <f t="shared" si="20"/>
        <v>0</v>
      </c>
      <c r="K201">
        <f t="shared" si="20"/>
        <v>0</v>
      </c>
    </row>
    <row r="204" spans="1:13" ht="19.5">
      <c r="B204" s="192" t="s">
        <v>573</v>
      </c>
    </row>
    <row r="205" spans="1:13">
      <c r="B205" s="165" t="s">
        <v>574</v>
      </c>
      <c r="C205" s="148" t="b">
        <f>'PAMS central control panel'!C3</f>
        <v>0</v>
      </c>
      <c r="D205" s="148"/>
      <c r="E205" s="148"/>
      <c r="F205" s="148"/>
      <c r="G205" s="148"/>
      <c r="H205" s="148"/>
      <c r="I205" s="148"/>
      <c r="J205" s="148"/>
      <c r="K205" s="148"/>
      <c r="L205" s="148"/>
      <c r="M205" s="118"/>
    </row>
    <row r="206" spans="1:13">
      <c r="B206" s="173" t="s">
        <v>575</v>
      </c>
      <c r="E206" s="28">
        <v>2020</v>
      </c>
      <c r="F206" s="28">
        <v>2025</v>
      </c>
      <c r="G206" s="28">
        <v>2030</v>
      </c>
      <c r="H206" s="28">
        <v>2035</v>
      </c>
      <c r="I206" s="28">
        <v>2040</v>
      </c>
      <c r="J206" s="28">
        <v>2045</v>
      </c>
      <c r="K206" s="28">
        <v>2050</v>
      </c>
      <c r="M206" s="13"/>
    </row>
    <row r="207" spans="1:13">
      <c r="B207" s="14"/>
      <c r="C207" s="26" t="s">
        <v>576</v>
      </c>
      <c r="F207" s="84">
        <v>5.5620886416435935</v>
      </c>
      <c r="G207" s="84">
        <v>6.4802617482978908</v>
      </c>
      <c r="H207" s="84">
        <v>7.2352040804358699</v>
      </c>
      <c r="I207" s="84">
        <v>8.2186694968966982</v>
      </c>
      <c r="J207" s="84">
        <v>9.2184579908091564</v>
      </c>
      <c r="K207" s="84">
        <v>10.565111880568795</v>
      </c>
      <c r="M207" s="13"/>
    </row>
    <row r="208" spans="1:13">
      <c r="B208" s="14"/>
      <c r="C208" s="26" t="s">
        <v>577</v>
      </c>
      <c r="E208" s="9"/>
      <c r="F208" s="9">
        <f>K241</f>
        <v>-0.48087110861142252</v>
      </c>
      <c r="G208" s="9">
        <f>K246</f>
        <v>-0.65141293181790172</v>
      </c>
      <c r="H208" s="9">
        <f>K251</f>
        <v>-0.51026292419039476</v>
      </c>
      <c r="I208" s="9">
        <f>K256</f>
        <v>-0.17201903147508937</v>
      </c>
      <c r="J208" s="9">
        <f>K261</f>
        <v>0.19032466273090426</v>
      </c>
      <c r="K208" s="9">
        <f>K266</f>
        <v>0.35390843450060355</v>
      </c>
      <c r="M208" s="13"/>
    </row>
    <row r="209" spans="2:13">
      <c r="B209" s="14"/>
      <c r="C209" s="26" t="s">
        <v>578</v>
      </c>
      <c r="E209" s="9">
        <v>0</v>
      </c>
      <c r="F209" s="9">
        <f t="shared" ref="F209:K209" si="21">IF(wastePAM,F208/F207,0)</f>
        <v>0</v>
      </c>
      <c r="G209" s="9">
        <f t="shared" si="21"/>
        <v>0</v>
      </c>
      <c r="H209" s="9">
        <f t="shared" si="21"/>
        <v>0</v>
      </c>
      <c r="I209" s="9">
        <f t="shared" si="21"/>
        <v>0</v>
      </c>
      <c r="J209" s="9">
        <f t="shared" si="21"/>
        <v>0</v>
      </c>
      <c r="K209" s="9">
        <f t="shared" si="21"/>
        <v>0</v>
      </c>
      <c r="M209" s="13"/>
    </row>
    <row r="210" spans="2:13">
      <c r="B210" s="14"/>
      <c r="M210" s="13"/>
    </row>
    <row r="211" spans="2:13">
      <c r="B211" s="14"/>
      <c r="M211" s="13"/>
    </row>
    <row r="212" spans="2:13">
      <c r="B212" s="173"/>
      <c r="M212" s="13"/>
    </row>
    <row r="213" spans="2:13">
      <c r="B213" s="173" t="s">
        <v>579</v>
      </c>
      <c r="M213" s="13"/>
    </row>
    <row r="214" spans="2:13">
      <c r="B214" s="14"/>
      <c r="C214" s="26" t="s">
        <v>580</v>
      </c>
      <c r="E214">
        <v>1.0761048779153095</v>
      </c>
      <c r="F214">
        <v>1.2116592573289904</v>
      </c>
      <c r="G214">
        <v>1.3835634144625406</v>
      </c>
      <c r="H214">
        <v>1.6009047937459284</v>
      </c>
      <c r="I214">
        <v>1.8689844044299675</v>
      </c>
      <c r="J214">
        <v>2.1953751168729645</v>
      </c>
      <c r="K214">
        <v>2.6080965514006516</v>
      </c>
      <c r="M214" s="13"/>
    </row>
    <row r="215" spans="2:13">
      <c r="B215" s="14"/>
      <c r="C215" s="26" t="s">
        <v>581</v>
      </c>
      <c r="F215" s="8">
        <f>J241</f>
        <v>-0.22538365395891569</v>
      </c>
      <c r="G215" s="8">
        <f>J246</f>
        <v>-0.32710046744318089</v>
      </c>
      <c r="H215" s="8">
        <f>J251</f>
        <v>-0.25352238557540036</v>
      </c>
      <c r="I215" s="8">
        <f>J256</f>
        <v>-1.0988458741139302E-2</v>
      </c>
      <c r="J215" s="8">
        <f>J261</f>
        <v>0.24915623705126549</v>
      </c>
      <c r="K215" s="8">
        <f>J266</f>
        <v>0.3693693542895139</v>
      </c>
      <c r="M215" s="13"/>
    </row>
    <row r="216" spans="2:13">
      <c r="B216" s="14"/>
      <c r="C216" s="26" t="s">
        <v>582</v>
      </c>
      <c r="E216" s="5"/>
      <c r="F216" s="5">
        <f t="shared" ref="F216:K216" si="22">F215/F214</f>
        <v>-0.18601240620713502</v>
      </c>
      <c r="G216" s="5">
        <f t="shared" si="22"/>
        <v>-0.23641884717676379</v>
      </c>
      <c r="H216" s="5">
        <f t="shared" si="22"/>
        <v>-0.1583619379277314</v>
      </c>
      <c r="I216" s="5">
        <f t="shared" si="22"/>
        <v>-5.8793742286419644E-3</v>
      </c>
      <c r="J216" s="5">
        <f t="shared" si="22"/>
        <v>0.1134914189089276</v>
      </c>
      <c r="K216" s="5">
        <f t="shared" si="22"/>
        <v>0.14162411053806573</v>
      </c>
      <c r="M216" s="13"/>
    </row>
    <row r="217" spans="2:13">
      <c r="B217" s="14"/>
      <c r="C217" s="26" t="s">
        <v>583</v>
      </c>
      <c r="E217" s="5"/>
      <c r="F217" s="5">
        <f t="shared" ref="F217:K217" si="23">F216*$F$222</f>
        <v>-5.5803721862140505E-2</v>
      </c>
      <c r="G217" s="5">
        <f t="shared" si="23"/>
        <v>-7.0925654153029136E-2</v>
      </c>
      <c r="H217" s="5">
        <f t="shared" si="23"/>
        <v>-4.7508581378319419E-2</v>
      </c>
      <c r="I217" s="5">
        <f t="shared" si="23"/>
        <v>-1.7638122685925892E-3</v>
      </c>
      <c r="J217" s="5">
        <f t="shared" si="23"/>
        <v>3.404742567267828E-2</v>
      </c>
      <c r="K217" s="5">
        <f t="shared" si="23"/>
        <v>4.2487233161419717E-2</v>
      </c>
      <c r="M217" s="13"/>
    </row>
    <row r="218" spans="2:13">
      <c r="B218" s="14"/>
      <c r="C218" s="26" t="s">
        <v>584</v>
      </c>
      <c r="E218" s="4"/>
      <c r="F218" s="4">
        <f t="shared" ref="F218:K218" si="24">IF($C$205,-F217,0%)</f>
        <v>0</v>
      </c>
      <c r="G218" s="4">
        <f t="shared" si="24"/>
        <v>0</v>
      </c>
      <c r="H218" s="4">
        <f t="shared" si="24"/>
        <v>0</v>
      </c>
      <c r="I218" s="4">
        <f t="shared" si="24"/>
        <v>0</v>
      </c>
      <c r="J218" s="4">
        <f t="shared" si="24"/>
        <v>0</v>
      </c>
      <c r="K218" s="4">
        <f t="shared" si="24"/>
        <v>0</v>
      </c>
      <c r="M218" s="13"/>
    </row>
    <row r="219" spans="2:13">
      <c r="B219" s="14"/>
      <c r="C219" s="26" t="s">
        <v>585</v>
      </c>
      <c r="E219" s="149">
        <v>0</v>
      </c>
      <c r="F219" s="149">
        <f t="shared" ref="F219:K219" si="25">IF(wastePAM,-$F$223*F216,0%)</f>
        <v>0</v>
      </c>
      <c r="G219" s="149">
        <f t="shared" si="25"/>
        <v>0</v>
      </c>
      <c r="H219" s="149">
        <f t="shared" si="25"/>
        <v>0</v>
      </c>
      <c r="I219" s="149">
        <f t="shared" si="25"/>
        <v>0</v>
      </c>
      <c r="J219" s="149">
        <f t="shared" si="25"/>
        <v>0</v>
      </c>
      <c r="K219" s="149">
        <f t="shared" si="25"/>
        <v>0</v>
      </c>
      <c r="M219" s="13"/>
    </row>
    <row r="220" spans="2:13">
      <c r="B220" s="14"/>
      <c r="M220" s="13"/>
    </row>
    <row r="221" spans="2:13">
      <c r="B221" s="14"/>
      <c r="C221" s="4">
        <v>0.1</v>
      </c>
      <c r="D221" s="26" t="s">
        <v>586</v>
      </c>
      <c r="M221" s="13"/>
    </row>
    <row r="222" spans="2:13">
      <c r="B222" s="14"/>
      <c r="C222" s="4">
        <v>0.03</v>
      </c>
      <c r="D222" s="26" t="s">
        <v>587</v>
      </c>
      <c r="F222" s="149">
        <f>C222/C221</f>
        <v>0.3</v>
      </c>
      <c r="M222" s="13"/>
    </row>
    <row r="223" spans="2:13">
      <c r="B223" s="14"/>
      <c r="C223" s="4">
        <v>0.05</v>
      </c>
      <c r="D223" s="26" t="s">
        <v>588</v>
      </c>
      <c r="F223" s="149">
        <f>C223/C221</f>
        <v>0.5</v>
      </c>
      <c r="M223" s="13"/>
    </row>
    <row r="224" spans="2:13">
      <c r="B224" s="14"/>
      <c r="C224" s="4"/>
      <c r="D224" s="26"/>
      <c r="F224" s="149"/>
      <c r="M224" s="13"/>
    </row>
    <row r="225" spans="2:13">
      <c r="B225" s="173" t="s">
        <v>589</v>
      </c>
      <c r="C225" s="193"/>
      <c r="D225" s="26" t="s">
        <v>590</v>
      </c>
      <c r="E225" s="9">
        <f t="shared" ref="E225:K225" si="26">(1+E218)*(1+E201)</f>
        <v>1</v>
      </c>
      <c r="F225" s="9">
        <f t="shared" si="26"/>
        <v>1</v>
      </c>
      <c r="G225" s="9">
        <f t="shared" si="26"/>
        <v>1</v>
      </c>
      <c r="H225" s="9">
        <f t="shared" si="26"/>
        <v>1</v>
      </c>
      <c r="I225" s="9">
        <f t="shared" si="26"/>
        <v>1</v>
      </c>
      <c r="J225" s="9">
        <f t="shared" si="26"/>
        <v>1</v>
      </c>
      <c r="K225" s="9">
        <f t="shared" si="26"/>
        <v>1</v>
      </c>
      <c r="M225" s="13"/>
    </row>
    <row r="226" spans="2:13">
      <c r="B226" s="14"/>
      <c r="C226" s="4"/>
      <c r="D226" s="26"/>
      <c r="F226" s="149"/>
      <c r="M226" s="13"/>
    </row>
    <row r="227" spans="2:13">
      <c r="B227" s="14"/>
      <c r="M227" s="13"/>
    </row>
    <row r="228" spans="2:13">
      <c r="B228" s="14"/>
      <c r="M228" s="13"/>
    </row>
    <row r="229" spans="2:13">
      <c r="B229" s="14"/>
      <c r="D229" s="26" t="s">
        <v>591</v>
      </c>
      <c r="F229" s="26" t="s">
        <v>592</v>
      </c>
      <c r="J229" s="26" t="s">
        <v>593</v>
      </c>
      <c r="M229" s="13"/>
    </row>
    <row r="230" spans="2:13">
      <c r="B230" s="14"/>
      <c r="H230" s="26" t="s">
        <v>594</v>
      </c>
      <c r="J230" s="26" t="s">
        <v>594</v>
      </c>
      <c r="M230" s="13"/>
    </row>
    <row r="231" spans="2:13" ht="15">
      <c r="B231" s="14"/>
      <c r="C231" s="26" t="s">
        <v>595</v>
      </c>
      <c r="D231" s="208" t="s">
        <v>303</v>
      </c>
      <c r="E231" s="208" t="s">
        <v>596</v>
      </c>
      <c r="F231" s="208" t="s">
        <v>303</v>
      </c>
      <c r="G231" s="208" t="s">
        <v>596</v>
      </c>
      <c r="H231" s="26" t="s">
        <v>303</v>
      </c>
      <c r="I231" s="26" t="s">
        <v>596</v>
      </c>
      <c r="J231" s="26" t="s">
        <v>303</v>
      </c>
      <c r="K231" s="26" t="s">
        <v>596</v>
      </c>
      <c r="M231" s="13"/>
    </row>
    <row r="232" spans="2:13" ht="31.5">
      <c r="B232" s="14"/>
      <c r="C232" s="26" t="s">
        <v>597</v>
      </c>
      <c r="D232" s="209" t="s">
        <v>598</v>
      </c>
      <c r="E232" s="209" t="s">
        <v>598</v>
      </c>
      <c r="F232" s="209" t="s">
        <v>598</v>
      </c>
      <c r="G232" s="209" t="s">
        <v>598</v>
      </c>
      <c r="M232" s="13"/>
    </row>
    <row r="233" spans="2:13">
      <c r="B233" s="14">
        <v>2017</v>
      </c>
      <c r="C233">
        <v>55.558999999999997</v>
      </c>
      <c r="D233" s="84">
        <v>35.157920176424213</v>
      </c>
      <c r="E233" s="84">
        <v>50.006188746360976</v>
      </c>
      <c r="F233" s="84">
        <v>35.157920176424213</v>
      </c>
      <c r="G233" s="84">
        <v>50.006188746360976</v>
      </c>
      <c r="H233" s="84">
        <f>C233*1000000*D233/1000000000</f>
        <v>1.9533388870819528</v>
      </c>
      <c r="I233" s="84">
        <f>C233*1000000*E233/1000000000</f>
        <v>2.7782938405590696</v>
      </c>
      <c r="J233" s="212">
        <f t="shared" ref="J233:J266" si="27">(D233-F233)*C233*1000000/1000000000</f>
        <v>0</v>
      </c>
      <c r="K233" s="212">
        <f t="shared" ref="K233:K266" si="28">(E233-G233)*C233*1000000/1000000000</f>
        <v>0</v>
      </c>
      <c r="M233" s="13"/>
    </row>
    <row r="234" spans="2:13">
      <c r="B234" s="14">
        <v>2018</v>
      </c>
      <c r="C234">
        <v>56.094000000000001</v>
      </c>
      <c r="D234" s="84">
        <v>34.989481825179901</v>
      </c>
      <c r="E234" s="84">
        <v>49.244917950584238</v>
      </c>
      <c r="F234" s="84">
        <v>34.265155738460493</v>
      </c>
      <c r="G234" s="84">
        <v>48.736382490279041</v>
      </c>
      <c r="H234" s="84">
        <f t="shared" ref="H234:H266" si="29">C234*1000000*D234/1000000000</f>
        <v>1.9626999935016414</v>
      </c>
      <c r="I234" s="84">
        <f t="shared" ref="I234:I266" si="30">C234*1000000*E234/1000000000</f>
        <v>2.7623444275200724</v>
      </c>
      <c r="J234" s="212">
        <f t="shared" si="27"/>
        <v>4.0630347508438483E-2</v>
      </c>
      <c r="K234" s="212">
        <f t="shared" si="28"/>
        <v>2.8525788110359711E-2</v>
      </c>
      <c r="M234" s="13"/>
    </row>
    <row r="235" spans="2:13">
      <c r="B235" s="14">
        <v>2019</v>
      </c>
      <c r="C235">
        <v>56.628</v>
      </c>
      <c r="D235" s="84">
        <v>35.109957109146116</v>
      </c>
      <c r="E235" s="84">
        <v>48.911420614287103</v>
      </c>
      <c r="F235" s="84">
        <v>33.421230605186437</v>
      </c>
      <c r="G235" s="84">
        <v>47.536041875972764</v>
      </c>
      <c r="H235" s="84">
        <f t="shared" si="29"/>
        <v>1.9882066511767262</v>
      </c>
      <c r="I235" s="84">
        <f t="shared" si="30"/>
        <v>2.7697559265458502</v>
      </c>
      <c r="J235" s="212">
        <f t="shared" si="27"/>
        <v>9.5629204466228662E-2</v>
      </c>
      <c r="K235" s="212">
        <f t="shared" si="28"/>
        <v>7.7884947193264401E-2</v>
      </c>
      <c r="M235" s="13"/>
    </row>
    <row r="236" spans="2:13">
      <c r="B236" s="14">
        <v>2020</v>
      </c>
      <c r="C236">
        <v>57.162999999999997</v>
      </c>
      <c r="D236" s="84">
        <v>34.972680043642761</v>
      </c>
      <c r="E236" s="84">
        <v>48.238277461198351</v>
      </c>
      <c r="F236" s="84">
        <v>32.625128715161487</v>
      </c>
      <c r="G236" s="84">
        <v>46.403721728075681</v>
      </c>
      <c r="H236" s="84">
        <f t="shared" si="29"/>
        <v>1.999143309334751</v>
      </c>
      <c r="I236" s="84">
        <f t="shared" si="30"/>
        <v>2.7574446545144817</v>
      </c>
      <c r="J236" s="212">
        <f t="shared" si="27"/>
        <v>0.13419307658997501</v>
      </c>
      <c r="K236" s="212">
        <f t="shared" si="28"/>
        <v>0.10486870937249118</v>
      </c>
      <c r="M236" s="13"/>
    </row>
    <row r="237" spans="2:13">
      <c r="B237" s="14">
        <v>2021</v>
      </c>
      <c r="C237">
        <v>57.704999999999998</v>
      </c>
      <c r="D237" s="84">
        <v>33.124377497040335</v>
      </c>
      <c r="E237" s="84">
        <v>45.249602747301914</v>
      </c>
      <c r="F237" s="84">
        <v>31.875996612035554</v>
      </c>
      <c r="G237" s="84">
        <v>45.338208149431345</v>
      </c>
      <c r="H237" s="84">
        <f t="shared" si="29"/>
        <v>1.9114422034667125</v>
      </c>
      <c r="I237" s="84">
        <f t="shared" si="30"/>
        <v>2.6111283265330569</v>
      </c>
      <c r="J237" s="212">
        <f t="shared" si="27"/>
        <v>7.2037818969200904E-2</v>
      </c>
      <c r="K237" s="212">
        <f t="shared" si="28"/>
        <v>-5.1129747298788364E-3</v>
      </c>
      <c r="M237" s="13"/>
    </row>
    <row r="238" spans="2:13">
      <c r="B238" s="14">
        <v>2022</v>
      </c>
      <c r="C238">
        <v>58.246000000000002</v>
      </c>
      <c r="D238" s="84">
        <v>28.374787950855847</v>
      </c>
      <c r="E238" s="84">
        <v>38.398997169932919</v>
      </c>
      <c r="F238" s="84">
        <v>31.173153704213533</v>
      </c>
      <c r="G238" s="84">
        <v>44.338533113728936</v>
      </c>
      <c r="H238" s="84">
        <f t="shared" si="29"/>
        <v>1.6527178989855498</v>
      </c>
      <c r="I238" s="84">
        <f t="shared" si="30"/>
        <v>2.2365879891599127</v>
      </c>
      <c r="J238" s="212">
        <f t="shared" si="27"/>
        <v>-0.16299361167007179</v>
      </c>
      <c r="K238" s="212">
        <f t="shared" si="28"/>
        <v>-0.34595421058234282</v>
      </c>
      <c r="M238" s="13"/>
    </row>
    <row r="239" spans="2:13">
      <c r="B239" s="14">
        <v>2023</v>
      </c>
      <c r="C239">
        <v>58.787999999999997</v>
      </c>
      <c r="D239" s="84">
        <v>27.529977115372166</v>
      </c>
      <c r="E239" s="84">
        <v>36.91683349203069</v>
      </c>
      <c r="F239" s="84">
        <v>30.516105350647532</v>
      </c>
      <c r="G239" s="84">
        <v>43.403993077827167</v>
      </c>
      <c r="H239" s="84">
        <f t="shared" si="29"/>
        <v>1.6184322946584988</v>
      </c>
      <c r="I239" s="84">
        <f t="shared" si="30"/>
        <v>2.1702668073295004</v>
      </c>
      <c r="J239" s="212">
        <f t="shared" si="27"/>
        <v>-0.17554850669536823</v>
      </c>
      <c r="K239" s="212">
        <f t="shared" si="28"/>
        <v>-0.38136713772980319</v>
      </c>
      <c r="M239" s="13"/>
    </row>
    <row r="240" spans="2:13">
      <c r="B240" s="14">
        <v>2024</v>
      </c>
      <c r="C240">
        <v>59.33</v>
      </c>
      <c r="D240" s="84">
        <v>26.597600526743825</v>
      </c>
      <c r="E240" s="84">
        <v>35.350769354462813</v>
      </c>
      <c r="F240" s="84">
        <v>29.904559393835562</v>
      </c>
      <c r="G240" s="84">
        <v>42.534172497145605</v>
      </c>
      <c r="H240" s="84">
        <f t="shared" si="29"/>
        <v>1.5780356392517112</v>
      </c>
      <c r="I240" s="84">
        <f t="shared" si="30"/>
        <v>2.0973611458002788</v>
      </c>
      <c r="J240" s="212">
        <f t="shared" si="27"/>
        <v>-0.19620186958455277</v>
      </c>
      <c r="K240" s="212">
        <f t="shared" si="28"/>
        <v>-0.42619130845537007</v>
      </c>
      <c r="M240" s="13"/>
    </row>
    <row r="241" spans="2:13">
      <c r="B241" s="173">
        <v>2025</v>
      </c>
      <c r="C241" s="28">
        <v>59.872</v>
      </c>
      <c r="D241" s="211">
        <v>25.574021930386582</v>
      </c>
      <c r="E241" s="211">
        <v>33.697320707585192</v>
      </c>
      <c r="F241" s="211">
        <v>29.338446936381299</v>
      </c>
      <c r="G241" s="211">
        <v>41.728973376803232</v>
      </c>
      <c r="H241" s="84">
        <f t="shared" si="29"/>
        <v>1.5311678410161054</v>
      </c>
      <c r="I241" s="84">
        <f t="shared" si="30"/>
        <v>2.0175259854045406</v>
      </c>
      <c r="J241" s="212">
        <f t="shared" si="27"/>
        <v>-0.22538365395891569</v>
      </c>
      <c r="K241" s="212">
        <f t="shared" si="28"/>
        <v>-0.48087110861142252</v>
      </c>
      <c r="M241" s="13"/>
    </row>
    <row r="242" spans="2:13">
      <c r="B242" s="14">
        <v>2026</v>
      </c>
      <c r="C242">
        <v>60.459000000000003</v>
      </c>
      <c r="D242" s="84">
        <v>24.455400913666114</v>
      </c>
      <c r="E242" s="84">
        <v>31.952807889272464</v>
      </c>
      <c r="F242" s="84">
        <v>28.817948389491534</v>
      </c>
      <c r="G242" s="84">
        <v>40.988652321195687</v>
      </c>
      <c r="H242" s="84">
        <f t="shared" si="29"/>
        <v>1.4785490838393396</v>
      </c>
      <c r="I242" s="84">
        <f t="shared" si="30"/>
        <v>1.931834812177524</v>
      </c>
      <c r="J242" s="212">
        <f t="shared" si="27"/>
        <v>-0.26375525784092907</v>
      </c>
      <c r="K242" s="212">
        <f t="shared" si="28"/>
        <v>-0.54629811850964616</v>
      </c>
      <c r="M242" s="13"/>
    </row>
    <row r="243" spans="2:13">
      <c r="B243" s="14">
        <v>2027</v>
      </c>
      <c r="C243">
        <v>61.045000000000002</v>
      </c>
      <c r="D243" s="84">
        <v>23.237678373816742</v>
      </c>
      <c r="E243" s="84">
        <v>30.113341701114955</v>
      </c>
      <c r="F243" s="84">
        <v>28.343526131785911</v>
      </c>
      <c r="G243" s="84">
        <v>40.313866985622546</v>
      </c>
      <c r="H243" s="84">
        <f t="shared" si="29"/>
        <v>1.4185440763296431</v>
      </c>
      <c r="I243" s="84">
        <f t="shared" si="30"/>
        <v>1.8382689441445625</v>
      </c>
      <c r="J243" s="212">
        <f t="shared" si="27"/>
        <v>-0.3116864763852279</v>
      </c>
      <c r="K243" s="212">
        <f t="shared" si="28"/>
        <v>-0.62269106599276602</v>
      </c>
      <c r="M243" s="13"/>
    </row>
    <row r="244" spans="2:13">
      <c r="B244" s="14">
        <v>2028</v>
      </c>
      <c r="C244">
        <v>61.631999999999998</v>
      </c>
      <c r="D244" s="84">
        <v>21.916560726652168</v>
      </c>
      <c r="E244" s="84">
        <v>28.174808278115165</v>
      </c>
      <c r="F244" s="84">
        <v>26.87185980263094</v>
      </c>
      <c r="G244" s="84">
        <v>38.220670805129011</v>
      </c>
      <c r="H244" s="84">
        <f t="shared" si="29"/>
        <v>1.3507614707050264</v>
      </c>
      <c r="I244" s="84">
        <f t="shared" si="30"/>
        <v>1.736469783796794</v>
      </c>
      <c r="J244" s="212">
        <f t="shared" si="27"/>
        <v>-0.30540499265072368</v>
      </c>
      <c r="K244" s="212">
        <f t="shared" si="28"/>
        <v>-0.61914659926491722</v>
      </c>
      <c r="M244" s="13"/>
    </row>
    <row r="245" spans="2:13">
      <c r="B245" s="14">
        <v>2029</v>
      </c>
      <c r="C245">
        <v>62.219000000000001</v>
      </c>
      <c r="D245" s="84">
        <v>20.487502726907238</v>
      </c>
      <c r="E245" s="84">
        <v>26.132852628128948</v>
      </c>
      <c r="F245" s="84">
        <v>25.476606047349037</v>
      </c>
      <c r="G245" s="84">
        <v>36.236158573302454</v>
      </c>
      <c r="H245" s="84">
        <f t="shared" si="29"/>
        <v>1.2747119321654414</v>
      </c>
      <c r="I245" s="84">
        <f t="shared" si="30"/>
        <v>1.6259599576695549</v>
      </c>
      <c r="J245" s="212">
        <f t="shared" si="27"/>
        <v>-0.31041701949456829</v>
      </c>
      <c r="K245" s="212">
        <f t="shared" si="28"/>
        <v>-0.62861759260275041</v>
      </c>
      <c r="M245" s="13"/>
    </row>
    <row r="246" spans="2:13">
      <c r="B246" s="173">
        <v>2030</v>
      </c>
      <c r="C246" s="28">
        <v>62.805999999999997</v>
      </c>
      <c r="D246" s="211">
        <v>18.945688755683268</v>
      </c>
      <c r="E246" s="211">
        <v>23.982860702573792</v>
      </c>
      <c r="F246" s="211">
        <v>24.153797335168999</v>
      </c>
      <c r="G246" s="211">
        <v>34.354687149376673</v>
      </c>
      <c r="H246" s="84">
        <f t="shared" si="29"/>
        <v>1.1899029279894433</v>
      </c>
      <c r="I246" s="84">
        <f t="shared" si="30"/>
        <v>1.5062675492858495</v>
      </c>
      <c r="J246" s="212">
        <f t="shared" si="27"/>
        <v>-0.32710046744318089</v>
      </c>
      <c r="K246" s="212">
        <f t="shared" si="28"/>
        <v>-0.65141293181790172</v>
      </c>
      <c r="M246" s="13"/>
    </row>
    <row r="247" spans="2:13">
      <c r="B247" s="14">
        <v>2031</v>
      </c>
      <c r="C247">
        <v>63.372999999999998</v>
      </c>
      <c r="D247" s="84">
        <v>16.759647745412117</v>
      </c>
      <c r="E247" s="84">
        <v>21.215607544584504</v>
      </c>
      <c r="F247" s="84">
        <v>23.010210535452234</v>
      </c>
      <c r="G247" s="84">
        <v>32.728128551270785</v>
      </c>
      <c r="H247" s="84">
        <f t="shared" si="29"/>
        <v>1.062109156570002</v>
      </c>
      <c r="I247" s="84">
        <f t="shared" si="30"/>
        <v>1.3444966969229539</v>
      </c>
      <c r="J247" s="212">
        <f t="shared" si="27"/>
        <v>-0.39611691569321233</v>
      </c>
      <c r="K247" s="212">
        <f t="shared" si="28"/>
        <v>-0.72958299375672975</v>
      </c>
      <c r="M247" s="13"/>
    </row>
    <row r="248" spans="2:13">
      <c r="B248" s="14">
        <v>2032</v>
      </c>
      <c r="C248">
        <v>63.94</v>
      </c>
      <c r="D248" s="84">
        <v>14.573606735140972</v>
      </c>
      <c r="E248" s="84">
        <v>18.44835438659522</v>
      </c>
      <c r="F248" s="84">
        <v>21.866623735735477</v>
      </c>
      <c r="G248" s="84">
        <v>31.101569953164898</v>
      </c>
      <c r="H248" s="84">
        <f t="shared" si="29"/>
        <v>0.93183641464491385</v>
      </c>
      <c r="I248" s="84">
        <f t="shared" si="30"/>
        <v>1.1795877794788983</v>
      </c>
      <c r="J248" s="212">
        <f t="shared" si="27"/>
        <v>-0.46631550701801266</v>
      </c>
      <c r="K248" s="212">
        <f t="shared" si="28"/>
        <v>-0.80904660332646516</v>
      </c>
      <c r="M248" s="13"/>
    </row>
    <row r="249" spans="2:13">
      <c r="B249" s="14">
        <v>2033</v>
      </c>
      <c r="C249">
        <v>64.507000000000005</v>
      </c>
      <c r="D249" s="84">
        <v>14.573606735140972</v>
      </c>
      <c r="E249" s="84">
        <v>18.44835438659522</v>
      </c>
      <c r="F249" s="84">
        <v>20.723036936018715</v>
      </c>
      <c r="G249" s="84">
        <v>29.47501135505901</v>
      </c>
      <c r="H249" s="84">
        <f t="shared" si="29"/>
        <v>0.94009964966373871</v>
      </c>
      <c r="I249" s="84">
        <f t="shared" si="30"/>
        <v>1.1900479964160979</v>
      </c>
      <c r="J249" s="212">
        <f t="shared" si="27"/>
        <v>-0.3966812939680206</v>
      </c>
      <c r="K249" s="212">
        <f t="shared" si="28"/>
        <v>-0.71129656106469374</v>
      </c>
      <c r="M249" s="13"/>
    </row>
    <row r="250" spans="2:13">
      <c r="B250" s="14">
        <v>2034</v>
      </c>
      <c r="C250">
        <v>65.073999999999998</v>
      </c>
      <c r="D250" s="84">
        <v>14.573606735140972</v>
      </c>
      <c r="E250" s="84">
        <v>18.44835438659522</v>
      </c>
      <c r="F250" s="84">
        <v>19.579450136301954</v>
      </c>
      <c r="G250" s="84">
        <v>27.848452756953122</v>
      </c>
      <c r="H250" s="84">
        <f t="shared" si="29"/>
        <v>0.94836288468256369</v>
      </c>
      <c r="I250" s="84">
        <f t="shared" si="30"/>
        <v>1.2005082133532972</v>
      </c>
      <c r="J250" s="212">
        <f t="shared" si="27"/>
        <v>-0.3257502534871497</v>
      </c>
      <c r="K250" s="212">
        <f t="shared" si="28"/>
        <v>-0.61170200135267006</v>
      </c>
      <c r="M250" s="13"/>
    </row>
    <row r="251" spans="2:13">
      <c r="B251" s="173">
        <v>2035</v>
      </c>
      <c r="C251" s="28">
        <v>65.641000000000005</v>
      </c>
      <c r="D251" s="211">
        <v>14.573606735140972</v>
      </c>
      <c r="E251" s="211">
        <v>18.44835438659522</v>
      </c>
      <c r="F251" s="211">
        <v>18.435863336585196</v>
      </c>
      <c r="G251" s="211">
        <v>26.221894158847238</v>
      </c>
      <c r="H251" s="84">
        <f t="shared" si="29"/>
        <v>0.95662611970138856</v>
      </c>
      <c r="I251" s="84">
        <f t="shared" si="30"/>
        <v>1.2109684302904971</v>
      </c>
      <c r="J251" s="212">
        <f t="shared" si="27"/>
        <v>-0.25352238557540036</v>
      </c>
      <c r="K251" s="212">
        <f t="shared" si="28"/>
        <v>-0.51026292419039476</v>
      </c>
      <c r="M251" s="13"/>
    </row>
    <row r="252" spans="2:13">
      <c r="B252" s="14">
        <v>2036</v>
      </c>
      <c r="C252">
        <v>66.230999999999995</v>
      </c>
      <c r="D252" s="84">
        <v>14.573606735140972</v>
      </c>
      <c r="E252" s="84">
        <v>18.44835438659522</v>
      </c>
      <c r="F252" s="84">
        <v>17.292276536868435</v>
      </c>
      <c r="G252" s="84">
        <v>24.595335560741351</v>
      </c>
      <c r="H252" s="84">
        <f t="shared" si="29"/>
        <v>0.96522454767512156</v>
      </c>
      <c r="I252" s="84">
        <f t="shared" si="30"/>
        <v>1.2218529593785881</v>
      </c>
      <c r="J252" s="212">
        <f t="shared" si="27"/>
        <v>-0.18006021963821162</v>
      </c>
      <c r="K252" s="212">
        <f t="shared" si="28"/>
        <v>-0.40712071014487239</v>
      </c>
      <c r="M252" s="13"/>
    </row>
    <row r="253" spans="2:13">
      <c r="B253" s="14">
        <v>2037</v>
      </c>
      <c r="C253">
        <v>66.819999999999993</v>
      </c>
      <c r="D253" s="84">
        <v>14.573606735140972</v>
      </c>
      <c r="E253" s="84">
        <v>18.44835438659522</v>
      </c>
      <c r="F253" s="84">
        <v>16.907658134618295</v>
      </c>
      <c r="G253" s="84">
        <v>24.048281004563663</v>
      </c>
      <c r="H253" s="84">
        <f t="shared" si="29"/>
        <v>0.9738084020421196</v>
      </c>
      <c r="I253" s="84">
        <f t="shared" si="30"/>
        <v>1.2327190401122925</v>
      </c>
      <c r="J253" s="212">
        <f t="shared" si="27"/>
        <v>-0.15596131451307474</v>
      </c>
      <c r="K253" s="212">
        <f t="shared" si="28"/>
        <v>-0.37418709661265132</v>
      </c>
      <c r="M253" s="13"/>
    </row>
    <row r="254" spans="2:13">
      <c r="B254" s="14">
        <v>2038</v>
      </c>
      <c r="C254">
        <v>67.409000000000006</v>
      </c>
      <c r="D254" s="84">
        <v>14.573606735140972</v>
      </c>
      <c r="E254" s="84">
        <v>18.44835438659522</v>
      </c>
      <c r="F254" s="84">
        <v>16.183044214563228</v>
      </c>
      <c r="G254" s="84">
        <v>23.01764039008237</v>
      </c>
      <c r="H254" s="84">
        <f t="shared" si="29"/>
        <v>0.98239225640911787</v>
      </c>
      <c r="I254" s="84">
        <f t="shared" si="30"/>
        <v>1.2435851208459971</v>
      </c>
      <c r="J254" s="212">
        <f t="shared" si="27"/>
        <v>-0.10849057105037488</v>
      </c>
      <c r="K254" s="212">
        <f t="shared" si="28"/>
        <v>-0.3080110002090653</v>
      </c>
      <c r="M254" s="13"/>
    </row>
    <row r="255" spans="2:13">
      <c r="B255" s="14">
        <v>2039</v>
      </c>
      <c r="C255">
        <v>67.998999999999995</v>
      </c>
      <c r="D255" s="84">
        <v>14.573606735140972</v>
      </c>
      <c r="E255" s="84">
        <v>18.44835438659522</v>
      </c>
      <c r="F255" s="84">
        <v>15.458430294508155</v>
      </c>
      <c r="G255" s="84">
        <v>21.986999775601063</v>
      </c>
      <c r="H255" s="84">
        <f t="shared" si="29"/>
        <v>0.99099068438285098</v>
      </c>
      <c r="I255" s="84">
        <f t="shared" si="30"/>
        <v>1.2544696499340884</v>
      </c>
      <c r="J255" s="212">
        <f t="shared" si="27"/>
        <v>-6.0167117213409053E-2</v>
      </c>
      <c r="K255" s="212">
        <f t="shared" si="28"/>
        <v>-0.24062434780700834</v>
      </c>
      <c r="M255" s="13"/>
    </row>
    <row r="256" spans="2:13">
      <c r="B256" s="173">
        <v>2040</v>
      </c>
      <c r="C256" s="28">
        <v>68.587999999999994</v>
      </c>
      <c r="D256" s="211">
        <v>14.573606735140972</v>
      </c>
      <c r="E256" s="211">
        <v>18.44835438659522</v>
      </c>
      <c r="F256" s="211">
        <v>14.733816374453086</v>
      </c>
      <c r="G256" s="211">
        <v>20.956359161119764</v>
      </c>
      <c r="H256" s="84">
        <f t="shared" si="29"/>
        <v>0.99957453874984892</v>
      </c>
      <c r="I256" s="84">
        <f t="shared" si="30"/>
        <v>1.265335730667793</v>
      </c>
      <c r="J256" s="212">
        <f t="shared" si="27"/>
        <v>-1.0988458741139302E-2</v>
      </c>
      <c r="K256" s="212">
        <f t="shared" si="28"/>
        <v>-0.17201903147508937</v>
      </c>
      <c r="M256" s="13"/>
    </row>
    <row r="257" spans="2:13">
      <c r="B257" s="14">
        <v>2041</v>
      </c>
      <c r="D257" s="84">
        <v>14.573606735140972</v>
      </c>
      <c r="E257" s="84">
        <v>18.44835438659522</v>
      </c>
      <c r="F257" s="84">
        <v>14.00920245439802</v>
      </c>
      <c r="G257" s="84">
        <v>19.925718546638471</v>
      </c>
      <c r="H257" s="84">
        <f t="shared" si="29"/>
        <v>0</v>
      </c>
      <c r="I257" s="84">
        <f t="shared" si="30"/>
        <v>0</v>
      </c>
      <c r="J257" s="212">
        <f t="shared" si="27"/>
        <v>0</v>
      </c>
      <c r="K257" s="212">
        <f t="shared" si="28"/>
        <v>0</v>
      </c>
      <c r="M257" s="13"/>
    </row>
    <row r="258" spans="2:13">
      <c r="B258" s="14">
        <v>2042</v>
      </c>
      <c r="D258" s="84">
        <v>14.573606735140972</v>
      </c>
      <c r="E258" s="84">
        <v>18.44835438659522</v>
      </c>
      <c r="F258" s="84">
        <v>13.284588534342946</v>
      </c>
      <c r="G258" s="84">
        <v>18.895077932157168</v>
      </c>
      <c r="H258" s="84">
        <f t="shared" si="29"/>
        <v>0</v>
      </c>
      <c r="I258" s="84">
        <f t="shared" si="30"/>
        <v>0</v>
      </c>
      <c r="J258" s="212">
        <f t="shared" si="27"/>
        <v>0</v>
      </c>
      <c r="K258" s="212">
        <f t="shared" si="28"/>
        <v>0</v>
      </c>
      <c r="M258" s="13"/>
    </row>
    <row r="259" spans="2:13">
      <c r="B259" s="14">
        <v>2043</v>
      </c>
      <c r="D259" s="84">
        <v>14.573606735140972</v>
      </c>
      <c r="E259" s="84">
        <v>18.44835438659522</v>
      </c>
      <c r="F259" s="84">
        <v>12.559974614287874</v>
      </c>
      <c r="G259" s="84">
        <v>17.864437317675861</v>
      </c>
      <c r="H259" s="84">
        <f t="shared" si="29"/>
        <v>0</v>
      </c>
      <c r="I259" s="84">
        <f t="shared" si="30"/>
        <v>0</v>
      </c>
      <c r="J259" s="212">
        <f t="shared" si="27"/>
        <v>0</v>
      </c>
      <c r="K259" s="212">
        <f t="shared" si="28"/>
        <v>0</v>
      </c>
      <c r="M259" s="13"/>
    </row>
    <row r="260" spans="2:13">
      <c r="B260" s="14">
        <v>2044</v>
      </c>
      <c r="D260" s="84">
        <v>14.573606735140972</v>
      </c>
      <c r="E260" s="84">
        <v>18.44835438659522</v>
      </c>
      <c r="F260" s="84">
        <v>11.835360694232808</v>
      </c>
      <c r="G260" s="84">
        <v>16.833796703194569</v>
      </c>
      <c r="H260" s="84">
        <f t="shared" si="29"/>
        <v>0</v>
      </c>
      <c r="I260" s="84">
        <f t="shared" si="30"/>
        <v>0</v>
      </c>
      <c r="J260" s="212">
        <f t="shared" si="27"/>
        <v>0</v>
      </c>
      <c r="K260" s="212">
        <f t="shared" si="28"/>
        <v>0</v>
      </c>
      <c r="M260" s="13"/>
    </row>
    <row r="261" spans="2:13">
      <c r="B261" s="173">
        <v>2045</v>
      </c>
      <c r="C261" s="28">
        <v>71.950999999999993</v>
      </c>
      <c r="D261" s="211">
        <v>14.573606735140972</v>
      </c>
      <c r="E261" s="211">
        <v>18.44835438659522</v>
      </c>
      <c r="F261" s="211">
        <v>11.110746774177739</v>
      </c>
      <c r="G261" s="211">
        <v>15.803156088713269</v>
      </c>
      <c r="H261" s="84">
        <f t="shared" si="29"/>
        <v>1.0485855782001281</v>
      </c>
      <c r="I261" s="84">
        <f t="shared" si="30"/>
        <v>1.3273775464699127</v>
      </c>
      <c r="J261" s="212">
        <f t="shared" si="27"/>
        <v>0.24915623705126549</v>
      </c>
      <c r="K261" s="212">
        <f t="shared" si="28"/>
        <v>0.19032466273090426</v>
      </c>
      <c r="M261" s="13"/>
    </row>
    <row r="262" spans="2:13">
      <c r="B262" s="14">
        <v>2046</v>
      </c>
      <c r="D262" s="84">
        <v>14.573606735140972</v>
      </c>
      <c r="E262" s="84">
        <v>18.44835438659522</v>
      </c>
      <c r="F262" s="84">
        <v>10.386132854122666</v>
      </c>
      <c r="G262" s="84">
        <v>14.772515474231964</v>
      </c>
      <c r="H262" s="84">
        <f t="shared" si="29"/>
        <v>0</v>
      </c>
      <c r="I262" s="84">
        <f t="shared" si="30"/>
        <v>0</v>
      </c>
      <c r="J262" s="212">
        <f t="shared" si="27"/>
        <v>0</v>
      </c>
      <c r="K262" s="212">
        <f t="shared" si="28"/>
        <v>0</v>
      </c>
      <c r="M262" s="13"/>
    </row>
    <row r="263" spans="2:13">
      <c r="B263" s="14">
        <v>2047</v>
      </c>
      <c r="D263" s="84">
        <v>14.573606735140972</v>
      </c>
      <c r="E263" s="84">
        <v>18.44835438659522</v>
      </c>
      <c r="F263" s="84">
        <v>9.6615189340675922</v>
      </c>
      <c r="G263" s="84">
        <v>13.741874859750659</v>
      </c>
      <c r="H263" s="84">
        <f t="shared" si="29"/>
        <v>0</v>
      </c>
      <c r="I263" s="84">
        <f t="shared" si="30"/>
        <v>0</v>
      </c>
      <c r="J263" s="212">
        <f t="shared" si="27"/>
        <v>0</v>
      </c>
      <c r="K263" s="212">
        <f t="shared" si="28"/>
        <v>0</v>
      </c>
      <c r="M263" s="13"/>
    </row>
    <row r="264" spans="2:13">
      <c r="B264" s="14">
        <v>2048</v>
      </c>
      <c r="D264" s="84">
        <v>14.573606735140972</v>
      </c>
      <c r="E264" s="84">
        <v>18.44835438659522</v>
      </c>
      <c r="F264" s="84">
        <v>9.6615189340675922</v>
      </c>
      <c r="G264" s="84">
        <v>13.741874859750659</v>
      </c>
      <c r="H264" s="84">
        <f t="shared" si="29"/>
        <v>0</v>
      </c>
      <c r="I264" s="84">
        <f t="shared" si="30"/>
        <v>0</v>
      </c>
      <c r="J264" s="212">
        <f t="shared" si="27"/>
        <v>0</v>
      </c>
      <c r="K264" s="212">
        <f t="shared" si="28"/>
        <v>0</v>
      </c>
      <c r="M264" s="13"/>
    </row>
    <row r="265" spans="2:13">
      <c r="B265" s="14">
        <v>2049</v>
      </c>
      <c r="D265" s="84">
        <v>14.573606735140972</v>
      </c>
      <c r="E265" s="84">
        <v>18.44835438659522</v>
      </c>
      <c r="F265" s="84">
        <v>9.6615189340675922</v>
      </c>
      <c r="G265" s="84">
        <v>13.741874859750659</v>
      </c>
      <c r="H265" s="84">
        <f t="shared" si="29"/>
        <v>0</v>
      </c>
      <c r="I265" s="84">
        <f t="shared" si="30"/>
        <v>0</v>
      </c>
      <c r="J265" s="212">
        <f t="shared" si="27"/>
        <v>0</v>
      </c>
      <c r="K265" s="212">
        <f t="shared" si="28"/>
        <v>0</v>
      </c>
      <c r="M265" s="13"/>
    </row>
    <row r="266" spans="2:13" ht="13.5" thickBot="1">
      <c r="B266" s="173">
        <v>2050</v>
      </c>
      <c r="C266" s="28">
        <v>75.195999999999998</v>
      </c>
      <c r="D266" s="210">
        <v>14.573606735140972</v>
      </c>
      <c r="E266" s="210">
        <v>18.44835438659522</v>
      </c>
      <c r="F266" s="210">
        <v>9.6615189340675922</v>
      </c>
      <c r="G266" s="210">
        <v>13.741874859750659</v>
      </c>
      <c r="H266" s="84">
        <f t="shared" si="29"/>
        <v>1.0958769320556605</v>
      </c>
      <c r="I266" s="84">
        <f t="shared" si="30"/>
        <v>1.3872424564544141</v>
      </c>
      <c r="J266" s="212">
        <f t="shared" si="27"/>
        <v>0.3693693542895139</v>
      </c>
      <c r="K266" s="212">
        <f t="shared" si="28"/>
        <v>0.35390843450060355</v>
      </c>
      <c r="M266" s="13"/>
    </row>
    <row r="267" spans="2:13">
      <c r="B267" s="14"/>
      <c r="M267" s="13"/>
    </row>
    <row r="268" spans="2:13">
      <c r="B268" s="119"/>
      <c r="C268" s="10"/>
      <c r="D268" s="10"/>
      <c r="E268" s="10"/>
      <c r="F268" s="10"/>
      <c r="G268" s="10"/>
      <c r="H268" s="10"/>
      <c r="I268" s="10"/>
      <c r="J268" s="10"/>
      <c r="K268" s="10"/>
      <c r="L268" s="10"/>
      <c r="M268" s="120"/>
    </row>
  </sheetData>
  <conditionalFormatting sqref="D14:D22">
    <cfRule type="cellIs" dxfId="2" priority="5" operator="equal">
      <formula>1</formula>
    </cfRule>
  </conditionalFormatting>
  <conditionalFormatting sqref="I14:I19">
    <cfRule type="cellIs" dxfId="1" priority="1" operator="equal">
      <formula>TRUE</formula>
    </cfRule>
    <cfRule type="cellIs" dxfId="0" priority="2" operator="equal">
      <formula>FALSE</formula>
    </cfRule>
  </conditionalFormatting>
  <dataValidations count="2">
    <dataValidation type="list" allowBlank="1" showInputMessage="1" showErrorMessage="1" sqref="D10" xr:uid="{5714627E-E3FA-4E26-AEF1-23BF78B71C41}">
      <formula1>$C$8:$C$9</formula1>
    </dataValidation>
    <dataValidation type="list" allowBlank="1" showInputMessage="1" showErrorMessage="1" sqref="C2:C3" xr:uid="{00000000-0002-0000-3E00-000000000000}">
      <formula1>"TRUE,FALSE"</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725DA-1B9A-49C3-AAB9-612925897190}">
  <sheetPr>
    <tabColor theme="9" tint="-0.249977111117893"/>
  </sheetPr>
  <dimension ref="A1:H134"/>
  <sheetViews>
    <sheetView topLeftCell="A22" zoomScale="90" zoomScaleNormal="90" workbookViewId="0">
      <selection activeCell="J36" sqref="J36"/>
    </sheetView>
  </sheetViews>
  <sheetFormatPr defaultRowHeight="12.75"/>
  <cols>
    <col min="1" max="1" width="16.25" customWidth="1"/>
    <col min="2" max="2" width="12.125" customWidth="1"/>
    <col min="3" max="3" width="66" customWidth="1"/>
    <col min="4" max="4" width="7.875" customWidth="1"/>
    <col min="5" max="5" width="16.25" customWidth="1"/>
  </cols>
  <sheetData>
    <row r="1" spans="1:8">
      <c r="A1" s="237" t="s">
        <v>484</v>
      </c>
      <c r="B1" s="238" t="s">
        <v>475</v>
      </c>
      <c r="C1" s="238"/>
      <c r="D1" s="238"/>
      <c r="E1" s="238"/>
      <c r="F1" s="238"/>
      <c r="G1" s="238" t="s">
        <v>476</v>
      </c>
      <c r="H1" s="238" t="s">
        <v>476</v>
      </c>
    </row>
    <row r="2" spans="1:8">
      <c r="A2" s="238" t="s">
        <v>476</v>
      </c>
      <c r="B2" s="238"/>
      <c r="C2" s="238"/>
      <c r="D2" s="238"/>
      <c r="E2" s="238"/>
      <c r="F2" s="238"/>
      <c r="G2" s="238"/>
      <c r="H2" s="238"/>
    </row>
    <row r="3" spans="1:8">
      <c r="A3" s="238" t="s">
        <v>476</v>
      </c>
      <c r="B3" s="238"/>
      <c r="C3" s="238"/>
      <c r="D3" s="238"/>
      <c r="E3" s="238"/>
      <c r="F3" s="238"/>
      <c r="G3" s="238"/>
      <c r="H3" s="238"/>
    </row>
    <row r="4" spans="1:8">
      <c r="A4" s="238" t="s">
        <v>476</v>
      </c>
      <c r="B4" s="238"/>
      <c r="C4" s="238"/>
      <c r="D4" s="238"/>
      <c r="E4" s="238"/>
      <c r="F4" s="238"/>
      <c r="G4" s="238"/>
      <c r="H4" s="238"/>
    </row>
    <row r="5" spans="1:8">
      <c r="A5" s="238" t="s">
        <v>476</v>
      </c>
      <c r="B5" s="238"/>
      <c r="C5" s="238"/>
      <c r="D5" s="238"/>
      <c r="E5" s="238"/>
      <c r="F5" s="238"/>
      <c r="G5" s="238"/>
      <c r="H5" s="238"/>
    </row>
    <row r="6" spans="1:8">
      <c r="A6" s="238" t="s">
        <v>476</v>
      </c>
      <c r="B6" s="238"/>
      <c r="C6" s="238"/>
      <c r="D6" s="238"/>
      <c r="E6" s="238"/>
      <c r="F6" s="238"/>
      <c r="G6" s="238"/>
      <c r="H6" s="238"/>
    </row>
    <row r="7" spans="1:8">
      <c r="A7" s="238"/>
      <c r="B7" s="239" t="s">
        <v>485</v>
      </c>
      <c r="C7" s="240" t="s">
        <v>486</v>
      </c>
      <c r="D7" s="240" t="s">
        <v>487</v>
      </c>
      <c r="E7" s="240" t="s">
        <v>482</v>
      </c>
      <c r="F7" s="237" t="s">
        <v>483</v>
      </c>
      <c r="G7" s="238"/>
      <c r="H7" s="238"/>
    </row>
    <row r="8" spans="1:8">
      <c r="A8" s="238" t="s">
        <v>476</v>
      </c>
      <c r="B8" s="241"/>
      <c r="C8" s="237"/>
      <c r="D8" s="237"/>
      <c r="E8" s="237"/>
      <c r="F8" s="237"/>
      <c r="G8" s="238"/>
      <c r="H8" s="238"/>
    </row>
    <row r="9" spans="1:8">
      <c r="B9" s="70" t="s">
        <v>636</v>
      </c>
      <c r="C9" s="70" t="s">
        <v>637</v>
      </c>
      <c r="D9" s="245" t="s">
        <v>387</v>
      </c>
      <c r="E9" s="245" t="s">
        <v>488</v>
      </c>
    </row>
    <row r="10" spans="1:8">
      <c r="B10" s="70" t="s">
        <v>638</v>
      </c>
      <c r="C10" s="70" t="s">
        <v>639</v>
      </c>
      <c r="D10" s="245" t="s">
        <v>387</v>
      </c>
      <c r="E10" s="245" t="s">
        <v>488</v>
      </c>
    </row>
    <row r="11" spans="1:8">
      <c r="B11" s="70" t="s">
        <v>640</v>
      </c>
      <c r="C11" s="70" t="s">
        <v>641</v>
      </c>
      <c r="D11" s="245" t="s">
        <v>387</v>
      </c>
      <c r="E11" s="245" t="s">
        <v>488</v>
      </c>
    </row>
    <row r="12" spans="1:8">
      <c r="B12" s="70" t="s">
        <v>642</v>
      </c>
      <c r="C12" s="70" t="s">
        <v>643</v>
      </c>
      <c r="D12" s="245" t="s">
        <v>387</v>
      </c>
      <c r="E12" s="245" t="s">
        <v>488</v>
      </c>
    </row>
    <row r="13" spans="1:8">
      <c r="B13" s="70" t="s">
        <v>644</v>
      </c>
      <c r="C13" s="70" t="s">
        <v>645</v>
      </c>
      <c r="D13" s="245" t="s">
        <v>387</v>
      </c>
      <c r="E13" s="245" t="s">
        <v>488</v>
      </c>
    </row>
    <row r="14" spans="1:8">
      <c r="B14" s="70" t="s">
        <v>646</v>
      </c>
      <c r="C14" s="70" t="s">
        <v>647</v>
      </c>
      <c r="D14" s="245" t="s">
        <v>387</v>
      </c>
      <c r="E14" s="245" t="s">
        <v>488</v>
      </c>
    </row>
    <row r="15" spans="1:8">
      <c r="B15" s="70" t="s">
        <v>648</v>
      </c>
      <c r="C15" s="70" t="s">
        <v>649</v>
      </c>
      <c r="D15" s="245" t="s">
        <v>387</v>
      </c>
      <c r="E15" s="245" t="s">
        <v>488</v>
      </c>
    </row>
    <row r="16" spans="1:8">
      <c r="B16" s="70" t="s">
        <v>541</v>
      </c>
      <c r="C16" s="70" t="s">
        <v>650</v>
      </c>
      <c r="D16" s="245" t="s">
        <v>387</v>
      </c>
      <c r="E16" s="245" t="s">
        <v>488</v>
      </c>
    </row>
    <row r="17" spans="1:5">
      <c r="B17" s="70" t="s">
        <v>651</v>
      </c>
      <c r="C17" s="70" t="s">
        <v>652</v>
      </c>
      <c r="D17" s="245" t="s">
        <v>387</v>
      </c>
      <c r="E17" s="245" t="s">
        <v>488</v>
      </c>
    </row>
    <row r="18" spans="1:5">
      <c r="A18" s="238"/>
      <c r="B18" s="70" t="s">
        <v>653</v>
      </c>
      <c r="C18" s="70" t="s">
        <v>654</v>
      </c>
      <c r="D18" s="245" t="s">
        <v>387</v>
      </c>
      <c r="E18" s="245" t="s">
        <v>488</v>
      </c>
    </row>
    <row r="19" spans="1:5">
      <c r="A19" s="238" t="s">
        <v>476</v>
      </c>
    </row>
    <row r="20" spans="1:5">
      <c r="B20" s="70" t="s">
        <v>655</v>
      </c>
      <c r="C20" s="238" t="s">
        <v>656</v>
      </c>
      <c r="D20" s="245" t="s">
        <v>387</v>
      </c>
      <c r="E20" s="245" t="s">
        <v>489</v>
      </c>
    </row>
    <row r="21" spans="1:5">
      <c r="B21" s="70" t="s">
        <v>657</v>
      </c>
      <c r="C21" s="238" t="s">
        <v>658</v>
      </c>
      <c r="D21" s="245" t="s">
        <v>387</v>
      </c>
      <c r="E21" s="245" t="s">
        <v>489</v>
      </c>
    </row>
    <row r="22" spans="1:5">
      <c r="B22" s="70" t="s">
        <v>659</v>
      </c>
      <c r="C22" s="238" t="s">
        <v>660</v>
      </c>
      <c r="D22" s="245" t="s">
        <v>387</v>
      </c>
      <c r="E22" s="245" t="s">
        <v>489</v>
      </c>
    </row>
    <row r="23" spans="1:5">
      <c r="B23" s="70" t="s">
        <v>661</v>
      </c>
      <c r="C23" s="238" t="s">
        <v>662</v>
      </c>
      <c r="D23" s="245" t="s">
        <v>387</v>
      </c>
      <c r="E23" s="245" t="s">
        <v>489</v>
      </c>
    </row>
    <row r="24" spans="1:5">
      <c r="B24" s="70" t="s">
        <v>663</v>
      </c>
      <c r="C24" s="238" t="s">
        <v>664</v>
      </c>
      <c r="D24" s="245" t="s">
        <v>387</v>
      </c>
      <c r="E24" s="245" t="s">
        <v>489</v>
      </c>
    </row>
    <row r="25" spans="1:5">
      <c r="B25" s="70" t="s">
        <v>665</v>
      </c>
      <c r="C25" s="238" t="s">
        <v>666</v>
      </c>
      <c r="D25" s="245" t="s">
        <v>387</v>
      </c>
      <c r="E25" s="245" t="s">
        <v>489</v>
      </c>
    </row>
    <row r="26" spans="1:5">
      <c r="B26" s="70" t="s">
        <v>667</v>
      </c>
      <c r="C26" s="238" t="s">
        <v>668</v>
      </c>
      <c r="D26" s="245" t="s">
        <v>387</v>
      </c>
      <c r="E26" s="245" t="s">
        <v>489</v>
      </c>
    </row>
    <row r="27" spans="1:5">
      <c r="B27" s="70" t="s">
        <v>669</v>
      </c>
      <c r="C27" s="238" t="s">
        <v>670</v>
      </c>
      <c r="D27" s="245" t="s">
        <v>387</v>
      </c>
      <c r="E27" s="245" t="s">
        <v>489</v>
      </c>
    </row>
    <row r="28" spans="1:5">
      <c r="B28" s="70" t="s">
        <v>671</v>
      </c>
      <c r="C28" s="238" t="s">
        <v>672</v>
      </c>
      <c r="D28" s="245" t="s">
        <v>387</v>
      </c>
      <c r="E28" s="245" t="s">
        <v>489</v>
      </c>
    </row>
    <row r="29" spans="1:5">
      <c r="A29" s="238" t="s">
        <v>476</v>
      </c>
      <c r="B29" s="70"/>
      <c r="C29" s="238"/>
      <c r="D29" s="245"/>
      <c r="E29" s="245"/>
    </row>
    <row r="30" spans="1:5">
      <c r="B30" s="238" t="s">
        <v>467</v>
      </c>
      <c r="C30" s="238" t="s">
        <v>673</v>
      </c>
      <c r="D30" s="245" t="s">
        <v>387</v>
      </c>
      <c r="E30" s="245" t="s">
        <v>489</v>
      </c>
    </row>
    <row r="31" spans="1:5">
      <c r="A31" s="238"/>
      <c r="B31" s="238" t="s">
        <v>674</v>
      </c>
      <c r="C31" s="238" t="s">
        <v>675</v>
      </c>
      <c r="D31" s="245" t="s">
        <v>387</v>
      </c>
      <c r="E31" s="245" t="s">
        <v>489</v>
      </c>
    </row>
    <row r="32" spans="1:5">
      <c r="A32" s="238"/>
      <c r="B32" s="238" t="s">
        <v>676</v>
      </c>
      <c r="C32" s="238" t="s">
        <v>677</v>
      </c>
      <c r="D32" s="245" t="s">
        <v>387</v>
      </c>
      <c r="E32" s="245" t="s">
        <v>489</v>
      </c>
    </row>
    <row r="33" spans="1:5">
      <c r="A33" s="238"/>
      <c r="B33" s="70" t="s">
        <v>678</v>
      </c>
      <c r="C33" s="238" t="s">
        <v>679</v>
      </c>
      <c r="D33" s="245" t="s">
        <v>387</v>
      </c>
      <c r="E33" s="245" t="s">
        <v>489</v>
      </c>
    </row>
    <row r="34" spans="1:5">
      <c r="A34" s="238"/>
      <c r="B34" s="70" t="s">
        <v>680</v>
      </c>
      <c r="C34" s="238" t="s">
        <v>681</v>
      </c>
      <c r="D34" s="245" t="s">
        <v>387</v>
      </c>
      <c r="E34" s="245" t="s">
        <v>489</v>
      </c>
    </row>
    <row r="35" spans="1:5">
      <c r="A35" s="238"/>
      <c r="B35" s="70" t="s">
        <v>682</v>
      </c>
      <c r="C35" s="238" t="s">
        <v>683</v>
      </c>
      <c r="D35" s="245" t="s">
        <v>387</v>
      </c>
      <c r="E35" s="245" t="s">
        <v>489</v>
      </c>
    </row>
    <row r="36" spans="1:5">
      <c r="A36" s="238"/>
      <c r="B36" s="70" t="s">
        <v>468</v>
      </c>
      <c r="C36" s="238" t="s">
        <v>684</v>
      </c>
      <c r="D36" s="245" t="s">
        <v>387</v>
      </c>
      <c r="E36" s="245" t="s">
        <v>489</v>
      </c>
    </row>
    <row r="37" spans="1:5">
      <c r="B37" s="70" t="s">
        <v>685</v>
      </c>
      <c r="C37" s="238" t="s">
        <v>686</v>
      </c>
      <c r="D37" s="245" t="s">
        <v>387</v>
      </c>
      <c r="E37" s="245" t="s">
        <v>489</v>
      </c>
    </row>
    <row r="38" spans="1:5">
      <c r="B38" s="70" t="s">
        <v>687</v>
      </c>
      <c r="C38" s="238" t="s">
        <v>688</v>
      </c>
      <c r="D38" s="245" t="s">
        <v>387</v>
      </c>
      <c r="E38" s="245" t="s">
        <v>489</v>
      </c>
    </row>
    <row r="39" spans="1:5">
      <c r="A39" s="238" t="s">
        <v>476</v>
      </c>
      <c r="B39" s="238"/>
      <c r="C39" s="238"/>
    </row>
    <row r="40" spans="1:5">
      <c r="B40" s="238" t="s">
        <v>635</v>
      </c>
      <c r="C40" s="238" t="s">
        <v>689</v>
      </c>
      <c r="D40" s="245" t="s">
        <v>387</v>
      </c>
      <c r="E40" s="245" t="s">
        <v>490</v>
      </c>
    </row>
    <row r="41" spans="1:5">
      <c r="B41" s="238" t="s">
        <v>690</v>
      </c>
      <c r="C41" s="238" t="s">
        <v>691</v>
      </c>
      <c r="D41" s="245" t="s">
        <v>387</v>
      </c>
      <c r="E41" s="245" t="s">
        <v>490</v>
      </c>
    </row>
    <row r="42" spans="1:5">
      <c r="B42" s="238" t="s">
        <v>692</v>
      </c>
      <c r="C42" s="238" t="s">
        <v>693</v>
      </c>
      <c r="D42" s="245" t="s">
        <v>387</v>
      </c>
      <c r="E42" s="245" t="s">
        <v>490</v>
      </c>
    </row>
    <row r="43" spans="1:5">
      <c r="B43" s="238" t="s">
        <v>694</v>
      </c>
      <c r="C43" s="238" t="s">
        <v>695</v>
      </c>
      <c r="D43" s="245" t="s">
        <v>387</v>
      </c>
      <c r="E43" s="245" t="s">
        <v>490</v>
      </c>
    </row>
    <row r="44" spans="1:5">
      <c r="B44" s="238" t="s">
        <v>696</v>
      </c>
      <c r="C44" s="238" t="s">
        <v>697</v>
      </c>
      <c r="D44" s="245" t="s">
        <v>387</v>
      </c>
      <c r="E44" s="245" t="s">
        <v>490</v>
      </c>
    </row>
    <row r="45" spans="1:5">
      <c r="B45" s="238" t="s">
        <v>698</v>
      </c>
      <c r="C45" s="238" t="s">
        <v>699</v>
      </c>
      <c r="D45" s="245" t="s">
        <v>387</v>
      </c>
      <c r="E45" s="245" t="s">
        <v>490</v>
      </c>
    </row>
    <row r="46" spans="1:5">
      <c r="B46" s="238" t="s">
        <v>700</v>
      </c>
      <c r="C46" s="238" t="s">
        <v>701</v>
      </c>
      <c r="D46" s="245" t="s">
        <v>387</v>
      </c>
      <c r="E46" s="245" t="s">
        <v>490</v>
      </c>
    </row>
    <row r="47" spans="1:5">
      <c r="B47" s="238" t="s">
        <v>702</v>
      </c>
      <c r="C47" s="238" t="s">
        <v>703</v>
      </c>
      <c r="D47" s="245" t="s">
        <v>387</v>
      </c>
      <c r="E47" s="245" t="s">
        <v>490</v>
      </c>
    </row>
    <row r="48" spans="1:5">
      <c r="B48" s="238" t="s">
        <v>704</v>
      </c>
      <c r="C48" s="238" t="s">
        <v>705</v>
      </c>
      <c r="D48" s="245" t="s">
        <v>387</v>
      </c>
      <c r="E48" s="245" t="s">
        <v>490</v>
      </c>
    </row>
    <row r="49" spans="1:5">
      <c r="A49" s="238" t="s">
        <v>476</v>
      </c>
      <c r="B49" s="238"/>
      <c r="C49" s="238" t="s">
        <v>706</v>
      </c>
    </row>
    <row r="50" spans="1:5">
      <c r="B50" s="238" t="s">
        <v>707</v>
      </c>
      <c r="C50" s="238" t="s">
        <v>708</v>
      </c>
      <c r="D50" s="245" t="s">
        <v>387</v>
      </c>
      <c r="E50" s="245" t="s">
        <v>490</v>
      </c>
    </row>
    <row r="51" spans="1:5">
      <c r="A51" s="238" t="s">
        <v>476</v>
      </c>
      <c r="B51" s="238"/>
      <c r="C51" s="238"/>
      <c r="D51" s="245"/>
      <c r="E51" s="245"/>
    </row>
    <row r="52" spans="1:5">
      <c r="B52" s="238" t="s">
        <v>709</v>
      </c>
      <c r="C52" s="238" t="s">
        <v>710</v>
      </c>
      <c r="D52" s="245" t="s">
        <v>387</v>
      </c>
      <c r="E52" s="245" t="s">
        <v>490</v>
      </c>
    </row>
    <row r="53" spans="1:5">
      <c r="A53" s="238" t="s">
        <v>476</v>
      </c>
    </row>
    <row r="54" spans="1:5">
      <c r="B54" s="238" t="s">
        <v>711</v>
      </c>
      <c r="C54" s="238" t="s">
        <v>712</v>
      </c>
      <c r="D54" s="245" t="s">
        <v>387</v>
      </c>
      <c r="E54" s="245" t="s">
        <v>490</v>
      </c>
    </row>
    <row r="55" spans="1:5">
      <c r="B55" s="238" t="s">
        <v>713</v>
      </c>
      <c r="C55" s="238" t="s">
        <v>714</v>
      </c>
      <c r="D55" s="245" t="s">
        <v>387</v>
      </c>
      <c r="E55" s="245" t="s">
        <v>490</v>
      </c>
    </row>
    <row r="56" spans="1:5">
      <c r="B56" s="238" t="s">
        <v>715</v>
      </c>
      <c r="C56" s="238" t="s">
        <v>716</v>
      </c>
      <c r="D56" s="245" t="s">
        <v>387</v>
      </c>
      <c r="E56" s="245" t="s">
        <v>490</v>
      </c>
    </row>
    <row r="57" spans="1:5">
      <c r="B57" s="238" t="s">
        <v>717</v>
      </c>
      <c r="C57" s="238" t="s">
        <v>718</v>
      </c>
      <c r="D57" s="245" t="s">
        <v>387</v>
      </c>
      <c r="E57" s="245" t="s">
        <v>490</v>
      </c>
    </row>
    <row r="58" spans="1:5">
      <c r="B58" s="238" t="s">
        <v>719</v>
      </c>
      <c r="C58" s="238" t="s">
        <v>720</v>
      </c>
      <c r="D58" s="245" t="s">
        <v>387</v>
      </c>
      <c r="E58" s="245" t="s">
        <v>490</v>
      </c>
    </row>
    <row r="59" spans="1:5">
      <c r="B59" s="238" t="s">
        <v>721</v>
      </c>
      <c r="C59" s="238" t="s">
        <v>722</v>
      </c>
      <c r="D59" s="245" t="s">
        <v>387</v>
      </c>
      <c r="E59" s="245" t="s">
        <v>490</v>
      </c>
    </row>
    <row r="60" spans="1:5">
      <c r="B60" s="238" t="s">
        <v>723</v>
      </c>
      <c r="C60" s="238" t="s">
        <v>724</v>
      </c>
      <c r="D60" s="245" t="s">
        <v>387</v>
      </c>
      <c r="E60" s="245" t="s">
        <v>490</v>
      </c>
    </row>
    <row r="61" spans="1:5">
      <c r="B61" s="238" t="s">
        <v>725</v>
      </c>
      <c r="C61" s="238" t="s">
        <v>726</v>
      </c>
      <c r="D61" s="245" t="s">
        <v>387</v>
      </c>
      <c r="E61" s="245" t="s">
        <v>490</v>
      </c>
    </row>
    <row r="62" spans="1:5">
      <c r="B62" s="238" t="s">
        <v>727</v>
      </c>
      <c r="C62" s="238" t="s">
        <v>728</v>
      </c>
      <c r="D62" s="245" t="s">
        <v>387</v>
      </c>
      <c r="E62" s="245" t="s">
        <v>490</v>
      </c>
    </row>
    <row r="63" spans="1:5">
      <c r="B63" s="238" t="s">
        <v>470</v>
      </c>
      <c r="C63" s="238" t="s">
        <v>729</v>
      </c>
      <c r="D63" s="245" t="s">
        <v>387</v>
      </c>
      <c r="E63" s="245" t="s">
        <v>490</v>
      </c>
    </row>
    <row r="64" spans="1:5">
      <c r="A64" s="238" t="s">
        <v>476</v>
      </c>
      <c r="B64" s="238" t="s">
        <v>336</v>
      </c>
      <c r="C64" s="238" t="s">
        <v>706</v>
      </c>
      <c r="D64" s="245"/>
      <c r="E64" s="245"/>
    </row>
    <row r="65" spans="1:5">
      <c r="B65" s="238" t="s">
        <v>730</v>
      </c>
      <c r="C65" s="238" t="s">
        <v>731</v>
      </c>
      <c r="D65" s="245" t="s">
        <v>387</v>
      </c>
      <c r="E65" s="245" t="s">
        <v>490</v>
      </c>
    </row>
    <row r="66" spans="1:5">
      <c r="B66" s="238" t="s">
        <v>730</v>
      </c>
      <c r="C66" s="238" t="s">
        <v>731</v>
      </c>
      <c r="D66" s="245" t="s">
        <v>387</v>
      </c>
      <c r="E66" s="245" t="s">
        <v>490</v>
      </c>
    </row>
    <row r="67" spans="1:5">
      <c r="B67" s="238" t="s">
        <v>730</v>
      </c>
      <c r="C67" s="238" t="s">
        <v>731</v>
      </c>
      <c r="D67" s="245" t="s">
        <v>387</v>
      </c>
      <c r="E67" s="245" t="s">
        <v>490</v>
      </c>
    </row>
    <row r="68" spans="1:5">
      <c r="B68" s="238" t="s">
        <v>730</v>
      </c>
      <c r="C68" s="238" t="s">
        <v>731</v>
      </c>
      <c r="D68" s="245" t="s">
        <v>387</v>
      </c>
      <c r="E68" s="245" t="s">
        <v>490</v>
      </c>
    </row>
    <row r="69" spans="1:5">
      <c r="B69" s="238" t="s">
        <v>730</v>
      </c>
      <c r="C69" s="238" t="s">
        <v>731</v>
      </c>
      <c r="D69" s="245" t="s">
        <v>387</v>
      </c>
      <c r="E69" s="245" t="s">
        <v>490</v>
      </c>
    </row>
    <row r="70" spans="1:5">
      <c r="B70" s="238" t="s">
        <v>730</v>
      </c>
      <c r="C70" s="238" t="s">
        <v>732</v>
      </c>
      <c r="D70" s="245" t="s">
        <v>387</v>
      </c>
      <c r="E70" s="245" t="s">
        <v>490</v>
      </c>
    </row>
    <row r="71" spans="1:5">
      <c r="B71" s="238" t="s">
        <v>730</v>
      </c>
      <c r="C71" s="238" t="s">
        <v>469</v>
      </c>
      <c r="D71" s="245" t="s">
        <v>387</v>
      </c>
      <c r="E71" s="245" t="s">
        <v>490</v>
      </c>
    </row>
    <row r="72" spans="1:5">
      <c r="B72" s="238" t="s">
        <v>730</v>
      </c>
      <c r="C72" s="238" t="s">
        <v>731</v>
      </c>
      <c r="D72" s="245" t="s">
        <v>387</v>
      </c>
      <c r="E72" s="245" t="s">
        <v>490</v>
      </c>
    </row>
    <row r="73" spans="1:5">
      <c r="A73" s="238" t="s">
        <v>476</v>
      </c>
      <c r="B73" s="238">
        <v>0</v>
      </c>
      <c r="C73" s="238" t="s">
        <v>706</v>
      </c>
      <c r="D73" s="245"/>
      <c r="E73" s="245"/>
    </row>
    <row r="74" spans="1:5">
      <c r="B74" s="238" t="s">
        <v>733</v>
      </c>
      <c r="C74" s="238" t="s">
        <v>734</v>
      </c>
      <c r="D74" s="245" t="s">
        <v>387</v>
      </c>
      <c r="E74" s="245" t="s">
        <v>490</v>
      </c>
    </row>
    <row r="75" spans="1:5">
      <c r="A75" s="238" t="s">
        <v>476</v>
      </c>
      <c r="B75" s="238"/>
      <c r="C75" s="238" t="s">
        <v>706</v>
      </c>
      <c r="D75" s="245"/>
      <c r="E75" s="245"/>
    </row>
    <row r="76" spans="1:5">
      <c r="B76" s="238" t="s">
        <v>735</v>
      </c>
      <c r="C76" s="238" t="s">
        <v>736</v>
      </c>
      <c r="D76" s="245" t="s">
        <v>387</v>
      </c>
      <c r="E76" s="245" t="s">
        <v>490</v>
      </c>
    </row>
    <row r="77" spans="1:5">
      <c r="B77" s="238" t="s">
        <v>737</v>
      </c>
      <c r="C77" s="238" t="s">
        <v>738</v>
      </c>
      <c r="D77" s="245" t="s">
        <v>387</v>
      </c>
      <c r="E77" s="245" t="s">
        <v>490</v>
      </c>
    </row>
    <row r="78" spans="1:5">
      <c r="B78" s="238" t="s">
        <v>739</v>
      </c>
      <c r="C78" s="238" t="s">
        <v>740</v>
      </c>
      <c r="D78" s="245" t="s">
        <v>387</v>
      </c>
      <c r="E78" s="245" t="s">
        <v>490</v>
      </c>
    </row>
    <row r="79" spans="1:5">
      <c r="B79" s="238" t="s">
        <v>741</v>
      </c>
      <c r="C79" s="238" t="s">
        <v>742</v>
      </c>
      <c r="D79" s="245" t="s">
        <v>387</v>
      </c>
      <c r="E79" s="245" t="s">
        <v>490</v>
      </c>
    </row>
    <row r="80" spans="1:5">
      <c r="B80" s="238" t="s">
        <v>743</v>
      </c>
      <c r="C80" s="238" t="s">
        <v>744</v>
      </c>
      <c r="D80" s="245" t="s">
        <v>387</v>
      </c>
      <c r="E80" s="245" t="s">
        <v>490</v>
      </c>
    </row>
    <row r="81" spans="1:5">
      <c r="B81" s="238" t="s">
        <v>745</v>
      </c>
      <c r="C81" s="238" t="s">
        <v>746</v>
      </c>
      <c r="D81" s="245" t="s">
        <v>387</v>
      </c>
      <c r="E81" s="245" t="s">
        <v>490</v>
      </c>
    </row>
    <row r="82" spans="1:5">
      <c r="B82" s="238" t="s">
        <v>747</v>
      </c>
      <c r="C82" s="238" t="s">
        <v>748</v>
      </c>
      <c r="D82" s="245" t="s">
        <v>387</v>
      </c>
      <c r="E82" s="245" t="s">
        <v>490</v>
      </c>
    </row>
    <row r="83" spans="1:5">
      <c r="B83" s="238" t="s">
        <v>749</v>
      </c>
      <c r="C83" s="238" t="s">
        <v>750</v>
      </c>
      <c r="D83" s="245" t="s">
        <v>387</v>
      </c>
      <c r="E83" s="245" t="s">
        <v>490</v>
      </c>
    </row>
    <row r="84" spans="1:5">
      <c r="B84" s="238" t="s">
        <v>751</v>
      </c>
      <c r="C84" s="238" t="s">
        <v>752</v>
      </c>
      <c r="D84" s="245" t="s">
        <v>387</v>
      </c>
      <c r="E84" s="245" t="s">
        <v>490</v>
      </c>
    </row>
    <row r="85" spans="1:5">
      <c r="A85" s="238"/>
      <c r="B85" s="238" t="s">
        <v>753</v>
      </c>
      <c r="C85" s="238" t="s">
        <v>754</v>
      </c>
      <c r="D85" s="245" t="s">
        <v>387</v>
      </c>
      <c r="E85" s="245" t="s">
        <v>490</v>
      </c>
    </row>
    <row r="86" spans="1:5">
      <c r="A86" s="238" t="s">
        <v>476</v>
      </c>
      <c r="B86" s="238"/>
      <c r="C86" s="238" t="s">
        <v>706</v>
      </c>
      <c r="D86" s="245"/>
      <c r="E86" s="245"/>
    </row>
    <row r="87" spans="1:5">
      <c r="B87" s="238" t="s">
        <v>755</v>
      </c>
      <c r="C87" s="238" t="s">
        <v>756</v>
      </c>
      <c r="D87" s="245" t="s">
        <v>387</v>
      </c>
      <c r="E87" s="245" t="s">
        <v>490</v>
      </c>
    </row>
    <row r="88" spans="1:5">
      <c r="B88" s="238" t="s">
        <v>757</v>
      </c>
      <c r="C88" s="238" t="s">
        <v>758</v>
      </c>
      <c r="D88" s="245" t="s">
        <v>387</v>
      </c>
      <c r="E88" s="245" t="s">
        <v>490</v>
      </c>
    </row>
    <row r="89" spans="1:5">
      <c r="B89" s="238" t="s">
        <v>759</v>
      </c>
      <c r="C89" s="238" t="s">
        <v>760</v>
      </c>
      <c r="D89" s="245" t="s">
        <v>387</v>
      </c>
      <c r="E89" s="245" t="s">
        <v>490</v>
      </c>
    </row>
    <row r="90" spans="1:5">
      <c r="B90" s="238" t="s">
        <v>761</v>
      </c>
      <c r="C90" s="238" t="s">
        <v>762</v>
      </c>
      <c r="D90" s="245" t="s">
        <v>387</v>
      </c>
      <c r="E90" s="245" t="s">
        <v>490</v>
      </c>
    </row>
    <row r="91" spans="1:5">
      <c r="B91" s="238" t="s">
        <v>763</v>
      </c>
      <c r="C91" s="238" t="s">
        <v>764</v>
      </c>
      <c r="D91" s="245" t="s">
        <v>387</v>
      </c>
      <c r="E91" s="245" t="s">
        <v>490</v>
      </c>
    </row>
    <row r="92" spans="1:5">
      <c r="B92" s="238" t="s">
        <v>765</v>
      </c>
      <c r="C92" s="238" t="s">
        <v>766</v>
      </c>
      <c r="D92" s="245" t="s">
        <v>387</v>
      </c>
      <c r="E92" s="245" t="s">
        <v>490</v>
      </c>
    </row>
    <row r="93" spans="1:5">
      <c r="B93" s="238" t="s">
        <v>767</v>
      </c>
      <c r="C93" s="238" t="s">
        <v>768</v>
      </c>
      <c r="D93" s="245" t="s">
        <v>387</v>
      </c>
      <c r="E93" s="245" t="s">
        <v>490</v>
      </c>
    </row>
    <row r="94" spans="1:5">
      <c r="B94" s="238" t="s">
        <v>769</v>
      </c>
      <c r="C94" s="238" t="s">
        <v>770</v>
      </c>
      <c r="D94" s="245" t="s">
        <v>387</v>
      </c>
      <c r="E94" s="245" t="s">
        <v>490</v>
      </c>
    </row>
    <row r="95" spans="1:5">
      <c r="B95" s="238" t="s">
        <v>771</v>
      </c>
      <c r="C95" s="238" t="s">
        <v>772</v>
      </c>
      <c r="D95" s="245" t="s">
        <v>387</v>
      </c>
      <c r="E95" s="245" t="s">
        <v>490</v>
      </c>
    </row>
    <row r="96" spans="1:5">
      <c r="B96" s="238" t="s">
        <v>773</v>
      </c>
      <c r="C96" s="238" t="s">
        <v>774</v>
      </c>
      <c r="D96" s="245" t="s">
        <v>387</v>
      </c>
      <c r="E96" s="245" t="s">
        <v>490</v>
      </c>
    </row>
    <row r="97" spans="1:5">
      <c r="A97" s="238" t="s">
        <v>476</v>
      </c>
      <c r="B97" s="238"/>
      <c r="C97" s="238" t="s">
        <v>706</v>
      </c>
      <c r="D97" s="245"/>
      <c r="E97" s="245"/>
    </row>
    <row r="98" spans="1:5">
      <c r="A98" s="238"/>
      <c r="B98" s="238" t="s">
        <v>775</v>
      </c>
      <c r="C98" s="238" t="s">
        <v>776</v>
      </c>
      <c r="D98" s="245" t="s">
        <v>387</v>
      </c>
      <c r="E98" s="245" t="s">
        <v>490</v>
      </c>
    </row>
    <row r="99" spans="1:5">
      <c r="A99" s="238"/>
      <c r="B99" s="238" t="s">
        <v>777</v>
      </c>
      <c r="C99" s="238" t="s">
        <v>778</v>
      </c>
      <c r="D99" s="245" t="s">
        <v>387</v>
      </c>
      <c r="E99" s="245" t="s">
        <v>490</v>
      </c>
    </row>
    <row r="100" spans="1:5">
      <c r="B100" s="238" t="s">
        <v>779</v>
      </c>
      <c r="C100" s="238" t="s">
        <v>780</v>
      </c>
      <c r="D100" s="245" t="s">
        <v>387</v>
      </c>
      <c r="E100" s="245" t="s">
        <v>490</v>
      </c>
    </row>
    <row r="101" spans="1:5">
      <c r="B101" s="238" t="s">
        <v>781</v>
      </c>
      <c r="C101" s="238" t="s">
        <v>782</v>
      </c>
      <c r="D101" s="245" t="s">
        <v>387</v>
      </c>
      <c r="E101" s="245" t="s">
        <v>490</v>
      </c>
    </row>
    <row r="102" spans="1:5">
      <c r="B102" s="238" t="s">
        <v>783</v>
      </c>
      <c r="C102" s="238" t="s">
        <v>784</v>
      </c>
      <c r="D102" s="245" t="s">
        <v>387</v>
      </c>
      <c r="E102" s="245" t="s">
        <v>490</v>
      </c>
    </row>
    <row r="103" spans="1:5">
      <c r="B103" s="238" t="s">
        <v>785</v>
      </c>
      <c r="C103" s="238" t="s">
        <v>786</v>
      </c>
      <c r="D103" s="245" t="s">
        <v>387</v>
      </c>
      <c r="E103" s="245" t="s">
        <v>490</v>
      </c>
    </row>
    <row r="104" spans="1:5">
      <c r="B104" s="238" t="s">
        <v>787</v>
      </c>
      <c r="C104" s="238" t="s">
        <v>788</v>
      </c>
      <c r="D104" s="245" t="s">
        <v>387</v>
      </c>
      <c r="E104" s="245" t="s">
        <v>490</v>
      </c>
    </row>
    <row r="105" spans="1:5">
      <c r="B105" s="238" t="s">
        <v>789</v>
      </c>
      <c r="C105" s="238" t="s">
        <v>790</v>
      </c>
      <c r="D105" s="245" t="s">
        <v>387</v>
      </c>
      <c r="E105" s="245" t="s">
        <v>490</v>
      </c>
    </row>
    <row r="106" spans="1:5">
      <c r="B106" s="238" t="s">
        <v>791</v>
      </c>
      <c r="C106" s="238" t="s">
        <v>792</v>
      </c>
      <c r="D106" s="245" t="s">
        <v>387</v>
      </c>
      <c r="E106" s="245" t="s">
        <v>490</v>
      </c>
    </row>
    <row r="107" spans="1:5">
      <c r="B107" s="238" t="s">
        <v>793</v>
      </c>
      <c r="C107" s="238" t="s">
        <v>794</v>
      </c>
      <c r="D107" s="245" t="s">
        <v>387</v>
      </c>
      <c r="E107" s="245" t="s">
        <v>490</v>
      </c>
    </row>
    <row r="108" spans="1:5">
      <c r="B108" s="238" t="s">
        <v>795</v>
      </c>
      <c r="C108" s="238" t="s">
        <v>796</v>
      </c>
      <c r="D108" s="245" t="s">
        <v>387</v>
      </c>
      <c r="E108" s="245" t="s">
        <v>490</v>
      </c>
    </row>
    <row r="109" spans="1:5">
      <c r="A109" s="238" t="s">
        <v>476</v>
      </c>
      <c r="B109" s="238"/>
      <c r="C109" s="238" t="s">
        <v>706</v>
      </c>
      <c r="D109" s="245"/>
      <c r="E109" s="245"/>
    </row>
    <row r="110" spans="1:5">
      <c r="A110" s="238"/>
      <c r="B110" s="238" t="s">
        <v>797</v>
      </c>
      <c r="C110" s="238" t="s">
        <v>798</v>
      </c>
      <c r="D110" s="245" t="s">
        <v>387</v>
      </c>
      <c r="E110" s="245" t="s">
        <v>490</v>
      </c>
    </row>
    <row r="111" spans="1:5">
      <c r="B111" s="238" t="s">
        <v>799</v>
      </c>
      <c r="C111" s="238" t="s">
        <v>800</v>
      </c>
      <c r="D111" s="245" t="s">
        <v>387</v>
      </c>
      <c r="E111" s="245" t="s">
        <v>490</v>
      </c>
    </row>
    <row r="112" spans="1:5">
      <c r="B112" s="238" t="s">
        <v>801</v>
      </c>
      <c r="C112" s="238" t="s">
        <v>802</v>
      </c>
      <c r="D112" s="245" t="s">
        <v>387</v>
      </c>
      <c r="E112" s="245" t="s">
        <v>490</v>
      </c>
    </row>
    <row r="113" spans="1:5">
      <c r="B113" s="238" t="s">
        <v>803</v>
      </c>
      <c r="C113" s="238" t="s">
        <v>804</v>
      </c>
      <c r="D113" s="245" t="s">
        <v>387</v>
      </c>
      <c r="E113" s="245" t="s">
        <v>490</v>
      </c>
    </row>
    <row r="114" spans="1:5">
      <c r="B114" s="238" t="s">
        <v>805</v>
      </c>
      <c r="C114" s="238" t="s">
        <v>806</v>
      </c>
      <c r="D114" s="245" t="s">
        <v>387</v>
      </c>
      <c r="E114" s="245" t="s">
        <v>490</v>
      </c>
    </row>
    <row r="115" spans="1:5">
      <c r="B115" s="238" t="s">
        <v>807</v>
      </c>
      <c r="C115" s="238" t="s">
        <v>808</v>
      </c>
      <c r="D115" s="245" t="s">
        <v>387</v>
      </c>
      <c r="E115" s="245" t="s">
        <v>490</v>
      </c>
    </row>
    <row r="116" spans="1:5">
      <c r="B116" s="238" t="s">
        <v>809</v>
      </c>
      <c r="C116" s="238" t="s">
        <v>810</v>
      </c>
      <c r="D116" s="245" t="s">
        <v>387</v>
      </c>
      <c r="E116" s="245" t="s">
        <v>490</v>
      </c>
    </row>
    <row r="117" spans="1:5">
      <c r="B117" s="238" t="s">
        <v>811</v>
      </c>
      <c r="C117" s="238" t="s">
        <v>812</v>
      </c>
      <c r="D117" s="245" t="s">
        <v>387</v>
      </c>
      <c r="E117" s="245" t="s">
        <v>490</v>
      </c>
    </row>
    <row r="118" spans="1:5">
      <c r="B118" s="238" t="s">
        <v>813</v>
      </c>
      <c r="C118" s="238" t="s">
        <v>814</v>
      </c>
      <c r="D118" s="245" t="s">
        <v>387</v>
      </c>
      <c r="E118" s="245" t="s">
        <v>490</v>
      </c>
    </row>
    <row r="119" spans="1:5">
      <c r="B119" s="238" t="s">
        <v>815</v>
      </c>
      <c r="C119" s="238" t="s">
        <v>816</v>
      </c>
      <c r="D119" s="245" t="s">
        <v>387</v>
      </c>
      <c r="E119" s="245" t="s">
        <v>490</v>
      </c>
    </row>
    <row r="120" spans="1:5">
      <c r="A120" s="238" t="s">
        <v>476</v>
      </c>
      <c r="B120" s="238"/>
      <c r="C120" s="238"/>
      <c r="D120" s="245"/>
      <c r="E120" s="245"/>
    </row>
    <row r="121" spans="1:5">
      <c r="A121" s="238"/>
      <c r="B121" s="70" t="s">
        <v>817</v>
      </c>
      <c r="C121" s="70" t="s">
        <v>818</v>
      </c>
      <c r="D121" s="245" t="s">
        <v>387</v>
      </c>
      <c r="E121" s="245" t="s">
        <v>488</v>
      </c>
    </row>
    <row r="122" spans="1:5">
      <c r="A122" s="238"/>
      <c r="B122" s="238" t="s">
        <v>491</v>
      </c>
      <c r="C122" s="238" t="s">
        <v>492</v>
      </c>
      <c r="D122" s="245" t="s">
        <v>387</v>
      </c>
      <c r="E122" s="245" t="s">
        <v>488</v>
      </c>
    </row>
    <row r="123" spans="1:5">
      <c r="A123" s="238" t="s">
        <v>476</v>
      </c>
      <c r="B123" s="238"/>
      <c r="C123" s="238"/>
      <c r="D123" s="245"/>
      <c r="E123" s="245"/>
    </row>
    <row r="124" spans="1:5">
      <c r="A124" s="238"/>
      <c r="B124" s="238" t="s">
        <v>73</v>
      </c>
      <c r="C124" s="238" t="s">
        <v>72</v>
      </c>
      <c r="D124" s="245" t="s">
        <v>387</v>
      </c>
      <c r="E124" s="245" t="s">
        <v>488</v>
      </c>
    </row>
    <row r="125" spans="1:5">
      <c r="A125" s="238"/>
      <c r="B125" s="238" t="s">
        <v>77</v>
      </c>
      <c r="C125" s="238" t="s">
        <v>493</v>
      </c>
      <c r="D125" s="245" t="s">
        <v>387</v>
      </c>
      <c r="E125" s="245" t="s">
        <v>488</v>
      </c>
    </row>
    <row r="126" spans="1:5">
      <c r="A126" s="238"/>
      <c r="B126" s="238" t="s">
        <v>83</v>
      </c>
      <c r="C126" s="238" t="s">
        <v>82</v>
      </c>
      <c r="D126" s="245" t="s">
        <v>387</v>
      </c>
      <c r="E126" s="245" t="s">
        <v>488</v>
      </c>
    </row>
    <row r="127" spans="1:5">
      <c r="A127" s="238"/>
      <c r="B127" s="238" t="s">
        <v>79</v>
      </c>
      <c r="C127" s="238" t="s">
        <v>78</v>
      </c>
      <c r="D127" s="245" t="s">
        <v>387</v>
      </c>
      <c r="E127" s="245" t="s">
        <v>488</v>
      </c>
    </row>
    <row r="128" spans="1:5">
      <c r="A128" s="238"/>
      <c r="B128" s="238" t="s">
        <v>81</v>
      </c>
      <c r="C128" s="238" t="s">
        <v>494</v>
      </c>
      <c r="D128" s="245" t="s">
        <v>387</v>
      </c>
      <c r="E128" s="245" t="s">
        <v>488</v>
      </c>
    </row>
    <row r="129" spans="1:5">
      <c r="A129" s="238"/>
      <c r="B129" s="238" t="s">
        <v>85</v>
      </c>
      <c r="C129" s="238" t="s">
        <v>84</v>
      </c>
      <c r="D129" s="245" t="s">
        <v>387</v>
      </c>
      <c r="E129" s="245" t="s">
        <v>488</v>
      </c>
    </row>
    <row r="130" spans="1:5">
      <c r="A130" s="238"/>
      <c r="B130" s="238" t="s">
        <v>87</v>
      </c>
      <c r="C130" s="238" t="s">
        <v>86</v>
      </c>
      <c r="D130" s="245" t="s">
        <v>387</v>
      </c>
      <c r="E130" s="245" t="s">
        <v>488</v>
      </c>
    </row>
    <row r="131" spans="1:5">
      <c r="A131" s="238"/>
      <c r="B131" s="238" t="s">
        <v>71</v>
      </c>
      <c r="C131" s="238" t="s">
        <v>70</v>
      </c>
      <c r="D131" s="245" t="s">
        <v>387</v>
      </c>
      <c r="E131" s="245" t="s">
        <v>488</v>
      </c>
    </row>
    <row r="132" spans="1:5">
      <c r="A132" s="238"/>
      <c r="B132" s="238" t="s">
        <v>69</v>
      </c>
      <c r="C132" s="238" t="s">
        <v>68</v>
      </c>
      <c r="D132" s="245" t="s">
        <v>387</v>
      </c>
      <c r="E132" s="245" t="s">
        <v>488</v>
      </c>
    </row>
    <row r="133" spans="1:5">
      <c r="A133" s="238"/>
      <c r="B133" s="238" t="s">
        <v>89</v>
      </c>
      <c r="C133" s="238" t="s">
        <v>88</v>
      </c>
      <c r="D133" s="245" t="s">
        <v>387</v>
      </c>
      <c r="E133" s="245" t="s">
        <v>488</v>
      </c>
    </row>
    <row r="134" spans="1:5">
      <c r="A134" s="238" t="s">
        <v>476</v>
      </c>
      <c r="B134" s="238"/>
      <c r="C134" s="238"/>
      <c r="D134" s="245" t="s">
        <v>387</v>
      </c>
      <c r="E134" s="245" t="s">
        <v>488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701">
    <tabColor rgb="FF0070C0"/>
  </sheetPr>
  <dimension ref="A2:O36"/>
  <sheetViews>
    <sheetView workbookViewId="0">
      <selection activeCell="K45" sqref="K45"/>
    </sheetView>
  </sheetViews>
  <sheetFormatPr defaultColWidth="8.75" defaultRowHeight="12.75"/>
  <cols>
    <col min="1" max="12" width="8.75" style="72"/>
    <col min="13" max="13" width="17.5" style="72" customWidth="1"/>
    <col min="14" max="16384" width="8.75" style="72"/>
  </cols>
  <sheetData>
    <row r="2" spans="1:15">
      <c r="A2" s="90" t="s">
        <v>599</v>
      </c>
    </row>
    <row r="3" spans="1:15">
      <c r="C3" s="91" t="s">
        <v>260</v>
      </c>
      <c r="D3" s="91" t="s">
        <v>261</v>
      </c>
      <c r="E3" s="91" t="s">
        <v>262</v>
      </c>
      <c r="F3" s="91" t="s">
        <v>264</v>
      </c>
      <c r="G3" s="91" t="s">
        <v>265</v>
      </c>
      <c r="H3" s="91" t="s">
        <v>266</v>
      </c>
      <c r="I3" s="91" t="s">
        <v>267</v>
      </c>
      <c r="J3" s="91" t="s">
        <v>268</v>
      </c>
      <c r="K3" s="91" t="s">
        <v>269</v>
      </c>
      <c r="L3" s="91" t="s">
        <v>270</v>
      </c>
    </row>
    <row r="4" spans="1:15" ht="28.15" customHeight="1" thickBot="1">
      <c r="A4" s="93" t="s">
        <v>600</v>
      </c>
      <c r="B4" s="72">
        <v>1</v>
      </c>
      <c r="C4" s="222">
        <v>0.11433</v>
      </c>
      <c r="D4" s="222">
        <v>0.11584999999999999</v>
      </c>
      <c r="E4" s="222">
        <v>0.12454999999999999</v>
      </c>
      <c r="F4" s="222">
        <v>0.12956000000000001</v>
      </c>
      <c r="G4" s="222">
        <v>0.13161</v>
      </c>
      <c r="H4" s="222">
        <v>0.12116</v>
      </c>
      <c r="I4" s="222">
        <v>0.10936999999999999</v>
      </c>
      <c r="J4" s="222">
        <v>0.13081999999999999</v>
      </c>
      <c r="K4" s="222">
        <v>0.13233</v>
      </c>
      <c r="L4" s="222">
        <v>0.15426999999999999</v>
      </c>
      <c r="M4" s="223" t="s">
        <v>601</v>
      </c>
      <c r="O4" s="72" t="s">
        <v>602</v>
      </c>
    </row>
    <row r="5" spans="1:15">
      <c r="A5" s="72" t="s">
        <v>603</v>
      </c>
      <c r="C5" s="92">
        <v>9.7640000000000005E-2</v>
      </c>
      <c r="D5" s="92">
        <v>9.3479999999999994E-2</v>
      </c>
      <c r="E5" s="92">
        <v>7.8490000000000004E-2</v>
      </c>
      <c r="F5" s="92">
        <v>8.2970000000000002E-2</v>
      </c>
      <c r="G5" s="92">
        <v>7.0440000000000003E-2</v>
      </c>
      <c r="H5" s="92">
        <v>8.4970000000000004E-2</v>
      </c>
      <c r="I5" s="92">
        <v>9.8559999999999995E-2</v>
      </c>
      <c r="J5" s="92">
        <v>8.1369999999999998E-2</v>
      </c>
      <c r="K5" s="92">
        <v>7.9689999999999997E-2</v>
      </c>
      <c r="L5" s="92">
        <v>6.166E-2</v>
      </c>
    </row>
    <row r="6" spans="1:15">
      <c r="C6" s="92">
        <v>0.11433</v>
      </c>
      <c r="D6" s="92">
        <v>0.11584999999999999</v>
      </c>
      <c r="E6" s="92">
        <v>0.12454999999999999</v>
      </c>
      <c r="F6" s="92">
        <v>0.12956000000000001</v>
      </c>
      <c r="G6" s="92">
        <v>0.13161</v>
      </c>
      <c r="H6" s="92">
        <v>0.12116</v>
      </c>
      <c r="I6" s="92">
        <v>0.10936999999999999</v>
      </c>
      <c r="J6" s="92">
        <v>0.13081999999999999</v>
      </c>
      <c r="K6" s="92">
        <v>0.13233</v>
      </c>
      <c r="L6" s="92">
        <v>0.15426999999999999</v>
      </c>
    </row>
    <row r="7" spans="1:15">
      <c r="C7" s="92">
        <v>3.7539999999999997E-2</v>
      </c>
      <c r="D7" s="92">
        <v>4.0189999999999997E-2</v>
      </c>
      <c r="E7" s="92">
        <v>4.648E-2</v>
      </c>
      <c r="F7" s="92">
        <v>3.6979999999999999E-2</v>
      </c>
      <c r="G7" s="92">
        <v>4.7460000000000002E-2</v>
      </c>
      <c r="H7" s="92">
        <v>4.3389999999999998E-2</v>
      </c>
      <c r="I7" s="92">
        <v>4.1590000000000002E-2</v>
      </c>
      <c r="J7" s="92">
        <v>3.7330000000000002E-2</v>
      </c>
      <c r="K7" s="92">
        <v>3.7499999999999999E-2</v>
      </c>
      <c r="L7" s="92">
        <v>3.3590000000000002E-2</v>
      </c>
    </row>
    <row r="8" spans="1:15">
      <c r="C8" s="92">
        <v>4.3360000000000003E-2</v>
      </c>
      <c r="D8" s="92">
        <v>4.3520000000000003E-2</v>
      </c>
      <c r="E8" s="92">
        <v>3.7580000000000002E-2</v>
      </c>
      <c r="F8" s="92">
        <v>4.0960000000000003E-2</v>
      </c>
      <c r="G8" s="92">
        <v>3.245E-2</v>
      </c>
      <c r="H8" s="92">
        <v>3.9870000000000003E-2</v>
      </c>
      <c r="I8" s="92">
        <v>4.4600000000000001E-2</v>
      </c>
      <c r="J8" s="92">
        <v>4.1270000000000001E-2</v>
      </c>
      <c r="K8" s="92">
        <v>4.1430000000000002E-2</v>
      </c>
      <c r="L8" s="92">
        <v>3.7249999999999998E-2</v>
      </c>
    </row>
    <row r="9" spans="1:15">
      <c r="C9" s="92">
        <v>4.6089999999999999E-2</v>
      </c>
      <c r="D9" s="92">
        <v>4.6059999999999997E-2</v>
      </c>
      <c r="E9" s="92">
        <v>4.9869999999999998E-2</v>
      </c>
      <c r="F9" s="92">
        <v>4.9489999999999999E-2</v>
      </c>
      <c r="G9" s="92">
        <v>5.4480000000000001E-2</v>
      </c>
      <c r="H9" s="92">
        <v>4.8770000000000001E-2</v>
      </c>
      <c r="I9" s="92">
        <v>4.4600000000000001E-2</v>
      </c>
      <c r="J9" s="92">
        <v>4.8840000000000001E-2</v>
      </c>
      <c r="K9" s="92">
        <v>4.8419999999999998E-2</v>
      </c>
      <c r="L9" s="92">
        <v>5.3449999999999998E-2</v>
      </c>
    </row>
    <row r="10" spans="1:15">
      <c r="C10" s="92">
        <v>1.7579999999999998E-2</v>
      </c>
      <c r="D10" s="92">
        <v>1.746E-2</v>
      </c>
      <c r="E10" s="92">
        <v>1.958E-2</v>
      </c>
      <c r="F10" s="92">
        <v>1.6580000000000001E-2</v>
      </c>
      <c r="G10" s="92">
        <v>2.0109999999999999E-2</v>
      </c>
      <c r="H10" s="92">
        <v>1.839E-2</v>
      </c>
      <c r="I10" s="92">
        <v>1.7840000000000002E-2</v>
      </c>
      <c r="J10" s="92">
        <v>1.6930000000000001E-2</v>
      </c>
      <c r="K10" s="92">
        <v>1.719E-2</v>
      </c>
      <c r="L10" s="92">
        <v>1.6330000000000001E-2</v>
      </c>
    </row>
    <row r="11" spans="1:15">
      <c r="C11" s="92">
        <v>7.5719999999999996E-2</v>
      </c>
      <c r="D11" s="92">
        <v>7.2090000000000001E-2</v>
      </c>
      <c r="E11" s="92">
        <v>5.9110000000000003E-2</v>
      </c>
      <c r="F11" s="92">
        <v>6.3729999999999995E-2</v>
      </c>
      <c r="G11" s="92">
        <v>5.432E-2</v>
      </c>
      <c r="H11" s="92">
        <v>6.4170000000000005E-2</v>
      </c>
      <c r="I11" s="92">
        <v>7.5590000000000004E-2</v>
      </c>
      <c r="J11" s="92">
        <v>6.1940000000000002E-2</v>
      </c>
      <c r="K11" s="92">
        <v>6.0220000000000003E-2</v>
      </c>
      <c r="L11" s="92">
        <v>4.7640000000000002E-2</v>
      </c>
    </row>
    <row r="12" spans="1:15">
      <c r="C12" s="92">
        <v>3.5470000000000002E-2</v>
      </c>
      <c r="D12" s="92">
        <v>3.6139999999999999E-2</v>
      </c>
      <c r="E12" s="92">
        <v>3.3239999999999999E-2</v>
      </c>
      <c r="F12" s="92">
        <v>3.9890000000000002E-2</v>
      </c>
      <c r="G12" s="92">
        <v>3.3410000000000002E-2</v>
      </c>
      <c r="H12" s="92">
        <v>3.603E-2</v>
      </c>
      <c r="I12" s="92">
        <v>3.458E-2</v>
      </c>
      <c r="J12" s="92">
        <v>4.0090000000000001E-2</v>
      </c>
      <c r="K12" s="92">
        <v>4.0439999999999997E-2</v>
      </c>
      <c r="L12" s="92">
        <v>4.5240000000000002E-2</v>
      </c>
    </row>
    <row r="13" spans="1:15">
      <c r="C13" s="92">
        <v>5.9799999999999999E-2</v>
      </c>
      <c r="D13" s="92">
        <v>5.9450000000000003E-2</v>
      </c>
      <c r="E13" s="92">
        <v>7.0279999999999995E-2</v>
      </c>
      <c r="F13" s="92">
        <v>6.7979999999999999E-2</v>
      </c>
      <c r="G13" s="92">
        <v>7.4800000000000005E-2</v>
      </c>
      <c r="H13" s="92">
        <v>6.4360000000000001E-2</v>
      </c>
      <c r="I13" s="92">
        <v>5.5980000000000002E-2</v>
      </c>
      <c r="J13" s="92">
        <v>6.9620000000000001E-2</v>
      </c>
      <c r="K13" s="92">
        <v>7.1230000000000002E-2</v>
      </c>
      <c r="L13" s="92">
        <v>8.3720000000000003E-2</v>
      </c>
    </row>
    <row r="14" spans="1:15">
      <c r="C14" s="92">
        <v>2.5649999999999999E-2</v>
      </c>
      <c r="D14" s="92">
        <v>2.716E-2</v>
      </c>
      <c r="E14" s="92">
        <v>3.1629999999999998E-2</v>
      </c>
      <c r="F14" s="92">
        <v>2.5350000000000001E-2</v>
      </c>
      <c r="G14" s="92">
        <v>3.2309999999999998E-2</v>
      </c>
      <c r="H14" s="92">
        <v>2.8989999999999998E-2</v>
      </c>
      <c r="I14" s="92">
        <v>2.7810000000000001E-2</v>
      </c>
      <c r="J14" s="92">
        <v>2.58E-2</v>
      </c>
      <c r="K14" s="92">
        <v>2.6009999999999998E-2</v>
      </c>
      <c r="L14" s="92">
        <v>2.453E-2</v>
      </c>
    </row>
    <row r="15" spans="1:15">
      <c r="C15" s="92">
        <v>1.728E-2</v>
      </c>
      <c r="D15" s="92">
        <v>1.907E-2</v>
      </c>
      <c r="E15" s="92">
        <v>1.966E-2</v>
      </c>
      <c r="F15" s="92">
        <v>1.6969999999999999E-2</v>
      </c>
      <c r="G15" s="92">
        <v>1.908E-2</v>
      </c>
      <c r="H15" s="92">
        <v>2.0379999999999999E-2</v>
      </c>
      <c r="I15" s="92">
        <v>1.9970000000000002E-2</v>
      </c>
      <c r="J15" s="92">
        <v>1.6480000000000002E-2</v>
      </c>
      <c r="K15" s="92">
        <v>1.602E-2</v>
      </c>
      <c r="L15" s="92">
        <v>1.2789999999999999E-2</v>
      </c>
    </row>
    <row r="16" spans="1:15">
      <c r="C16" s="92">
        <v>3.8609999999999998E-2</v>
      </c>
      <c r="D16" s="92">
        <v>3.8890000000000001E-2</v>
      </c>
      <c r="E16" s="92">
        <v>3.3730000000000003E-2</v>
      </c>
      <c r="F16" s="92">
        <v>3.6589999999999998E-2</v>
      </c>
      <c r="G16" s="92">
        <v>3.0470000000000001E-2</v>
      </c>
      <c r="H16" s="92">
        <v>3.5799999999999998E-2</v>
      </c>
      <c r="I16" s="92">
        <v>3.9719999999999998E-2</v>
      </c>
      <c r="J16" s="92">
        <v>3.678E-2</v>
      </c>
      <c r="K16" s="92">
        <v>3.6769999999999997E-2</v>
      </c>
      <c r="L16" s="92">
        <v>3.3430000000000001E-2</v>
      </c>
    </row>
    <row r="17" spans="3:12">
      <c r="C17" s="92">
        <v>3.8760000000000003E-2</v>
      </c>
      <c r="D17" s="92">
        <v>3.8550000000000001E-2</v>
      </c>
      <c r="E17" s="92">
        <v>4.1930000000000002E-2</v>
      </c>
      <c r="F17" s="92">
        <v>4.163E-2</v>
      </c>
      <c r="G17" s="92">
        <v>4.4949999999999997E-2</v>
      </c>
      <c r="H17" s="92">
        <v>4.088E-2</v>
      </c>
      <c r="I17" s="92">
        <v>3.7420000000000002E-2</v>
      </c>
      <c r="J17" s="92">
        <v>4.1149999999999999E-2</v>
      </c>
      <c r="K17" s="92">
        <v>4.0989999999999999E-2</v>
      </c>
      <c r="L17" s="92">
        <v>4.5010000000000001E-2</v>
      </c>
    </row>
    <row r="18" spans="3:12">
      <c r="C18" s="92">
        <v>1.465E-2</v>
      </c>
      <c r="D18" s="92">
        <v>1.4590000000000001E-2</v>
      </c>
      <c r="E18" s="92">
        <v>1.6369999999999999E-2</v>
      </c>
      <c r="F18" s="92">
        <v>1.38E-2</v>
      </c>
      <c r="G18" s="92">
        <v>1.66E-2</v>
      </c>
      <c r="H18" s="92">
        <v>1.5339999999999999E-2</v>
      </c>
      <c r="I18" s="92">
        <v>1.4880000000000001E-2</v>
      </c>
      <c r="J18" s="92">
        <v>1.41E-2</v>
      </c>
      <c r="K18" s="92">
        <v>1.427E-2</v>
      </c>
      <c r="L18" s="92">
        <v>1.358E-2</v>
      </c>
    </row>
    <row r="19" spans="3:12">
      <c r="C19" s="92">
        <v>0.10267999999999999</v>
      </c>
      <c r="D19" s="92">
        <v>0.10023</v>
      </c>
      <c r="E19" s="92">
        <v>8.2780000000000006E-2</v>
      </c>
      <c r="F19" s="92">
        <v>8.9910000000000004E-2</v>
      </c>
      <c r="G19" s="92">
        <v>7.4480000000000005E-2</v>
      </c>
      <c r="H19" s="92">
        <v>9.0090000000000003E-2</v>
      </c>
      <c r="I19" s="92">
        <v>0.10466</v>
      </c>
      <c r="J19" s="92">
        <v>8.8330000000000006E-2</v>
      </c>
      <c r="K19" s="92">
        <v>8.4839999999999999E-2</v>
      </c>
      <c r="L19" s="92">
        <v>6.8650000000000003E-2</v>
      </c>
    </row>
    <row r="20" spans="3:12">
      <c r="C20" s="92">
        <v>0.1021</v>
      </c>
      <c r="D20" s="92">
        <v>0.10186000000000001</v>
      </c>
      <c r="E20" s="92">
        <v>0.11328000000000001</v>
      </c>
      <c r="F20" s="92">
        <v>0.11539000000000001</v>
      </c>
      <c r="G20" s="92">
        <v>0.12071</v>
      </c>
      <c r="H20" s="92">
        <v>0.10903</v>
      </c>
      <c r="I20" s="92">
        <v>9.6170000000000005E-2</v>
      </c>
      <c r="J20" s="92">
        <v>0.11656</v>
      </c>
      <c r="K20" s="92">
        <v>0.12027</v>
      </c>
      <c r="L20" s="92">
        <v>0.13994000000000001</v>
      </c>
    </row>
    <row r="21" spans="3:12">
      <c r="C21" s="92">
        <v>3.7670000000000002E-2</v>
      </c>
      <c r="D21" s="92">
        <v>4.036E-2</v>
      </c>
      <c r="E21" s="92">
        <v>4.6379999999999998E-2</v>
      </c>
      <c r="F21" s="92">
        <v>3.7150000000000002E-2</v>
      </c>
      <c r="G21" s="92">
        <v>4.725E-2</v>
      </c>
      <c r="H21" s="92">
        <v>4.333E-2</v>
      </c>
      <c r="I21" s="92">
        <v>4.1619999999999997E-2</v>
      </c>
      <c r="J21" s="92">
        <v>3.7560000000000003E-2</v>
      </c>
      <c r="K21" s="92">
        <v>3.7339999999999998E-2</v>
      </c>
      <c r="L21" s="92">
        <v>3.3849999999999998E-2</v>
      </c>
    </row>
    <row r="22" spans="3:12">
      <c r="C22" s="92">
        <v>3.9410000000000001E-2</v>
      </c>
      <c r="D22" s="92">
        <v>3.9669999999999997E-2</v>
      </c>
      <c r="E22" s="92">
        <v>3.4320000000000003E-2</v>
      </c>
      <c r="F22" s="92">
        <v>3.7319999999999999E-2</v>
      </c>
      <c r="G22" s="92">
        <v>2.9989999999999999E-2</v>
      </c>
      <c r="H22" s="92">
        <v>3.6510000000000001E-2</v>
      </c>
      <c r="I22" s="92">
        <v>4.0559999999999999E-2</v>
      </c>
      <c r="J22" s="92">
        <v>3.7659999999999999E-2</v>
      </c>
      <c r="K22" s="92">
        <v>3.7490000000000002E-2</v>
      </c>
      <c r="L22" s="92">
        <v>3.4040000000000001E-2</v>
      </c>
    </row>
    <row r="23" spans="3:12">
      <c r="C23" s="92">
        <v>4.0989999999999999E-2</v>
      </c>
      <c r="D23" s="92">
        <v>4.0800000000000003E-2</v>
      </c>
      <c r="E23" s="92">
        <v>4.4299999999999999E-2</v>
      </c>
      <c r="F23" s="92">
        <v>4.3950000000000003E-2</v>
      </c>
      <c r="G23" s="92">
        <v>4.82E-2</v>
      </c>
      <c r="H23" s="92">
        <v>4.3180000000000003E-2</v>
      </c>
      <c r="I23" s="92">
        <v>3.9600000000000003E-2</v>
      </c>
      <c r="J23" s="92">
        <v>4.3290000000000002E-2</v>
      </c>
      <c r="K23" s="92">
        <v>4.3299999999999998E-2</v>
      </c>
      <c r="L23" s="92">
        <v>4.7460000000000002E-2</v>
      </c>
    </row>
    <row r="24" spans="3:12">
      <c r="C24" s="92">
        <v>1.4659999999999999E-2</v>
      </c>
      <c r="D24" s="92">
        <v>1.4579999999999999E-2</v>
      </c>
      <c r="E24" s="92">
        <v>1.644E-2</v>
      </c>
      <c r="F24" s="92">
        <v>1.3780000000000001E-2</v>
      </c>
      <c r="G24" s="92">
        <v>1.686E-2</v>
      </c>
      <c r="H24" s="92">
        <v>1.537E-2</v>
      </c>
      <c r="I24" s="92">
        <v>1.489E-2</v>
      </c>
      <c r="J24" s="92">
        <v>1.41E-2</v>
      </c>
      <c r="K24" s="92">
        <v>1.426E-2</v>
      </c>
      <c r="L24" s="92">
        <v>1.355E-2</v>
      </c>
    </row>
    <row r="25" spans="3:12">
      <c r="C25" s="92" t="s">
        <v>706</v>
      </c>
      <c r="D25" s="73" t="s">
        <v>706</v>
      </c>
      <c r="E25" s="73" t="s">
        <v>706</v>
      </c>
      <c r="F25" s="73" t="s">
        <v>706</v>
      </c>
      <c r="G25" s="73" t="s">
        <v>706</v>
      </c>
      <c r="H25" s="73" t="s">
        <v>706</v>
      </c>
      <c r="I25" s="73" t="s">
        <v>706</v>
      </c>
      <c r="J25" s="73" t="s">
        <v>706</v>
      </c>
      <c r="K25" s="73" t="s">
        <v>706</v>
      </c>
      <c r="L25" s="73" t="s">
        <v>706</v>
      </c>
    </row>
    <row r="26" spans="3:12">
      <c r="C26" s="92" t="s">
        <v>706</v>
      </c>
      <c r="D26" s="73" t="s">
        <v>706</v>
      </c>
      <c r="E26" s="73" t="s">
        <v>706</v>
      </c>
      <c r="F26" s="73" t="s">
        <v>706</v>
      </c>
      <c r="G26" s="73" t="s">
        <v>706</v>
      </c>
      <c r="H26" s="73" t="s">
        <v>706</v>
      </c>
      <c r="I26" s="73" t="s">
        <v>706</v>
      </c>
      <c r="J26" s="73" t="s">
        <v>706</v>
      </c>
      <c r="K26" s="73" t="s">
        <v>706</v>
      </c>
      <c r="L26" s="73" t="s">
        <v>706</v>
      </c>
    </row>
    <row r="27" spans="3:12">
      <c r="C27" s="92" t="s">
        <v>706</v>
      </c>
      <c r="D27" s="73" t="s">
        <v>706</v>
      </c>
      <c r="E27" s="73" t="s">
        <v>706</v>
      </c>
      <c r="F27" s="73" t="s">
        <v>706</v>
      </c>
      <c r="G27" s="73" t="s">
        <v>706</v>
      </c>
      <c r="H27" s="73" t="s">
        <v>706</v>
      </c>
      <c r="I27" s="73" t="s">
        <v>706</v>
      </c>
      <c r="J27" s="73" t="s">
        <v>706</v>
      </c>
      <c r="K27" s="73" t="s">
        <v>706</v>
      </c>
      <c r="L27" s="73" t="s">
        <v>706</v>
      </c>
    </row>
    <row r="28" spans="3:12">
      <c r="C28" s="92" t="s">
        <v>706</v>
      </c>
      <c r="D28" s="73" t="s">
        <v>706</v>
      </c>
      <c r="E28" s="73" t="s">
        <v>706</v>
      </c>
      <c r="F28" s="73" t="s">
        <v>706</v>
      </c>
      <c r="G28" s="73" t="s">
        <v>706</v>
      </c>
      <c r="H28" s="73" t="s">
        <v>706</v>
      </c>
      <c r="I28" s="73" t="s">
        <v>706</v>
      </c>
      <c r="J28" s="73" t="s">
        <v>706</v>
      </c>
      <c r="K28" s="73" t="s">
        <v>706</v>
      </c>
      <c r="L28" s="73" t="s">
        <v>706</v>
      </c>
    </row>
    <row r="29" spans="3:12">
      <c r="C29" s="92" t="s">
        <v>706</v>
      </c>
      <c r="D29" s="73" t="s">
        <v>706</v>
      </c>
      <c r="E29" s="73" t="s">
        <v>706</v>
      </c>
      <c r="F29" s="73" t="s">
        <v>706</v>
      </c>
      <c r="G29" s="73" t="s">
        <v>706</v>
      </c>
      <c r="H29" s="73" t="s">
        <v>706</v>
      </c>
      <c r="I29" s="73" t="s">
        <v>706</v>
      </c>
      <c r="J29" s="73" t="s">
        <v>706</v>
      </c>
      <c r="K29" s="73" t="s">
        <v>706</v>
      </c>
      <c r="L29" s="73" t="s">
        <v>706</v>
      </c>
    </row>
    <row r="30" spans="3:12">
      <c r="C30" s="92" t="s">
        <v>706</v>
      </c>
      <c r="D30" s="73" t="s">
        <v>706</v>
      </c>
      <c r="E30" s="73" t="s">
        <v>706</v>
      </c>
      <c r="F30" s="73" t="s">
        <v>706</v>
      </c>
      <c r="G30" s="73" t="s">
        <v>706</v>
      </c>
      <c r="H30" s="73" t="s">
        <v>706</v>
      </c>
      <c r="I30" s="73" t="s">
        <v>706</v>
      </c>
      <c r="J30" s="73" t="s">
        <v>706</v>
      </c>
      <c r="K30" s="73" t="s">
        <v>706</v>
      </c>
      <c r="L30" s="73" t="s">
        <v>706</v>
      </c>
    </row>
    <row r="31" spans="3:12">
      <c r="C31" s="92" t="s">
        <v>706</v>
      </c>
      <c r="D31" s="73" t="s">
        <v>706</v>
      </c>
      <c r="E31" s="73" t="s">
        <v>706</v>
      </c>
      <c r="F31" s="73" t="s">
        <v>706</v>
      </c>
      <c r="G31" s="73" t="s">
        <v>706</v>
      </c>
      <c r="H31" s="73" t="s">
        <v>706</v>
      </c>
      <c r="I31" s="73" t="s">
        <v>706</v>
      </c>
      <c r="J31" s="73" t="s">
        <v>706</v>
      </c>
      <c r="K31" s="73" t="s">
        <v>706</v>
      </c>
      <c r="L31" s="73" t="s">
        <v>706</v>
      </c>
    </row>
    <row r="32" spans="3:12">
      <c r="C32" s="92" t="s">
        <v>706</v>
      </c>
      <c r="D32" s="73" t="s">
        <v>706</v>
      </c>
      <c r="E32" s="73" t="s">
        <v>706</v>
      </c>
      <c r="F32" s="73" t="s">
        <v>706</v>
      </c>
      <c r="G32" s="73" t="s">
        <v>706</v>
      </c>
      <c r="H32" s="73" t="s">
        <v>706</v>
      </c>
      <c r="I32" s="73" t="s">
        <v>706</v>
      </c>
      <c r="J32" s="73" t="s">
        <v>706</v>
      </c>
      <c r="K32" s="73" t="s">
        <v>706</v>
      </c>
      <c r="L32" s="73" t="s">
        <v>706</v>
      </c>
    </row>
    <row r="33" spans="3:12">
      <c r="C33" s="92" t="s">
        <v>706</v>
      </c>
      <c r="D33" s="73" t="s">
        <v>706</v>
      </c>
      <c r="E33" s="73" t="s">
        <v>706</v>
      </c>
      <c r="F33" s="73" t="s">
        <v>706</v>
      </c>
      <c r="G33" s="73" t="s">
        <v>706</v>
      </c>
      <c r="H33" s="73" t="s">
        <v>706</v>
      </c>
      <c r="I33" s="73" t="s">
        <v>706</v>
      </c>
      <c r="J33" s="73" t="s">
        <v>706</v>
      </c>
      <c r="K33" s="73" t="s">
        <v>706</v>
      </c>
      <c r="L33" s="73" t="s">
        <v>706</v>
      </c>
    </row>
    <row r="35" spans="3:12">
      <c r="C35" s="100"/>
      <c r="D35" s="100"/>
      <c r="E35" s="100"/>
      <c r="F35" s="100"/>
      <c r="G35" s="100"/>
      <c r="H35" s="100"/>
      <c r="I35" s="100"/>
      <c r="J35" s="100"/>
      <c r="K35" s="100"/>
      <c r="L35" s="100"/>
    </row>
    <row r="36" spans="3:12">
      <c r="C36" s="99"/>
      <c r="D36" s="99"/>
      <c r="E36" s="99"/>
      <c r="F36" s="99"/>
      <c r="G36" s="99"/>
      <c r="H36" s="99"/>
      <c r="I36" s="99"/>
      <c r="J36" s="99"/>
      <c r="K36" s="99"/>
      <c r="L36" s="9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15</vt:i4>
      </vt:variant>
    </vt:vector>
  </HeadingPairs>
  <TitlesOfParts>
    <vt:vector size="28" baseType="lpstr">
      <vt:lpstr>Index</vt:lpstr>
      <vt:lpstr>ChangeLog</vt:lpstr>
      <vt:lpstr>NameConv</vt:lpstr>
      <vt:lpstr>Industry description</vt:lpstr>
      <vt:lpstr>SIC codes</vt:lpstr>
      <vt:lpstr>2012 SATIM EB</vt:lpstr>
      <vt:lpstr>2017 SATIM EB</vt:lpstr>
      <vt:lpstr>Methodology</vt:lpstr>
      <vt:lpstr>IND</vt:lpstr>
      <vt:lpstr>IND2017</vt:lpstr>
      <vt:lpstr>PAMS central control panel</vt:lpstr>
      <vt:lpstr>ITEM_Comm (jm)</vt:lpstr>
      <vt:lpstr>AFA</vt:lpstr>
      <vt:lpstr>'IND2017'!ALswitch</vt:lpstr>
      <vt:lpstr>ALswitch</vt:lpstr>
      <vt:lpstr>eps</vt:lpstr>
      <vt:lpstr>impswitch_al</vt:lpstr>
      <vt:lpstr>impswitch_fa</vt:lpstr>
      <vt:lpstr>impswitch_is</vt:lpstr>
      <vt:lpstr>impswitch_NMM</vt:lpstr>
      <vt:lpstr>impswitch_others</vt:lpstr>
      <vt:lpstr>impswitch_pp</vt:lpstr>
      <vt:lpstr>ind_EE_techs</vt:lpstr>
      <vt:lpstr>pamsindex</vt:lpstr>
      <vt:lpstr>PAMSlevel</vt:lpstr>
      <vt:lpstr>wastePAM</vt:lpstr>
      <vt:lpstr>zar.2010</vt:lpstr>
      <vt:lpstr>zar.year</vt:lpstr>
    </vt:vector>
  </TitlesOfParts>
  <Manager/>
  <Company>University of Cape Town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Hughes</dc:creator>
  <cp:keywords/>
  <dc:description/>
  <cp:lastModifiedBy>Bryce Mc Call</cp:lastModifiedBy>
  <cp:revision/>
  <dcterms:created xsi:type="dcterms:W3CDTF">2011-01-11T12:46:00Z</dcterms:created>
  <dcterms:modified xsi:type="dcterms:W3CDTF">2023-09-08T12:43:01Z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923862278461456</vt:r8>
  </property>
</Properties>
</file>