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699BC901-BB17-4AF4-ABA5-7AEFE669FC68}" xr6:coauthVersionLast="47" xr6:coauthVersionMax="47" xr10:uidLastSave="{00000000-0000-0000-0000-000000000000}"/>
  <bookViews>
    <workbookView xWindow="0" yWindow="165" windowWidth="28800" windowHeight="15435" firstSheet="5" activeTab="7"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GAS" sheetId="17" r:id="rId8"/>
    <sheet name="CombustionEmissions" sheetId="6" r:id="rId9"/>
    <sheet name="FugitiveEmissions" sheetId="7" r:id="rId10"/>
    <sheet name="EmissionsAggregationCO2eq" sheetId="8" r:id="rId11"/>
    <sheet name="FuelTechs" sheetId="9" r:id="rId12"/>
    <sheet name="Liq Fuel Prices" sheetId="10" r:id="rId13"/>
    <sheet name="IEW_WEO" sheetId="12" r:id="rId14"/>
    <sheet name="Gas Price" sheetId="13" r:id="rId15"/>
    <sheet name="FuelDistribution" sheetId="14" r:id="rId16"/>
    <sheet name="LNGCost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FuelTechs!$B$8:$AA$56</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NameConv!$B$5:$C$44</definedName>
    <definedName name="FuelNamesLong">NameConv!$B$5:$B$44</definedName>
    <definedName name="FuelNamesShort">NameConv!$C$5:$C$44</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5" hidden="1">"VPJDZVPESBNLN75EMHY6J774"</definedName>
    <definedName name="Pal_Workbook_GUID" localSheetId="9" hidden="1">"VPJDZVPESBNLN75EMHY6J774"</definedName>
    <definedName name="Pal_Workbook_GUID" hidden="1">"E2D7SR7Q3BDXUD24G1M1SK63"</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GAS!#REF!</definedName>
    <definedName name="SectorNames">NameConv!$B$49:$C$57</definedName>
    <definedName name="SectorNamesLong">NameConv!$C$49:$C$57</definedName>
    <definedName name="SectorNamesShort">NameConv!$B$49:$B$57</definedName>
    <definedName name="solver_eng" localSheetId="6" hidden="1">1</definedName>
    <definedName name="solver_neg" localSheetId="6" hidden="1">1</definedName>
    <definedName name="solver_num" localSheetId="6" hidden="1">0</definedName>
    <definedName name="solver_opt" localSheetId="6" hidden="1">SUP!$A$93</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37" i="19" l="1"/>
  <c r="W44" i="19"/>
  <c r="W35" i="19"/>
  <c r="W36" i="19" s="1"/>
  <c r="W37" i="19" s="1"/>
  <c r="W38" i="19" s="1"/>
  <c r="W39" i="19" s="1"/>
  <c r="W47" i="19"/>
  <c r="W48" i="19" s="1"/>
  <c r="X42" i="19"/>
  <c r="X43" i="19" s="1"/>
  <c r="W42" i="19"/>
  <c r="W46" i="19" s="1"/>
  <c r="E29" i="19"/>
  <c r="N24" i="19"/>
  <c r="N27" i="19" s="1"/>
  <c r="N29" i="19" s="1"/>
  <c r="F15" i="19"/>
  <c r="O12" i="19"/>
  <c r="O13" i="19" s="1"/>
  <c r="O7" i="19" s="1"/>
  <c r="O15" i="19" s="1"/>
  <c r="O17" i="19" s="1"/>
  <c r="O18" i="19" s="1"/>
  <c r="O10" i="19"/>
  <c r="D10" i="19"/>
  <c r="D15" i="19" s="1"/>
  <c r="D16" i="19" s="1"/>
  <c r="E6" i="19"/>
  <c r="E16" i="19" s="1"/>
  <c r="X5" i="19"/>
  <c r="W5" i="19"/>
  <c r="V5" i="19"/>
  <c r="U5" i="19"/>
  <c r="T5" i="19"/>
  <c r="E18" i="19" l="1"/>
  <c r="E17" i="19"/>
  <c r="D18" i="19"/>
  <c r="D17" i="19"/>
  <c r="F6" i="19"/>
  <c r="F16" i="19" s="1"/>
  <c r="W43" i="19"/>
  <c r="W45" i="19" s="1"/>
  <c r="D11" i="19"/>
  <c r="H11" i="19" s="1"/>
  <c r="F18" i="19" l="1"/>
  <c r="F17" i="19"/>
  <c r="J12" i="17" l="1"/>
  <c r="J11" i="17"/>
  <c r="J10" i="17"/>
  <c r="J7" i="17"/>
  <c r="J6" i="17"/>
  <c r="E10" i="17"/>
  <c r="M8" i="17"/>
  <c r="K8" i="17"/>
  <c r="E8" i="17"/>
  <c r="M12" i="17"/>
  <c r="M11" i="17"/>
  <c r="K11" i="17"/>
  <c r="M10" i="17"/>
  <c r="K10" i="17"/>
  <c r="M7" i="17"/>
  <c r="K7" i="17"/>
  <c r="E7" i="17"/>
  <c r="F7" i="17" l="1"/>
  <c r="F8" i="17" s="1"/>
  <c r="F9" i="17" l="1"/>
  <c r="F10" i="17"/>
  <c r="F11" i="17" s="1"/>
  <c r="F12" i="17" s="1"/>
  <c r="M9" i="17" l="1"/>
  <c r="E9" i="17"/>
  <c r="E6" i="17"/>
  <c r="M6" i="17"/>
  <c r="K6" i="17"/>
  <c r="G6" i="14" l="1"/>
  <c r="G7" i="14"/>
  <c r="G8" i="14"/>
  <c r="G9" i="14"/>
  <c r="G10" i="14"/>
  <c r="AL6" i="14"/>
  <c r="R7" i="14"/>
  <c r="AH7" i="14"/>
  <c r="AH8" i="14" s="1"/>
  <c r="AG24" i="14"/>
  <c r="AG25" i="14" s="1"/>
  <c r="AG30" i="14"/>
  <c r="AF30" i="14" s="1"/>
  <c r="AA42" i="14"/>
  <c r="Z73" i="14"/>
  <c r="S78" i="14" s="1"/>
  <c r="S84" i="14" s="1"/>
  <c r="A63" i="6"/>
  <c r="A64" i="6"/>
  <c r="A65" i="6"/>
  <c r="A66" i="6"/>
  <c r="A67" i="6"/>
  <c r="A68" i="6"/>
  <c r="A69" i="6"/>
  <c r="BA63" i="6"/>
  <c r="BB63" i="6"/>
  <c r="BC63" i="6"/>
  <c r="BD63" i="6"/>
  <c r="BE63" i="6"/>
  <c r="BF63" i="6"/>
  <c r="BG63" i="6"/>
  <c r="BH63" i="6"/>
  <c r="BI63" i="6"/>
  <c r="BJ63" i="6"/>
  <c r="BA64" i="6"/>
  <c r="BB64" i="6"/>
  <c r="BC64" i="6"/>
  <c r="BD64" i="6"/>
  <c r="BE64" i="6"/>
  <c r="BF64" i="6"/>
  <c r="BG64" i="6"/>
  <c r="BH64" i="6"/>
  <c r="BI64" i="6"/>
  <c r="BJ64" i="6"/>
  <c r="BA65" i="6"/>
  <c r="BB65" i="6"/>
  <c r="BC65" i="6"/>
  <c r="BD65" i="6"/>
  <c r="BE65" i="6"/>
  <c r="BF65" i="6"/>
  <c r="BG65" i="6"/>
  <c r="BH65" i="6"/>
  <c r="BI65" i="6"/>
  <c r="BJ65" i="6"/>
  <c r="BA66" i="6"/>
  <c r="BB66" i="6"/>
  <c r="BC66" i="6"/>
  <c r="BD66" i="6"/>
  <c r="BE66" i="6"/>
  <c r="BF66" i="6"/>
  <c r="BG66" i="6"/>
  <c r="BH66" i="6"/>
  <c r="BI66" i="6"/>
  <c r="BJ66" i="6"/>
  <c r="BA67" i="6"/>
  <c r="BB67" i="6"/>
  <c r="BC67" i="6"/>
  <c r="BD67" i="6"/>
  <c r="BE67" i="6"/>
  <c r="BF67" i="6"/>
  <c r="BG67" i="6"/>
  <c r="BH67" i="6"/>
  <c r="BI67" i="6"/>
  <c r="BJ67" i="6"/>
  <c r="BA68" i="6"/>
  <c r="BB68" i="6"/>
  <c r="BC68" i="6"/>
  <c r="BD68" i="6"/>
  <c r="BE68" i="6"/>
  <c r="BF68" i="6"/>
  <c r="BG68" i="6"/>
  <c r="BH68" i="6"/>
  <c r="BI68" i="6"/>
  <c r="BJ68" i="6"/>
  <c r="BA69" i="6"/>
  <c r="BB69" i="6"/>
  <c r="BC69" i="6"/>
  <c r="BD69" i="6"/>
  <c r="BE69" i="6"/>
  <c r="BF69" i="6"/>
  <c r="BG69" i="6"/>
  <c r="BH69" i="6"/>
  <c r="BI69" i="6"/>
  <c r="BJ69" i="6"/>
  <c r="BJ62" i="6"/>
  <c r="BI62" i="6"/>
  <c r="BB62" i="6"/>
  <c r="BC62" i="6"/>
  <c r="BD62" i="6"/>
  <c r="BE62" i="6"/>
  <c r="BF62" i="6"/>
  <c r="BG62" i="6"/>
  <c r="BH62" i="6"/>
  <c r="BA62" i="6"/>
  <c r="B63" i="6"/>
  <c r="B64" i="6"/>
  <c r="B65" i="6"/>
  <c r="B66" i="6"/>
  <c r="B67" i="6"/>
  <c r="B68" i="6"/>
  <c r="B69" i="6"/>
  <c r="B62" i="6"/>
  <c r="BB16" i="6"/>
  <c r="BC16" i="6"/>
  <c r="BD16" i="6"/>
  <c r="BE16" i="6"/>
  <c r="BF16" i="6"/>
  <c r="BG16" i="6"/>
  <c r="BH16" i="6"/>
  <c r="BI16" i="6"/>
  <c r="BJ16" i="6"/>
  <c r="BA16" i="6"/>
  <c r="A62" i="6"/>
  <c r="T51" i="9"/>
  <c r="E51" i="9"/>
  <c r="L51" i="9" s="1"/>
  <c r="D51" i="9"/>
  <c r="U51" i="9" s="1"/>
  <c r="T37" i="9"/>
  <c r="E37" i="9"/>
  <c r="L37" i="9" s="1"/>
  <c r="D37" i="9"/>
  <c r="U37" i="9" s="1"/>
  <c r="T46" i="9"/>
  <c r="E46" i="9"/>
  <c r="L46" i="9" s="1"/>
  <c r="D46" i="9"/>
  <c r="U46" i="9" s="1"/>
  <c r="D80" i="5"/>
  <c r="N65" i="5"/>
  <c r="Q65" i="5"/>
  <c r="G11" i="14" l="1"/>
  <c r="T80" i="14"/>
  <c r="T86" i="14" s="1"/>
  <c r="T79" i="14"/>
  <c r="T85" i="14" s="1"/>
  <c r="AG7" i="14"/>
  <c r="AG8" i="14" s="1"/>
  <c r="S79" i="14"/>
  <c r="S85" i="14" s="1"/>
  <c r="T78" i="14"/>
  <c r="T84" i="14" s="1"/>
  <c r="AG31" i="14"/>
  <c r="AH30" i="14"/>
  <c r="AF31" i="14"/>
  <c r="AE30" i="14"/>
  <c r="AH24" i="14"/>
  <c r="AF24" i="14"/>
  <c r="AI7" i="14"/>
  <c r="AI8" i="14" s="1"/>
  <c r="K51" i="9"/>
  <c r="S51" i="9" s="1"/>
  <c r="K37" i="9"/>
  <c r="S37" i="9" s="1"/>
  <c r="K46" i="9"/>
  <c r="S46" i="9" s="1"/>
  <c r="G81" i="5"/>
  <c r="G73" i="5"/>
  <c r="G72" i="5"/>
  <c r="G92" i="5"/>
  <c r="F61" i="5"/>
  <c r="F70" i="5"/>
  <c r="G70" i="5" s="1"/>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1" i="16"/>
  <c r="B31"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7" i="16"/>
  <c r="B17"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Y119" i="13"/>
  <c r="Y120" i="13" s="1"/>
  <c r="Y121" i="13" s="1"/>
  <c r="AB117" i="13"/>
  <c r="AA105" i="13" s="1"/>
  <c r="Z112" i="13"/>
  <c r="Y112" i="13"/>
  <c r="X112" i="13"/>
  <c r="W112" i="13"/>
  <c r="V112" i="13"/>
  <c r="U112" i="13"/>
  <c r="T112" i="13"/>
  <c r="S112" i="13"/>
  <c r="Z105" i="13"/>
  <c r="AB105" i="13" s="1"/>
  <c r="Y105" i="13"/>
  <c r="W105" i="13"/>
  <c r="V105" i="13"/>
  <c r="U105" i="13"/>
  <c r="T105" i="13"/>
  <c r="X104" i="13"/>
  <c r="W104" i="13"/>
  <c r="V104" i="13"/>
  <c r="U104" i="13"/>
  <c r="S104" i="13"/>
  <c r="S105" i="13" s="1"/>
  <c r="X103" i="13"/>
  <c r="W103" i="13"/>
  <c r="X102" i="13"/>
  <c r="X105" i="13" s="1"/>
  <c r="W102" i="13"/>
  <c r="G84" i="13"/>
  <c r="G68" i="13" s="1"/>
  <c r="F84" i="13"/>
  <c r="F68" i="13" s="1"/>
  <c r="C72" i="13"/>
  <c r="C74" i="13" s="1"/>
  <c r="E71" i="13"/>
  <c r="D71" i="13"/>
  <c r="C71" i="13"/>
  <c r="X69" i="13"/>
  <c r="A69" i="13"/>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E68" i="13"/>
  <c r="D68" i="13"/>
  <c r="C68" i="13"/>
  <c r="A68" i="13"/>
  <c r="X67" i="13"/>
  <c r="G67" i="13"/>
  <c r="F67" i="13"/>
  <c r="E67" i="13"/>
  <c r="D67" i="13"/>
  <c r="C67" i="13"/>
  <c r="H65" i="13"/>
  <c r="F74" i="13" s="1"/>
  <c r="Q39" i="13"/>
  <c r="Q57" i="13"/>
  <c r="Q56" i="13"/>
  <c r="Q54" i="13"/>
  <c r="Q53" i="13"/>
  <c r="Q52" i="13"/>
  <c r="Q30" i="13"/>
  <c r="Q51" i="13"/>
  <c r="H44" i="13"/>
  <c r="F44" i="13"/>
  <c r="C44" i="13"/>
  <c r="G42" i="13"/>
  <c r="F42" i="13"/>
  <c r="C42" i="13"/>
  <c r="U42" i="13" s="1"/>
  <c r="T41" i="13"/>
  <c r="G41" i="13"/>
  <c r="F41" i="13"/>
  <c r="O41" i="13" s="1"/>
  <c r="C41" i="13"/>
  <c r="H39" i="13"/>
  <c r="F39" i="13"/>
  <c r="G37" i="13"/>
  <c r="X36" i="13"/>
  <c r="Q36" i="13"/>
  <c r="G36" i="13"/>
  <c r="F36" i="13"/>
  <c r="T36" i="13" s="1"/>
  <c r="C36" i="13"/>
  <c r="O36" i="13" s="1"/>
  <c r="I34" i="13"/>
  <c r="X33" i="13"/>
  <c r="I33" i="13"/>
  <c r="E33" i="13"/>
  <c r="T33" i="13" s="1"/>
  <c r="I31" i="13"/>
  <c r="X30" i="13"/>
  <c r="O30" i="13"/>
  <c r="I30" i="13"/>
  <c r="D30" i="13"/>
  <c r="T30" i="13" s="1"/>
  <c r="U28" i="13"/>
  <c r="P28" i="13"/>
  <c r="I28" i="13"/>
  <c r="D28" i="13"/>
  <c r="X27" i="13"/>
  <c r="T27" i="13"/>
  <c r="O27" i="13"/>
  <c r="I27" i="13"/>
  <c r="D27" i="13"/>
  <c r="K23" i="13"/>
  <c r="D21" i="13"/>
  <c r="R27" i="13" s="1"/>
  <c r="R51" i="13" s="1"/>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K16" i="5" s="1"/>
  <c r="F6" i="13"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56" i="9"/>
  <c r="E56" i="9"/>
  <c r="L56" i="9" s="1"/>
  <c r="D56" i="9"/>
  <c r="U56" i="9" s="1"/>
  <c r="T55" i="9"/>
  <c r="E55" i="9"/>
  <c r="L55" i="9" s="1"/>
  <c r="D55" i="9"/>
  <c r="U55" i="9" s="1"/>
  <c r="T54" i="9"/>
  <c r="E54" i="9"/>
  <c r="L54" i="9" s="1"/>
  <c r="D54" i="9"/>
  <c r="T53" i="9"/>
  <c r="E53" i="9"/>
  <c r="L53" i="9" s="1"/>
  <c r="D53" i="9"/>
  <c r="U53" i="9" s="1"/>
  <c r="T52" i="9"/>
  <c r="E52" i="9"/>
  <c r="L52" i="9" s="1"/>
  <c r="D52" i="9"/>
  <c r="U52" i="9" s="1"/>
  <c r="T50" i="9"/>
  <c r="E50" i="9"/>
  <c r="L50" i="9" s="1"/>
  <c r="D50" i="9"/>
  <c r="U50" i="9" s="1"/>
  <c r="T49" i="9"/>
  <c r="E49" i="9"/>
  <c r="L49" i="9" s="1"/>
  <c r="D49" i="9"/>
  <c r="U49" i="9" s="1"/>
  <c r="T48" i="9"/>
  <c r="E48" i="9"/>
  <c r="L48" i="9" s="1"/>
  <c r="D48" i="9"/>
  <c r="U48" i="9" s="1"/>
  <c r="T47" i="9"/>
  <c r="E47" i="9"/>
  <c r="L47" i="9" s="1"/>
  <c r="D47" i="9"/>
  <c r="K47" i="9" s="1"/>
  <c r="S47" i="9" s="1"/>
  <c r="T45" i="9"/>
  <c r="E45" i="9"/>
  <c r="L45" i="9" s="1"/>
  <c r="D45" i="9"/>
  <c r="U45" i="9" s="1"/>
  <c r="T44" i="9"/>
  <c r="E44" i="9"/>
  <c r="L44" i="9" s="1"/>
  <c r="D44" i="9"/>
  <c r="T43" i="9"/>
  <c r="E43" i="9"/>
  <c r="L43" i="9" s="1"/>
  <c r="D43" i="9"/>
  <c r="U43" i="9" s="1"/>
  <c r="T42" i="9"/>
  <c r="E42" i="9"/>
  <c r="L42" i="9" s="1"/>
  <c r="D42" i="9"/>
  <c r="T41" i="9"/>
  <c r="E41" i="9"/>
  <c r="L41" i="9" s="1"/>
  <c r="D41" i="9"/>
  <c r="T40" i="9"/>
  <c r="E40" i="9"/>
  <c r="L40" i="9" s="1"/>
  <c r="D40" i="9"/>
  <c r="T39" i="9"/>
  <c r="E39" i="9"/>
  <c r="L39" i="9" s="1"/>
  <c r="D39" i="9"/>
  <c r="T38" i="9"/>
  <c r="E38" i="9"/>
  <c r="L38" i="9" s="1"/>
  <c r="D38" i="9"/>
  <c r="U38" i="9" s="1"/>
  <c r="T36" i="9"/>
  <c r="E36" i="9"/>
  <c r="L36" i="9" s="1"/>
  <c r="D36" i="9"/>
  <c r="U36" i="9" s="1"/>
  <c r="T35" i="9"/>
  <c r="E35" i="9"/>
  <c r="L35" i="9" s="1"/>
  <c r="D35" i="9"/>
  <c r="U35" i="9" s="1"/>
  <c r="T34" i="9"/>
  <c r="E34" i="9"/>
  <c r="L34" i="9" s="1"/>
  <c r="D34" i="9"/>
  <c r="K34" i="9" s="1"/>
  <c r="S34" i="9" s="1"/>
  <c r="T33" i="9"/>
  <c r="E33" i="9"/>
  <c r="L33" i="9" s="1"/>
  <c r="D33" i="9"/>
  <c r="K33" i="9" s="1"/>
  <c r="S33" i="9" s="1"/>
  <c r="T32" i="9"/>
  <c r="E32" i="9"/>
  <c r="L32" i="9" s="1"/>
  <c r="D32" i="9"/>
  <c r="T31" i="9"/>
  <c r="E31" i="9"/>
  <c r="L31" i="9" s="1"/>
  <c r="D31" i="9"/>
  <c r="K31" i="9" s="1"/>
  <c r="S31" i="9" s="1"/>
  <c r="T30" i="9"/>
  <c r="E30" i="9"/>
  <c r="L30" i="9" s="1"/>
  <c r="D30" i="9"/>
  <c r="U30" i="9" s="1"/>
  <c r="T29" i="9"/>
  <c r="E29" i="9"/>
  <c r="L29" i="9" s="1"/>
  <c r="D29" i="9"/>
  <c r="U29" i="9" s="1"/>
  <c r="T28" i="9"/>
  <c r="E28" i="9"/>
  <c r="L28" i="9" s="1"/>
  <c r="D28" i="9"/>
  <c r="U28" i="9" s="1"/>
  <c r="T27" i="9"/>
  <c r="E27" i="9"/>
  <c r="L27" i="9" s="1"/>
  <c r="D27" i="9"/>
  <c r="T26" i="9"/>
  <c r="E26" i="9"/>
  <c r="L26" i="9" s="1"/>
  <c r="D26" i="9"/>
  <c r="U26" i="9" s="1"/>
  <c r="T25" i="9"/>
  <c r="E25" i="9"/>
  <c r="L25" i="9" s="1"/>
  <c r="D25" i="9"/>
  <c r="K25" i="9" s="1"/>
  <c r="S25" i="9" s="1"/>
  <c r="U24" i="9"/>
  <c r="T24" i="9"/>
  <c r="E24" i="9"/>
  <c r="L24" i="9" s="1"/>
  <c r="D24" i="9"/>
  <c r="K24" i="9" s="1"/>
  <c r="S24" i="9" s="1"/>
  <c r="T23" i="9"/>
  <c r="E23" i="9"/>
  <c r="L23" i="9" s="1"/>
  <c r="D23" i="9"/>
  <c r="T22" i="9"/>
  <c r="E22" i="9"/>
  <c r="L22" i="9" s="1"/>
  <c r="D22" i="9"/>
  <c r="U22" i="9" s="1"/>
  <c r="U21" i="9"/>
  <c r="T21" i="9"/>
  <c r="E21" i="9"/>
  <c r="L21" i="9" s="1"/>
  <c r="D21" i="9"/>
  <c r="K21" i="9" s="1"/>
  <c r="S21" i="9" s="1"/>
  <c r="T20" i="9"/>
  <c r="E20" i="9"/>
  <c r="L20" i="9" s="1"/>
  <c r="D20" i="9"/>
  <c r="K20" i="9" s="1"/>
  <c r="S20"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U11" i="9"/>
  <c r="T11" i="9"/>
  <c r="E11" i="9"/>
  <c r="L11" i="9" s="1"/>
  <c r="D11" i="9"/>
  <c r="K11" i="9" s="1"/>
  <c r="S11" i="9" s="1"/>
  <c r="T10" i="9"/>
  <c r="E10" i="9"/>
  <c r="L10" i="9" s="1"/>
  <c r="D10" i="9"/>
  <c r="K10" i="9" s="1"/>
  <c r="S10" i="9" s="1"/>
  <c r="T9" i="9"/>
  <c r="E9" i="9"/>
  <c r="L9" i="9" s="1"/>
  <c r="D9" i="9"/>
  <c r="K9" i="9" s="1"/>
  <c r="S9" i="9" s="1"/>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B60" i="6"/>
  <c r="A60" i="6"/>
  <c r="B59" i="6"/>
  <c r="A59" i="6"/>
  <c r="B58" i="6"/>
  <c r="A58" i="6"/>
  <c r="B57" i="6"/>
  <c r="A57" i="6"/>
  <c r="B56" i="6"/>
  <c r="A56" i="6"/>
  <c r="B55" i="6"/>
  <c r="A55" i="6"/>
  <c r="B54" i="6"/>
  <c r="A54" i="6"/>
  <c r="B53" i="6"/>
  <c r="A53" i="6"/>
  <c r="AZ16" i="6"/>
  <c r="AY16" i="6"/>
  <c r="AX16" i="6"/>
  <c r="AW16" i="6"/>
  <c r="AV16" i="6"/>
  <c r="AU16" i="6"/>
  <c r="AT16" i="6"/>
  <c r="AS16" i="6"/>
  <c r="AR16" i="6"/>
  <c r="AQ16" i="6"/>
  <c r="B51" i="6"/>
  <c r="A51" i="6"/>
  <c r="B50" i="6"/>
  <c r="A50" i="6"/>
  <c r="B49" i="6"/>
  <c r="A49" i="6"/>
  <c r="B48" i="6"/>
  <c r="A48" i="6"/>
  <c r="B47" i="6"/>
  <c r="A47" i="6"/>
  <c r="B46" i="6"/>
  <c r="A46" i="6"/>
  <c r="B45" i="6"/>
  <c r="A45" i="6"/>
  <c r="B44" i="6"/>
  <c r="A44" i="6"/>
  <c r="AP16" i="6"/>
  <c r="AO16" i="6"/>
  <c r="AN16" i="6"/>
  <c r="AM16" i="6"/>
  <c r="AL16" i="6"/>
  <c r="AK16" i="6"/>
  <c r="AJ16" i="6"/>
  <c r="AI16" i="6"/>
  <c r="AH16" i="6"/>
  <c r="AG16" i="6"/>
  <c r="B42" i="6"/>
  <c r="A42" i="6"/>
  <c r="B41" i="6"/>
  <c r="A41" i="6"/>
  <c r="B40" i="6"/>
  <c r="A40" i="6"/>
  <c r="B39" i="6"/>
  <c r="A39" i="6"/>
  <c r="B38" i="6"/>
  <c r="A38" i="6"/>
  <c r="B37" i="6"/>
  <c r="A37" i="6"/>
  <c r="B36" i="6"/>
  <c r="A36" i="6"/>
  <c r="B35" i="6"/>
  <c r="A35" i="6"/>
  <c r="AF16" i="6"/>
  <c r="AE16" i="6"/>
  <c r="AD16" i="6"/>
  <c r="AC16" i="6"/>
  <c r="AB16" i="6"/>
  <c r="AA16" i="6"/>
  <c r="Z16" i="6"/>
  <c r="Y16" i="6"/>
  <c r="X16" i="6"/>
  <c r="W16" i="6"/>
  <c r="B33" i="6"/>
  <c r="A33" i="6"/>
  <c r="B32" i="6"/>
  <c r="A32" i="6"/>
  <c r="B31" i="6"/>
  <c r="A31" i="6"/>
  <c r="B30" i="6"/>
  <c r="A30" i="6"/>
  <c r="B29" i="6"/>
  <c r="A29" i="6"/>
  <c r="B28" i="6"/>
  <c r="A28" i="6"/>
  <c r="B27" i="6"/>
  <c r="A27" i="6"/>
  <c r="B26" i="6"/>
  <c r="A26" i="6"/>
  <c r="V16" i="6"/>
  <c r="U16" i="6"/>
  <c r="T16" i="6"/>
  <c r="S16" i="6"/>
  <c r="R16" i="6"/>
  <c r="Q16" i="6"/>
  <c r="P16" i="6"/>
  <c r="O16" i="6"/>
  <c r="N16" i="6"/>
  <c r="M16" i="6"/>
  <c r="B24" i="6"/>
  <c r="A24" i="6"/>
  <c r="B23" i="6"/>
  <c r="A23" i="6"/>
  <c r="B22" i="6"/>
  <c r="A22" i="6"/>
  <c r="B21" i="6"/>
  <c r="A21" i="6"/>
  <c r="B20" i="6"/>
  <c r="A20" i="6"/>
  <c r="B19" i="6"/>
  <c r="A19" i="6"/>
  <c r="B18" i="6"/>
  <c r="A18" i="6"/>
  <c r="B17" i="6"/>
  <c r="A17" i="6"/>
  <c r="L16" i="6"/>
  <c r="K16" i="6"/>
  <c r="J16" i="6"/>
  <c r="I16" i="6"/>
  <c r="H16" i="6"/>
  <c r="G16" i="6"/>
  <c r="F16" i="6"/>
  <c r="E16" i="6"/>
  <c r="D16" i="6"/>
  <c r="C16" i="6"/>
  <c r="C102" i="5"/>
  <c r="A102" i="5" s="1"/>
  <c r="C101" i="5"/>
  <c r="A101" i="5" s="1"/>
  <c r="C100" i="5"/>
  <c r="A100" i="5" s="1"/>
  <c r="C99" i="5"/>
  <c r="A99" i="5" s="1"/>
  <c r="C98" i="5"/>
  <c r="A98" i="5" s="1"/>
  <c r="C97" i="5"/>
  <c r="A97" i="5" s="1"/>
  <c r="C96" i="5"/>
  <c r="G95" i="5"/>
  <c r="C95" i="5"/>
  <c r="A95" i="5" s="1"/>
  <c r="P93" i="5"/>
  <c r="D93" i="5"/>
  <c r="A93" i="5" s="1"/>
  <c r="D92" i="5"/>
  <c r="D90" i="5"/>
  <c r="D89" i="5"/>
  <c r="D88" i="5"/>
  <c r="A88" i="5" s="1"/>
  <c r="K87" i="5"/>
  <c r="D87" i="5"/>
  <c r="A87" i="5" s="1"/>
  <c r="D86" i="5"/>
  <c r="A86" i="5" s="1"/>
  <c r="C38" i="15" s="1"/>
  <c r="D85" i="5"/>
  <c r="A85" i="5" s="1"/>
  <c r="C37" i="15" s="1"/>
  <c r="D84" i="5"/>
  <c r="A84" i="5" s="1"/>
  <c r="D83" i="5"/>
  <c r="A83" i="5" s="1"/>
  <c r="C35" i="15" s="1"/>
  <c r="D82" i="5"/>
  <c r="A82" i="5" s="1"/>
  <c r="H81" i="5"/>
  <c r="I81" i="5" s="1"/>
  <c r="D81" i="5"/>
  <c r="P80" i="5"/>
  <c r="B80" i="5"/>
  <c r="P79" i="5"/>
  <c r="D79" i="5"/>
  <c r="G78" i="5"/>
  <c r="G96" i="5" s="1"/>
  <c r="D78" i="5"/>
  <c r="D76" i="5"/>
  <c r="D75" i="5"/>
  <c r="A75" i="5" s="1"/>
  <c r="D74" i="5"/>
  <c r="H73" i="5"/>
  <c r="I73" i="5" s="1"/>
  <c r="D73" i="5"/>
  <c r="A73" i="5" s="1"/>
  <c r="H72" i="5"/>
  <c r="I72" i="5" s="1"/>
  <c r="D72" i="5"/>
  <c r="G71" i="5"/>
  <c r="D71" i="5"/>
  <c r="D70" i="5"/>
  <c r="D69" i="5"/>
  <c r="P67"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E53" i="5"/>
  <c r="AQ43" i="5"/>
  <c r="AP43" i="5"/>
  <c r="AO43" i="5"/>
  <c r="AN43" i="5"/>
  <c r="AM43" i="5"/>
  <c r="AL43" i="5"/>
  <c r="AK43" i="5"/>
  <c r="AJ43" i="5"/>
  <c r="V42" i="5"/>
  <c r="O42" i="5"/>
  <c r="A42" i="5"/>
  <c r="E42" i="5" s="1"/>
  <c r="V41" i="5"/>
  <c r="A41" i="5"/>
  <c r="E41" i="5" s="1"/>
  <c r="P40" i="5"/>
  <c r="A40" i="5"/>
  <c r="E40" i="5" s="1"/>
  <c r="AE39" i="5"/>
  <c r="AD39" i="5"/>
  <c r="AC39" i="5"/>
  <c r="AB39" i="5"/>
  <c r="AA39" i="5"/>
  <c r="Z39" i="5"/>
  <c r="P39" i="5"/>
  <c r="A39" i="5"/>
  <c r="E39" i="5" s="1"/>
  <c r="AE38" i="5"/>
  <c r="AD38" i="5"/>
  <c r="AC38" i="5"/>
  <c r="AB38" i="5"/>
  <c r="AA38" i="5"/>
  <c r="Z38" i="5"/>
  <c r="P38" i="5"/>
  <c r="AE37" i="5"/>
  <c r="AD37" i="5"/>
  <c r="AC37" i="5"/>
  <c r="AB37" i="5"/>
  <c r="AA37" i="5"/>
  <c r="Z37" i="5"/>
  <c r="P37" i="5"/>
  <c r="A37" i="5"/>
  <c r="E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G16" i="5" s="1"/>
  <c r="Z23" i="5"/>
  <c r="AE22" i="5"/>
  <c r="AD22" i="5"/>
  <c r="AI36" i="5" s="1"/>
  <c r="AC22" i="5"/>
  <c r="AB22" i="5"/>
  <c r="AA22" i="5"/>
  <c r="Z22" i="5"/>
  <c r="E22" i="5"/>
  <c r="AE21" i="5"/>
  <c r="AD21" i="5"/>
  <c r="AC21" i="5"/>
  <c r="AB21" i="5"/>
  <c r="AA21" i="5"/>
  <c r="Z21" i="5"/>
  <c r="AE20" i="5"/>
  <c r="AD20" i="5"/>
  <c r="AC20" i="5"/>
  <c r="AB20" i="5"/>
  <c r="AA20" i="5"/>
  <c r="AA19" i="5"/>
  <c r="P16" i="5"/>
  <c r="O16" i="5"/>
  <c r="G15" i="5"/>
  <c r="I15" i="5" s="1"/>
  <c r="J15" i="5" s="1"/>
  <c r="Q14" i="5"/>
  <c r="O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51" i="15"/>
  <c r="A6" i="3"/>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118" i="2"/>
  <c r="B26" i="2"/>
  <c r="AJ30" i="14" l="1"/>
  <c r="AI31" i="14"/>
  <c r="AC30" i="14"/>
  <c r="AD31" i="14"/>
  <c r="AK7" i="14"/>
  <c r="AJ8" i="14"/>
  <c r="AE8" i="14"/>
  <c r="AD7" i="14"/>
  <c r="AI25" i="14"/>
  <c r="AJ24" i="14"/>
  <c r="AD24" i="14"/>
  <c r="AE25" i="14"/>
  <c r="C42" i="14"/>
  <c r="G80" i="14" s="1"/>
  <c r="G81" i="14" s="1"/>
  <c r="G82" i="14" s="1"/>
  <c r="D40" i="14"/>
  <c r="G40" i="14" s="1"/>
  <c r="F42" i="14"/>
  <c r="F32" i="14"/>
  <c r="K18" i="9"/>
  <c r="S18" i="9" s="1"/>
  <c r="U33" i="9"/>
  <c r="K30" i="9"/>
  <c r="S30" i="9" s="1"/>
  <c r="K45" i="9"/>
  <c r="S45" i="9" s="1"/>
  <c r="K17" i="9"/>
  <c r="S17" i="9" s="1"/>
  <c r="K43" i="9"/>
  <c r="S43" i="9" s="1"/>
  <c r="U10" i="9"/>
  <c r="K12" i="9"/>
  <c r="S12" i="9" s="1"/>
  <c r="L29" i="6"/>
  <c r="AD38" i="6"/>
  <c r="AL50" i="6"/>
  <c r="AR55" i="6"/>
  <c r="U9" i="9"/>
  <c r="K36" i="9"/>
  <c r="S36" i="9" s="1"/>
  <c r="K26" i="9"/>
  <c r="S26" i="9" s="1"/>
  <c r="AF41" i="6"/>
  <c r="AN50" i="6"/>
  <c r="AT55" i="6"/>
  <c r="K56" i="9"/>
  <c r="S56" i="9" s="1"/>
  <c r="E18" i="6"/>
  <c r="F22" i="6"/>
  <c r="AV59" i="6"/>
  <c r="G23" i="6"/>
  <c r="O33" i="6"/>
  <c r="W40" i="6"/>
  <c r="K22" i="9"/>
  <c r="S22" i="9" s="1"/>
  <c r="U34" i="9"/>
  <c r="K38" i="9"/>
  <c r="S38" i="9" s="1"/>
  <c r="U47" i="9"/>
  <c r="K50" i="9"/>
  <c r="S50" i="9" s="1"/>
  <c r="AE40" i="6"/>
  <c r="M31" i="6"/>
  <c r="K53" i="9"/>
  <c r="S53" i="9" s="1"/>
  <c r="H20" i="6"/>
  <c r="P27" i="6"/>
  <c r="X40" i="6"/>
  <c r="L53" i="6"/>
  <c r="Q33" i="6"/>
  <c r="Y36" i="6"/>
  <c r="U25" i="9"/>
  <c r="AU60" i="6"/>
  <c r="J24" i="6"/>
  <c r="R29" i="6"/>
  <c r="Z38" i="6"/>
  <c r="AH47" i="6"/>
  <c r="K29" i="9"/>
  <c r="S29" i="9" s="1"/>
  <c r="K35" i="9"/>
  <c r="S35" i="9" s="1"/>
  <c r="K48" i="9"/>
  <c r="S48" i="9" s="1"/>
  <c r="AO48" i="6"/>
  <c r="K22" i="6"/>
  <c r="L20" i="6"/>
  <c r="T26" i="6"/>
  <c r="AB42" i="6"/>
  <c r="U20" i="9"/>
  <c r="K55" i="9"/>
  <c r="S55" i="9" s="1"/>
  <c r="S30" i="6"/>
  <c r="U33" i="6"/>
  <c r="AC42" i="6"/>
  <c r="AK51" i="6"/>
  <c r="K52" i="9"/>
  <c r="S52" i="9" s="1"/>
  <c r="AH28" i="5"/>
  <c r="AG30" i="5"/>
  <c r="B96" i="5"/>
  <c r="B48" i="15" s="1"/>
  <c r="A96" i="5"/>
  <c r="B84" i="5"/>
  <c r="B36" i="15" s="1"/>
  <c r="B92" i="5"/>
  <c r="B44" i="15" s="1"/>
  <c r="A92" i="5"/>
  <c r="C44" i="15" s="1"/>
  <c r="B61" i="5"/>
  <c r="A61" i="5"/>
  <c r="B70" i="5"/>
  <c r="B22" i="15" s="1"/>
  <c r="A70" i="5"/>
  <c r="C22" i="15" s="1"/>
  <c r="A80" i="5"/>
  <c r="C32" i="15" s="1"/>
  <c r="A79" i="5"/>
  <c r="C31" i="15" s="1"/>
  <c r="B64" i="5"/>
  <c r="B16" i="15" s="1"/>
  <c r="A64" i="5"/>
  <c r="C16" i="15" s="1"/>
  <c r="B72" i="5"/>
  <c r="B24" i="15" s="1"/>
  <c r="A72" i="5"/>
  <c r="B89" i="5"/>
  <c r="B41" i="15" s="1"/>
  <c r="A89" i="5"/>
  <c r="C41" i="15" s="1"/>
  <c r="B81" i="5"/>
  <c r="B33" i="15" s="1"/>
  <c r="A81" i="5"/>
  <c r="C33" i="15" s="1"/>
  <c r="B90" i="5"/>
  <c r="B42" i="15" s="1"/>
  <c r="A90" i="5"/>
  <c r="C42" i="15" s="1"/>
  <c r="B62" i="5"/>
  <c r="A62" i="5"/>
  <c r="B74" i="5"/>
  <c r="B26" i="15" s="1"/>
  <c r="A74" i="5"/>
  <c r="C26" i="15" s="1"/>
  <c r="B71" i="5"/>
  <c r="B23" i="15" s="1"/>
  <c r="A71" i="5"/>
  <c r="C23" i="15" s="1"/>
  <c r="B60" i="5"/>
  <c r="A60" i="5"/>
  <c r="A12" i="15" s="1"/>
  <c r="A76" i="5"/>
  <c r="C28" i="15" s="1"/>
  <c r="B78" i="5"/>
  <c r="B30" i="15" s="1"/>
  <c r="A78" i="5"/>
  <c r="C30" i="15" s="1"/>
  <c r="B69" i="5"/>
  <c r="B21" i="15" s="1"/>
  <c r="A69" i="5"/>
  <c r="C21" i="15" s="1"/>
  <c r="A14" i="15"/>
  <c r="C14" i="15" s="1"/>
  <c r="AJ39" i="5"/>
  <c r="C24" i="15"/>
  <c r="Q69" i="5"/>
  <c r="AG31" i="5"/>
  <c r="AH31" i="5"/>
  <c r="Q78" i="5"/>
  <c r="AG56" i="5"/>
  <c r="AO56" i="5" s="1"/>
  <c r="B63" i="5"/>
  <c r="Q72" i="5"/>
  <c r="B83" i="5"/>
  <c r="B35" i="15" s="1"/>
  <c r="Q84" i="5"/>
  <c r="AG38" i="5"/>
  <c r="B65" i="5"/>
  <c r="B17" i="15" s="1"/>
  <c r="Q70" i="5"/>
  <c r="H15" i="5"/>
  <c r="Q79" i="5"/>
  <c r="B86" i="5"/>
  <c r="B38" i="15" s="1"/>
  <c r="Q96" i="5"/>
  <c r="Q74" i="5"/>
  <c r="C39" i="15"/>
  <c r="B67" i="5"/>
  <c r="D39" i="5" s="1"/>
  <c r="Q71" i="5"/>
  <c r="B93" i="5"/>
  <c r="B45" i="15" s="1"/>
  <c r="B98" i="5"/>
  <c r="B50" i="15" s="1"/>
  <c r="AJ28" i="5"/>
  <c r="AI30" i="5"/>
  <c r="Q61" i="5"/>
  <c r="B88" i="5"/>
  <c r="B40" i="15" s="1"/>
  <c r="B99" i="5"/>
  <c r="B51" i="15" s="1"/>
  <c r="Q75" i="5"/>
  <c r="Q88" i="5"/>
  <c r="Q81" i="5"/>
  <c r="B101" i="5"/>
  <c r="B53" i="15" s="1"/>
  <c r="AF36" i="5"/>
  <c r="AA56" i="5"/>
  <c r="AI56" i="5" s="1"/>
  <c r="Q62" i="5"/>
  <c r="B102" i="5"/>
  <c r="B54" i="15" s="1"/>
  <c r="AQ55" i="5"/>
  <c r="AD56" i="5"/>
  <c r="AL56" i="5" s="1"/>
  <c r="Q63" i="5"/>
  <c r="B76" i="5"/>
  <c r="B28" i="15" s="1"/>
  <c r="Q85" i="5"/>
  <c r="Q89" i="5"/>
  <c r="AF56" i="5"/>
  <c r="AN56" i="5" s="1"/>
  <c r="Q80" i="5"/>
  <c r="Q97" i="5"/>
  <c r="AI38" i="5"/>
  <c r="I60" i="5"/>
  <c r="B32" i="15"/>
  <c r="AF28" i="5"/>
  <c r="Q76" i="5"/>
  <c r="B87" i="5"/>
  <c r="B39" i="15" s="1"/>
  <c r="Q90" i="5"/>
  <c r="Q98" i="5"/>
  <c r="Z56" i="5"/>
  <c r="AH56" i="5" s="1"/>
  <c r="AG28" i="5"/>
  <c r="AJ32" i="5"/>
  <c r="Q73" i="5"/>
  <c r="AH37" i="5"/>
  <c r="Q87" i="5"/>
  <c r="AI29" i="5"/>
  <c r="AJ55" i="5"/>
  <c r="B79" i="5"/>
  <c r="Q83" i="5"/>
  <c r="Q101" i="5"/>
  <c r="AT27" i="12"/>
  <c r="W42" i="12"/>
  <c r="AI42" i="12"/>
  <c r="AB45" i="12"/>
  <c r="AQ45" i="12"/>
  <c r="AG46" i="12"/>
  <c r="AW46" i="12"/>
  <c r="BB47" i="12"/>
  <c r="AD48" i="12"/>
  <c r="X42" i="12"/>
  <c r="AJ42" i="12"/>
  <c r="AF43" i="12" s="1"/>
  <c r="BA42" i="12"/>
  <c r="AR45" i="12"/>
  <c r="AA47" i="12"/>
  <c r="BC47" i="12"/>
  <c r="AE48" i="12"/>
  <c r="CM130" i="12"/>
  <c r="AF48" i="12"/>
  <c r="CO132" i="12"/>
  <c r="CJ138" i="12"/>
  <c r="CM100" i="12"/>
  <c r="Q16" i="5" s="1"/>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I16" i="5"/>
  <c r="I21" i="5" s="1"/>
  <c r="I22" i="5" s="1"/>
  <c r="I34" i="5" s="1"/>
  <c r="I133" i="7"/>
  <c r="L32" i="6"/>
  <c r="E17" i="6"/>
  <c r="G21" i="6"/>
  <c r="AV60" i="6"/>
  <c r="L18" i="6"/>
  <c r="L17" i="6"/>
  <c r="AF40" i="6"/>
  <c r="Q30" i="6"/>
  <c r="AF36" i="6"/>
  <c r="Z41" i="6"/>
  <c r="R30" i="6"/>
  <c r="L31" i="6"/>
  <c r="E20" i="6"/>
  <c r="AV56" i="6"/>
  <c r="M32" i="6"/>
  <c r="Q29" i="6"/>
  <c r="W42" i="6"/>
  <c r="T29" i="6"/>
  <c r="L23" i="6"/>
  <c r="AD39" i="6"/>
  <c r="AF35" i="6"/>
  <c r="AF39" i="6"/>
  <c r="AH51" i="6"/>
  <c r="H24" i="6"/>
  <c r="X36" i="6"/>
  <c r="AN46" i="6"/>
  <c r="J18" i="6"/>
  <c r="L26" i="6"/>
  <c r="P32" i="6"/>
  <c r="Z36" i="6"/>
  <c r="W39" i="6"/>
  <c r="AB41" i="6"/>
  <c r="E22" i="6"/>
  <c r="AV53" i="6"/>
  <c r="L56" i="6"/>
  <c r="E19" i="6"/>
  <c r="Q27" i="6"/>
  <c r="P33" i="6"/>
  <c r="AC37" i="6"/>
  <c r="X42" i="6"/>
  <c r="F19" i="6"/>
  <c r="AF37" i="6"/>
  <c r="AD42" i="6"/>
  <c r="AN48" i="6"/>
  <c r="R33" i="6"/>
  <c r="AN44" i="6"/>
  <c r="AV54" i="6"/>
  <c r="AB37" i="6"/>
  <c r="H22" i="6"/>
  <c r="K23" i="6"/>
  <c r="T28" i="6"/>
  <c r="R31" i="6"/>
  <c r="AD35" i="6"/>
  <c r="AC38" i="6"/>
  <c r="G21" i="5"/>
  <c r="G22" i="5" s="1"/>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M41" i="13"/>
  <c r="G76" i="13"/>
  <c r="G77" i="13" s="1"/>
  <c r="S28" i="13"/>
  <c r="S51" i="13" s="1"/>
  <c r="R30" i="13"/>
  <c r="R52" i="13" s="1"/>
  <c r="L34" i="13"/>
  <c r="L27" i="13"/>
  <c r="M36" i="13"/>
  <c r="M27" i="13"/>
  <c r="M30" i="13"/>
  <c r="R36" i="13"/>
  <c r="R54" i="13" s="1"/>
  <c r="C75" i="13"/>
  <c r="E75" i="13" s="1"/>
  <c r="L36" i="13"/>
  <c r="L31" i="13"/>
  <c r="R41" i="13"/>
  <c r="R56" i="13" s="1"/>
  <c r="R33" i="13"/>
  <c r="R53" i="13" s="1"/>
  <c r="S42" i="13"/>
  <c r="S56" i="13" s="1"/>
  <c r="L33" i="13"/>
  <c r="N28" i="13"/>
  <c r="L37" i="13"/>
  <c r="J30" i="13"/>
  <c r="I9" i="13" s="1"/>
  <c r="W30" i="13"/>
  <c r="D42" i="5"/>
  <c r="Q33" i="13"/>
  <c r="W33" i="13" s="1"/>
  <c r="Q27" i="13"/>
  <c r="O12" i="7"/>
  <c r="K84" i="5"/>
  <c r="C47" i="15"/>
  <c r="C54" i="15"/>
  <c r="C40" i="15"/>
  <c r="B73" i="5"/>
  <c r="B25" i="15" s="1"/>
  <c r="C25" i="15"/>
  <c r="B100" i="5"/>
  <c r="B52" i="15" s="1"/>
  <c r="C52" i="15"/>
  <c r="K100" i="5"/>
  <c r="C60" i="6"/>
  <c r="C57" i="6"/>
  <c r="C54" i="6"/>
  <c r="C55" i="6"/>
  <c r="C59" i="6"/>
  <c r="C56" i="6"/>
  <c r="C53" i="6"/>
  <c r="R46" i="7"/>
  <c r="W46" i="7"/>
  <c r="U46" i="7"/>
  <c r="T46" i="7"/>
  <c r="S46" i="7"/>
  <c r="K97" i="5"/>
  <c r="S32" i="6"/>
  <c r="S26" i="6"/>
  <c r="S33" i="6"/>
  <c r="S27" i="6"/>
  <c r="S29" i="6"/>
  <c r="S28" i="6"/>
  <c r="S31" i="6"/>
  <c r="U39" i="7"/>
  <c r="T39" i="7"/>
  <c r="S39" i="7"/>
  <c r="R39" i="7"/>
  <c r="W39" i="7"/>
  <c r="E123" i="7"/>
  <c r="L123" i="7"/>
  <c r="M123" i="7" s="1"/>
  <c r="G123" i="7"/>
  <c r="D123" i="7"/>
  <c r="G124" i="7"/>
  <c r="N123" i="7"/>
  <c r="V135" i="7"/>
  <c r="R61" i="5" s="1"/>
  <c r="V140" i="7"/>
  <c r="R60" i="5" s="1"/>
  <c r="K15" i="5"/>
  <c r="AG37" i="5"/>
  <c r="B75" i="5"/>
  <c r="B27" i="15" s="1"/>
  <c r="C27" i="15"/>
  <c r="D21" i="6"/>
  <c r="D24" i="6"/>
  <c r="D22" i="6"/>
  <c r="D20" i="6"/>
  <c r="D17" i="6"/>
  <c r="D18" i="6"/>
  <c r="D23" i="6"/>
  <c r="D19" i="6"/>
  <c r="C58" i="6"/>
  <c r="AC56" i="5"/>
  <c r="AK56" i="5" s="1"/>
  <c r="AM54" i="5"/>
  <c r="C17" i="15"/>
  <c r="R44" i="7"/>
  <c r="U44" i="7"/>
  <c r="T44" i="7"/>
  <c r="S44" i="7"/>
  <c r="W44" i="7"/>
  <c r="K85" i="5"/>
  <c r="B82" i="5"/>
  <c r="B34" i="15" s="1"/>
  <c r="C34" i="15"/>
  <c r="K82" i="5"/>
  <c r="H61" i="5"/>
  <c r="K83" i="5"/>
  <c r="B85" i="5"/>
  <c r="B37" i="15" s="1"/>
  <c r="C48" i="15"/>
  <c r="G20" i="6"/>
  <c r="K17" i="6"/>
  <c r="G24" i="6"/>
  <c r="L33" i="6"/>
  <c r="L27" i="6"/>
  <c r="L28" i="6"/>
  <c r="L30" i="6"/>
  <c r="R27" i="6"/>
  <c r="P29" i="6"/>
  <c r="AD37" i="6"/>
  <c r="AD40" i="6"/>
  <c r="AD41" i="6"/>
  <c r="AD36" i="6"/>
  <c r="AC39" i="6"/>
  <c r="AH50" i="6"/>
  <c r="AL44" i="6"/>
  <c r="AL46" i="6"/>
  <c r="AL48" i="6"/>
  <c r="AR59" i="6"/>
  <c r="U47" i="7"/>
  <c r="T47" i="7"/>
  <c r="S47" i="7"/>
  <c r="W47" i="7"/>
  <c r="R47" i="7"/>
  <c r="V20" i="7" s="1"/>
  <c r="V21" i="7" s="1"/>
  <c r="K13" i="9"/>
  <c r="S13" i="9" s="1"/>
  <c r="AB35" i="6"/>
  <c r="H23" i="6"/>
  <c r="L59" i="6"/>
  <c r="AR58" i="6"/>
  <c r="AN49" i="6"/>
  <c r="AN45" i="6"/>
  <c r="AB39" i="6"/>
  <c r="Q31" i="6"/>
  <c r="L60" i="6"/>
  <c r="L57" i="6"/>
  <c r="AR56" i="6"/>
  <c r="L54" i="6"/>
  <c r="AR53" i="6"/>
  <c r="AB40" i="6"/>
  <c r="Q32" i="6"/>
  <c r="Q26" i="6"/>
  <c r="U13" i="9"/>
  <c r="Q28" i="6"/>
  <c r="E30" i="5"/>
  <c r="A15" i="15"/>
  <c r="K99" i="5"/>
  <c r="AE38" i="6"/>
  <c r="AE41" i="6"/>
  <c r="AE37" i="6"/>
  <c r="AI48" i="6"/>
  <c r="AI44" i="6"/>
  <c r="AI50" i="6"/>
  <c r="AI46" i="6"/>
  <c r="AS59" i="6"/>
  <c r="AS56" i="6"/>
  <c r="AS53" i="6"/>
  <c r="AS60" i="6"/>
  <c r="AS57" i="6"/>
  <c r="AS54" i="6"/>
  <c r="V25" i="9"/>
  <c r="V21" i="9"/>
  <c r="V23" i="9"/>
  <c r="V24" i="9"/>
  <c r="V22" i="9"/>
  <c r="V26" i="9"/>
  <c r="U43" i="7"/>
  <c r="T43" i="7"/>
  <c r="S43" i="7"/>
  <c r="R43" i="7"/>
  <c r="H45" i="7"/>
  <c r="G128" i="7"/>
  <c r="E128" i="7"/>
  <c r="L128" i="7"/>
  <c r="M128" i="7" s="1"/>
  <c r="D128" i="7"/>
  <c r="I138" i="7"/>
  <c r="J138" i="7"/>
  <c r="K138" i="7" s="1"/>
  <c r="L138" i="7" s="1"/>
  <c r="AI35" i="5"/>
  <c r="C50" i="15"/>
  <c r="AE39" i="6"/>
  <c r="AJ49" i="6"/>
  <c r="AJ45" i="6"/>
  <c r="AO44" i="6"/>
  <c r="AT59" i="6"/>
  <c r="AT56" i="6"/>
  <c r="AT53" i="6"/>
  <c r="AT54" i="6"/>
  <c r="W36" i="7"/>
  <c r="S36" i="7"/>
  <c r="R36" i="7"/>
  <c r="U36" i="7"/>
  <c r="T36" i="7"/>
  <c r="K23" i="9"/>
  <c r="S23" i="9" s="1"/>
  <c r="U23" i="9"/>
  <c r="AF29" i="5"/>
  <c r="AK54" i="5"/>
  <c r="C36" i="15"/>
  <c r="B95" i="5"/>
  <c r="B47" i="15" s="1"/>
  <c r="J20" i="6"/>
  <c r="J21" i="6"/>
  <c r="J23" i="6"/>
  <c r="J19" i="6"/>
  <c r="F21" i="6"/>
  <c r="M33" i="6"/>
  <c r="M27" i="6"/>
  <c r="M30" i="6"/>
  <c r="M26" i="6"/>
  <c r="M28" i="6"/>
  <c r="T31" i="6"/>
  <c r="AC41" i="6"/>
  <c r="N128" i="7"/>
  <c r="K86" i="5"/>
  <c r="C53" i="15"/>
  <c r="K102" i="5"/>
  <c r="K24" i="6"/>
  <c r="K21" i="6"/>
  <c r="K19" i="6"/>
  <c r="E23" i="6"/>
  <c r="N30" i="6"/>
  <c r="N31" i="6"/>
  <c r="N33" i="6"/>
  <c r="N27" i="6"/>
  <c r="N26" i="6"/>
  <c r="N28" i="6"/>
  <c r="AL51" i="6"/>
  <c r="AL47" i="6"/>
  <c r="AL49" i="6"/>
  <c r="AL45" i="6"/>
  <c r="AV58" i="6"/>
  <c r="AV55" i="6"/>
  <c r="V36" i="7"/>
  <c r="AG35" i="5"/>
  <c r="AB56" i="5"/>
  <c r="AJ56" i="5" s="1"/>
  <c r="Q100" i="5"/>
  <c r="Q95" i="5"/>
  <c r="Q99" i="5"/>
  <c r="Q82" i="5"/>
  <c r="Q86" i="5"/>
  <c r="K88" i="5"/>
  <c r="K96" i="5"/>
  <c r="Q102" i="5"/>
  <c r="L21" i="6"/>
  <c r="L22" i="6"/>
  <c r="L24" i="6"/>
  <c r="L19" i="6"/>
  <c r="H21" i="6"/>
  <c r="F23" i="6"/>
  <c r="P26" i="6"/>
  <c r="R28" i="6"/>
  <c r="W41" i="6"/>
  <c r="W36" i="6"/>
  <c r="W37" i="6"/>
  <c r="W38" i="6"/>
  <c r="W35" i="6"/>
  <c r="AB36" i="6"/>
  <c r="AH45" i="6"/>
  <c r="AI47" i="6"/>
  <c r="AH49" i="6"/>
  <c r="AI51" i="6"/>
  <c r="AT57" i="6"/>
  <c r="G129" i="7"/>
  <c r="J136" i="7"/>
  <c r="K136" i="7" s="1"/>
  <c r="L136" i="7" s="1"/>
  <c r="I136" i="7"/>
  <c r="E144" i="7"/>
  <c r="B6" i="5"/>
  <c r="F16" i="5"/>
  <c r="F21" i="5" s="1"/>
  <c r="A13" i="15"/>
  <c r="F18" i="6"/>
  <c r="P28" i="6"/>
  <c r="P30" i="6"/>
  <c r="X37" i="6"/>
  <c r="X38" i="6"/>
  <c r="X39" i="6"/>
  <c r="X41" i="6"/>
  <c r="X35" i="6"/>
  <c r="AE36" i="6"/>
  <c r="AB38" i="6"/>
  <c r="AN51" i="6"/>
  <c r="AI45" i="6"/>
  <c r="AJ47" i="6"/>
  <c r="AI49" i="6"/>
  <c r="AJ51" i="6"/>
  <c r="L58" i="6"/>
  <c r="AV57" i="6"/>
  <c r="AT60" i="6"/>
  <c r="T41" i="5"/>
  <c r="T42" i="5" s="1"/>
  <c r="N63" i="5"/>
  <c r="O63" i="5" s="1"/>
  <c r="B97" i="5"/>
  <c r="B49" i="15" s="1"/>
  <c r="C49" i="15"/>
  <c r="Y42" i="6"/>
  <c r="Y41" i="6"/>
  <c r="Y40" i="6"/>
  <c r="Y39" i="6"/>
  <c r="Y38" i="6"/>
  <c r="Y35" i="6"/>
  <c r="AO50" i="6"/>
  <c r="AO46" i="6"/>
  <c r="AO45" i="6"/>
  <c r="AO47" i="6"/>
  <c r="AO49" i="6"/>
  <c r="AO51" i="6"/>
  <c r="G144" i="7"/>
  <c r="H134" i="7"/>
  <c r="K98" i="5"/>
  <c r="K81" i="5"/>
  <c r="AH39" i="5"/>
  <c r="B66" i="5"/>
  <c r="H70" i="5"/>
  <c r="I70" i="5" s="1"/>
  <c r="H95" i="5"/>
  <c r="K18" i="6"/>
  <c r="N32" i="6"/>
  <c r="Z42" i="6"/>
  <c r="Z39" i="6"/>
  <c r="Z35" i="6"/>
  <c r="Z40" i="6"/>
  <c r="L48" i="6"/>
  <c r="L44" i="6"/>
  <c r="L50" i="6"/>
  <c r="L46" i="6"/>
  <c r="L45" i="6"/>
  <c r="L47" i="6"/>
  <c r="L49" i="6"/>
  <c r="L51" i="6"/>
  <c r="AS55" i="6"/>
  <c r="T41" i="7"/>
  <c r="U41" i="7"/>
  <c r="S41" i="7"/>
  <c r="R41" i="7"/>
  <c r="K134" i="7"/>
  <c r="J140" i="7"/>
  <c r="K140" i="7" s="1"/>
  <c r="L140" i="7" s="1"/>
  <c r="I140" i="7"/>
  <c r="E24" i="6"/>
  <c r="E21" i="6"/>
  <c r="F17" i="6"/>
  <c r="F20" i="6"/>
  <c r="T30" i="6"/>
  <c r="T33" i="6"/>
  <c r="T27" i="6"/>
  <c r="M29" i="6"/>
  <c r="T32" i="6"/>
  <c r="AE35" i="6"/>
  <c r="Y37" i="6"/>
  <c r="AE42" i="6"/>
  <c r="AS58" i="6"/>
  <c r="Z27" i="13"/>
  <c r="Z30" i="13"/>
  <c r="Z39" i="13"/>
  <c r="Z36" i="13"/>
  <c r="Z33" i="13"/>
  <c r="AJ38" i="5"/>
  <c r="AE56" i="5"/>
  <c r="AM56" i="5" s="1"/>
  <c r="H78" i="5"/>
  <c r="H96" i="5" s="1"/>
  <c r="J17" i="6"/>
  <c r="K20" i="6"/>
  <c r="J22" i="6"/>
  <c r="F24" i="6"/>
  <c r="N29" i="6"/>
  <c r="AC36" i="6"/>
  <c r="AC40" i="6"/>
  <c r="AC35" i="6"/>
  <c r="Z37" i="6"/>
  <c r="AJ44" i="6"/>
  <c r="AJ46" i="6"/>
  <c r="AJ48" i="6"/>
  <c r="AJ50" i="6"/>
  <c r="AT58" i="6"/>
  <c r="T37" i="7"/>
  <c r="U37" i="7"/>
  <c r="S37" i="7"/>
  <c r="R37" i="7"/>
  <c r="W40" i="7"/>
  <c r="S40" i="7"/>
  <c r="R40" i="7"/>
  <c r="U40" i="7"/>
  <c r="T40" i="7"/>
  <c r="C24" i="6"/>
  <c r="C23" i="6"/>
  <c r="C22" i="6"/>
  <c r="C21" i="6"/>
  <c r="C17" i="6"/>
  <c r="C18" i="6"/>
  <c r="C19" i="6"/>
  <c r="C20" i="6"/>
  <c r="G22" i="6"/>
  <c r="AF38" i="6"/>
  <c r="AN47" i="6"/>
  <c r="AR54" i="6"/>
  <c r="L55" i="6"/>
  <c r="AR57" i="6"/>
  <c r="AR60" i="6"/>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0" i="9"/>
  <c r="K40" i="9"/>
  <c r="S40" i="9" s="1"/>
  <c r="G17" i="6"/>
  <c r="G18" i="6"/>
  <c r="G19" i="6"/>
  <c r="AF42" i="6"/>
  <c r="D60" i="6"/>
  <c r="T38" i="7"/>
  <c r="T42" i="7"/>
  <c r="U45" i="7"/>
  <c r="S45" i="7"/>
  <c r="H17" i="6"/>
  <c r="H18" i="6"/>
  <c r="H19" i="6"/>
  <c r="R26" i="6"/>
  <c r="P31" i="6"/>
  <c r="R32" i="6"/>
  <c r="AG51" i="6"/>
  <c r="AH44" i="6"/>
  <c r="AH48" i="6"/>
  <c r="AQ60" i="6"/>
  <c r="V41" i="7"/>
  <c r="V37" i="7"/>
  <c r="V48" i="7"/>
  <c r="V44" i="7"/>
  <c r="V43" i="7"/>
  <c r="V39" i="7"/>
  <c r="V46" i="7"/>
  <c r="U38" i="7"/>
  <c r="U42" i="7"/>
  <c r="R45" i="7"/>
  <c r="V47" i="7"/>
  <c r="J119" i="7"/>
  <c r="N122" i="7"/>
  <c r="N130" i="7" s="1"/>
  <c r="L129" i="7"/>
  <c r="M129" i="7" s="1"/>
  <c r="J139" i="7"/>
  <c r="K139" i="7" s="1"/>
  <c r="L139" i="7" s="1"/>
  <c r="I141" i="7"/>
  <c r="U14" i="9"/>
  <c r="U19" i="9"/>
  <c r="U54" i="9"/>
  <c r="K54" i="9"/>
  <c r="S54" i="9" s="1"/>
  <c r="AQ84" i="10"/>
  <c r="AT84" i="10" s="1"/>
  <c r="E17" i="10" a="1"/>
  <c r="I24" i="6"/>
  <c r="I23" i="6"/>
  <c r="I22" i="6"/>
  <c r="I21" i="6"/>
  <c r="I20" i="6"/>
  <c r="I17" i="6"/>
  <c r="I18" i="6"/>
  <c r="I19" i="6"/>
  <c r="V38" i="7"/>
  <c r="V42" i="7"/>
  <c r="T45" i="7"/>
  <c r="G126" i="7"/>
  <c r="I134" i="7"/>
  <c r="K15" i="9"/>
  <c r="S15" i="9" s="1"/>
  <c r="U15" i="9"/>
  <c r="U31" i="9"/>
  <c r="K41" i="9"/>
  <c r="S41" i="9" s="1"/>
  <c r="U41" i="9"/>
  <c r="K27" i="9"/>
  <c r="S27" i="9" s="1"/>
  <c r="U27" i="9"/>
  <c r="K32" i="9"/>
  <c r="S32" i="9" s="1"/>
  <c r="U32" i="9"/>
  <c r="H48" i="7"/>
  <c r="D120" i="7"/>
  <c r="H136" i="7"/>
  <c r="U44" i="9"/>
  <c r="K44" i="9"/>
  <c r="S44" i="9" s="1"/>
  <c r="E125" i="7"/>
  <c r="D125" i="7"/>
  <c r="U42" i="9"/>
  <c r="K42" i="9"/>
  <c r="S42" i="9" s="1"/>
  <c r="AA42" i="6"/>
  <c r="AM51" i="6"/>
  <c r="AH46" i="6"/>
  <c r="K60" i="6"/>
  <c r="G125" i="7"/>
  <c r="U39" i="9"/>
  <c r="K39" i="9"/>
  <c r="S39" i="9" s="1"/>
  <c r="AL91" i="10"/>
  <c r="AR89" i="10"/>
  <c r="AU89" i="10" s="1"/>
  <c r="D53" i="6"/>
  <c r="D54" i="6"/>
  <c r="D55" i="6"/>
  <c r="D56" i="6"/>
  <c r="D57" i="6"/>
  <c r="D58" i="6"/>
  <c r="D59" i="6"/>
  <c r="M7" i="10" a="1"/>
  <c r="U26" i="6"/>
  <c r="U27" i="6"/>
  <c r="U28" i="6"/>
  <c r="U29" i="6"/>
  <c r="U30" i="6"/>
  <c r="U31" i="6"/>
  <c r="U32" i="6"/>
  <c r="AG44" i="6"/>
  <c r="AG45" i="6"/>
  <c r="AG46" i="6"/>
  <c r="AG47" i="6"/>
  <c r="AG48" i="6"/>
  <c r="AG49" i="6"/>
  <c r="AG50" i="6"/>
  <c r="AQ53" i="6"/>
  <c r="AQ54" i="6"/>
  <c r="AQ55" i="6"/>
  <c r="AQ56" i="6"/>
  <c r="AQ57" i="6"/>
  <c r="AQ58" i="6"/>
  <c r="AQ59" i="6"/>
  <c r="K16" i="9"/>
  <c r="S16" i="9" s="1"/>
  <c r="K28" i="9"/>
  <c r="S28" i="9" s="1"/>
  <c r="M17" i="10" a="1"/>
  <c r="N120" i="10"/>
  <c r="M120" i="10"/>
  <c r="N119" i="10"/>
  <c r="M119" i="10"/>
  <c r="N118" i="10"/>
  <c r="M118" i="10"/>
  <c r="W39" i="13"/>
  <c r="Q55" i="13"/>
  <c r="J39" i="13"/>
  <c r="I7" i="13" s="1"/>
  <c r="AL79" i="10"/>
  <c r="E12" i="10" a="1"/>
  <c r="E7" i="10" a="1"/>
  <c r="I12" i="10" a="1"/>
  <c r="I7" i="10" a="1"/>
  <c r="M12" i="10" a="1"/>
  <c r="AK44" i="6"/>
  <c r="AK45" i="6"/>
  <c r="AK46" i="6"/>
  <c r="AK47" i="6"/>
  <c r="AK48" i="6"/>
  <c r="AK49" i="6"/>
  <c r="AK50" i="6"/>
  <c r="AU53" i="6"/>
  <c r="AU54" i="6"/>
  <c r="AU55" i="6"/>
  <c r="AU56" i="6"/>
  <c r="AU57" i="6"/>
  <c r="AU58" i="6"/>
  <c r="AU59" i="6"/>
  <c r="AR77" i="10"/>
  <c r="AU77" i="10" s="1"/>
  <c r="I17" i="10" a="1"/>
  <c r="O26" i="6"/>
  <c r="O27" i="6"/>
  <c r="O28" i="6"/>
  <c r="O29" i="6"/>
  <c r="O30" i="6"/>
  <c r="O31" i="6"/>
  <c r="O32" i="6"/>
  <c r="AA35" i="6"/>
  <c r="AA36" i="6"/>
  <c r="AA37" i="6"/>
  <c r="AA38" i="6"/>
  <c r="AA39" i="6"/>
  <c r="AA40" i="6"/>
  <c r="AA41" i="6"/>
  <c r="AM44" i="6"/>
  <c r="AM45" i="6"/>
  <c r="AM46" i="6"/>
  <c r="AM47" i="6"/>
  <c r="AM48" i="6"/>
  <c r="AM49" i="6"/>
  <c r="AM50" i="6"/>
  <c r="K53" i="6"/>
  <c r="K54" i="6"/>
  <c r="K55" i="6"/>
  <c r="K56" i="6"/>
  <c r="K57" i="6"/>
  <c r="K58" i="6"/>
  <c r="K59" i="6"/>
  <c r="K49" i="9"/>
  <c r="S49" i="9" s="1"/>
  <c r="AL98" i="10"/>
  <c r="AL110" i="10"/>
  <c r="AY35" i="12"/>
  <c r="AY26" i="12"/>
  <c r="V24" i="12"/>
  <c r="AF25" i="12" s="1"/>
  <c r="CM96" i="12"/>
  <c r="CK102" i="12" s="1"/>
  <c r="O18" i="5" s="1"/>
  <c r="CK101" i="12"/>
  <c r="O17" i="5" s="1"/>
  <c r="J16" i="5" s="1"/>
  <c r="E6" i="13" s="1"/>
  <c r="F88" i="13"/>
  <c r="F87" i="13"/>
  <c r="AL81" i="10"/>
  <c r="AL93" i="10"/>
  <c r="AL105" i="10"/>
  <c r="AO36" i="12"/>
  <c r="AO46" i="12" s="1"/>
  <c r="AP27" i="12"/>
  <c r="AO27" i="12"/>
  <c r="AP21" i="12"/>
  <c r="I24" i="12"/>
  <c r="AL76" i="10"/>
  <c r="AL88" i="10"/>
  <c r="AL100" i="10"/>
  <c r="Z47" i="12"/>
  <c r="W36" i="13"/>
  <c r="J36" i="13"/>
  <c r="D72" i="13"/>
  <c r="D74" i="13" s="1"/>
  <c r="Q7" i="10" a="1"/>
  <c r="Q17" i="10"/>
  <c r="Z15" i="10" s="1"/>
  <c r="AL83" i="10"/>
  <c r="AL95" i="10"/>
  <c r="AY27" i="12"/>
  <c r="AZ21" i="12"/>
  <c r="AY36" i="12"/>
  <c r="AZ27" i="12"/>
  <c r="AY20" i="12"/>
  <c r="AY21" i="12"/>
  <c r="V46" i="12"/>
  <c r="AH46" i="12"/>
  <c r="AX46" i="12"/>
  <c r="G73" i="12"/>
  <c r="H77" i="12"/>
  <c r="I77" i="12" s="1"/>
  <c r="J77" i="12" s="1"/>
  <c r="K77" i="12" s="1"/>
  <c r="L77" i="12" s="1"/>
  <c r="M77" i="12" s="1"/>
  <c r="N77" i="12" s="1"/>
  <c r="E72" i="13"/>
  <c r="E74" i="13"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P44" i="13"/>
  <c r="N44" i="13" s="1"/>
  <c r="U44" i="13"/>
  <c r="S44" i="13" s="1"/>
  <c r="S57" i="13" s="1"/>
  <c r="AP26" i="12"/>
  <c r="AO35" i="12"/>
  <c r="AO45" i="12" s="1"/>
  <c r="AZ29" i="12"/>
  <c r="AZ20" i="12"/>
  <c r="AO26" i="12"/>
  <c r="AX47" i="12"/>
  <c r="Z48" i="12"/>
  <c r="CM101" i="12"/>
  <c r="Q17" i="5" s="1"/>
  <c r="L16" i="5" s="1"/>
  <c r="G6" i="13"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D75" i="13"/>
  <c r="Z119" i="13"/>
  <c r="AA120" i="13" s="1"/>
  <c r="AU29" i="12"/>
  <c r="CJ118" i="12"/>
  <c r="E34" i="13"/>
  <c r="C37" i="13"/>
  <c r="AT36" i="12"/>
  <c r="AT46" i="12" s="1"/>
  <c r="D31" i="13"/>
  <c r="F37" i="13"/>
  <c r="P42" i="13"/>
  <c r="N42" i="13" s="1"/>
  <c r="F75" i="13"/>
  <c r="F76" i="13" s="1"/>
  <c r="F77" i="13" s="1"/>
  <c r="F11" i="14"/>
  <c r="D41" i="14"/>
  <c r="H76" i="14"/>
  <c r="CJ120" i="12"/>
  <c r="L30" i="13"/>
  <c r="AU21" i="12"/>
  <c r="O33" i="13"/>
  <c r="M33" i="13" s="1"/>
  <c r="AF84" i="12"/>
  <c r="AG84" i="12" s="1"/>
  <c r="AH84" i="12" s="1"/>
  <c r="AI84" i="12" s="1"/>
  <c r="AJ84" i="12" s="1"/>
  <c r="AK84" i="12" s="1"/>
  <c r="AL84" i="12" s="1"/>
  <c r="AM84" i="12" s="1"/>
  <c r="AN84" i="12" s="1"/>
  <c r="AX84" i="12" s="1"/>
  <c r="AY84" i="12" s="1"/>
  <c r="AZ84" i="12" s="1"/>
  <c r="BA84" i="12" s="1"/>
  <c r="BB84" i="12" s="1"/>
  <c r="L28" i="13"/>
  <c r="F98" i="5" l="1"/>
  <c r="I28" i="5"/>
  <c r="AJ31" i="14"/>
  <c r="AK30" i="14"/>
  <c r="AB30" i="14"/>
  <c r="AC31" i="14"/>
  <c r="AC24" i="14"/>
  <c r="AD25" i="14"/>
  <c r="AJ25" i="14"/>
  <c r="AK24" i="14"/>
  <c r="AD8" i="14"/>
  <c r="AC7" i="14"/>
  <c r="H32" i="14"/>
  <c r="AL7" i="14"/>
  <c r="AL8" i="14" s="1"/>
  <c r="AK8" i="14"/>
  <c r="D42" i="14"/>
  <c r="H80" i="14" s="1"/>
  <c r="I80" i="14" s="1"/>
  <c r="D92" i="14"/>
  <c r="B14" i="15"/>
  <c r="C45" i="15"/>
  <c r="B19" i="15"/>
  <c r="D37" i="5"/>
  <c r="B31" i="15"/>
  <c r="D41" i="5"/>
  <c r="D40" i="5"/>
  <c r="D38" i="5"/>
  <c r="B18" i="15"/>
  <c r="C15" i="15"/>
  <c r="B15" i="15"/>
  <c r="C12" i="15"/>
  <c r="B12" i="15"/>
  <c r="U41" i="5"/>
  <c r="U37" i="5" s="1"/>
  <c r="F37" i="5" s="1"/>
  <c r="J37" i="5" s="1"/>
  <c r="G65" i="5" s="1"/>
  <c r="C13" i="15"/>
  <c r="B13" i="15"/>
  <c r="R41" i="5"/>
  <c r="R42" i="5" s="1"/>
  <c r="P42" i="5" s="1"/>
  <c r="I78" i="5"/>
  <c r="I96" i="5" s="1"/>
  <c r="I95" i="5"/>
  <c r="I71" i="5"/>
  <c r="E97" i="14"/>
  <c r="AU42" i="12"/>
  <c r="CQ137" i="12"/>
  <c r="AT24" i="12"/>
  <c r="AT25" i="12" s="1"/>
  <c r="AT43" i="12"/>
  <c r="AA44" i="12"/>
  <c r="N25" i="12"/>
  <c r="CM137" i="12"/>
  <c r="AP48" i="12"/>
  <c r="AU46" i="12"/>
  <c r="AY25" i="12"/>
  <c r="T73" i="12"/>
  <c r="AP47" i="12"/>
  <c r="V43" i="12"/>
  <c r="AF44" i="12" s="1"/>
  <c r="AP46" i="12"/>
  <c r="H144" i="7"/>
  <c r="F86" i="5"/>
  <c r="F63" i="5"/>
  <c r="F101" i="5"/>
  <c r="T39" i="5"/>
  <c r="R39" i="5"/>
  <c r="H16" i="5"/>
  <c r="H21" i="5" s="1"/>
  <c r="H22" i="5" s="1"/>
  <c r="F39" i="5"/>
  <c r="G39" i="5" s="1"/>
  <c r="I144" i="7"/>
  <c r="C76" i="13"/>
  <c r="C77" i="13" s="1"/>
  <c r="E76" i="13"/>
  <c r="E77" i="13" s="1"/>
  <c r="D76" i="13"/>
  <c r="D77" i="13" s="1"/>
  <c r="J27" i="13"/>
  <c r="W27" i="13"/>
  <c r="F83" i="5"/>
  <c r="J33" i="13"/>
  <c r="I10" i="13" s="1"/>
  <c r="P134" i="7"/>
  <c r="Q134" i="7" s="1"/>
  <c r="Q130" i="7"/>
  <c r="C39" i="13"/>
  <c r="U37" i="13"/>
  <c r="S37" i="13" s="1"/>
  <c r="S54" i="13" s="1"/>
  <c r="P37" i="13"/>
  <c r="N37" i="13" s="1"/>
  <c r="AY46" i="12"/>
  <c r="AZ46" i="12"/>
  <c r="AZ42" i="12"/>
  <c r="AY43" i="12" s="1"/>
  <c r="AY44" i="12" s="1"/>
  <c r="I25" i="12"/>
  <c r="J19" i="10"/>
  <c r="I19" i="10"/>
  <c r="J18" i="10"/>
  <c r="I18" i="10"/>
  <c r="I17" i="10"/>
  <c r="J17" i="10"/>
  <c r="X16" i="10" s="1"/>
  <c r="I61" i="5"/>
  <c r="G34" i="5"/>
  <c r="G28" i="5"/>
  <c r="N7" i="10"/>
  <c r="Y8" i="10" s="1"/>
  <c r="M9" i="10"/>
  <c r="N8" i="10"/>
  <c r="N9" i="10"/>
  <c r="M8" i="10"/>
  <c r="M7" i="10"/>
  <c r="Y7" i="10" s="1"/>
  <c r="F25" i="5" s="1"/>
  <c r="M18" i="10"/>
  <c r="M17" i="10"/>
  <c r="N19" i="10"/>
  <c r="M19" i="10"/>
  <c r="N17" i="10"/>
  <c r="Y16" i="10" s="1"/>
  <c r="N18" i="10"/>
  <c r="H28" i="14"/>
  <c r="H27" i="14"/>
  <c r="H25" i="14"/>
  <c r="H30" i="14"/>
  <c r="H26" i="14"/>
  <c r="H31" i="14"/>
  <c r="H29" i="14"/>
  <c r="U34" i="13"/>
  <c r="S34" i="13" s="1"/>
  <c r="S53" i="13" s="1"/>
  <c r="P34" i="13"/>
  <c r="N34" i="13" s="1"/>
  <c r="BO61" i="12"/>
  <c r="Q13" i="10"/>
  <c r="Q12" i="10"/>
  <c r="R14" i="10"/>
  <c r="Q14" i="10"/>
  <c r="R13" i="10"/>
  <c r="R12" i="10"/>
  <c r="F22" i="5"/>
  <c r="I14" i="10"/>
  <c r="I13" i="10"/>
  <c r="J12" i="10"/>
  <c r="I12" i="10"/>
  <c r="J14" i="10"/>
  <c r="J13" i="10"/>
  <c r="AA27" i="13"/>
  <c r="AA30" i="13"/>
  <c r="AA39" i="13"/>
  <c r="AA36" i="13"/>
  <c r="AA33" i="13"/>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L15" i="5"/>
  <c r="L21" i="5" s="1"/>
  <c r="K21" i="5"/>
  <c r="Q9" i="10"/>
  <c r="R8" i="10"/>
  <c r="Q8" i="10"/>
  <c r="R7" i="10"/>
  <c r="Z8" i="10" s="1"/>
  <c r="Q7" i="10"/>
  <c r="Z7" i="10" s="1"/>
  <c r="F27" i="5" s="1"/>
  <c r="R9" i="10"/>
  <c r="AY45" i="12"/>
  <c r="AZ45" i="12"/>
  <c r="J9" i="10"/>
  <c r="I9" i="10"/>
  <c r="J8" i="10"/>
  <c r="I8" i="10"/>
  <c r="J7" i="10"/>
  <c r="X8" i="10" s="1"/>
  <c r="I7" i="10"/>
  <c r="J21" i="5"/>
  <c r="U31" i="13"/>
  <c r="S31" i="13" s="1"/>
  <c r="S52" i="13" s="1"/>
  <c r="P31" i="13"/>
  <c r="N31" i="13" s="1"/>
  <c r="F8" i="10"/>
  <c r="F7" i="10"/>
  <c r="W8" i="10" s="1"/>
  <c r="E7" i="10"/>
  <c r="F9" i="10"/>
  <c r="E9" i="10"/>
  <c r="E8" i="10"/>
  <c r="BB51" i="8"/>
  <c r="BA51" i="8"/>
  <c r="J144" i="7"/>
  <c r="G41" i="14"/>
  <c r="G42" i="14" s="1"/>
  <c r="L134" i="7"/>
  <c r="K144" i="7"/>
  <c r="S41" i="5"/>
  <c r="S42" i="5" s="1"/>
  <c r="H86" i="14"/>
  <c r="Y39" i="13"/>
  <c r="Y36" i="13"/>
  <c r="Y33" i="13"/>
  <c r="Y27" i="13"/>
  <c r="Y30" i="13"/>
  <c r="F14" i="10"/>
  <c r="E14" i="10"/>
  <c r="E13" i="10"/>
  <c r="F12" i="10"/>
  <c r="F13" i="10"/>
  <c r="E12" i="10"/>
  <c r="E19" i="10"/>
  <c r="E18" i="10"/>
  <c r="F17" i="10"/>
  <c r="W16" i="10" s="1"/>
  <c r="E17" i="10"/>
  <c r="F19" i="10"/>
  <c r="F18" i="10"/>
  <c r="H77" i="14"/>
  <c r="I77" i="14" s="1"/>
  <c r="I76" i="14"/>
  <c r="AT44" i="12"/>
  <c r="AP45" i="12"/>
  <c r="T37" i="5"/>
  <c r="S37" i="5"/>
  <c r="R37" i="5"/>
  <c r="I8" i="13" l="1"/>
  <c r="AL30" i="14"/>
  <c r="AL31" i="14" s="1"/>
  <c r="AK31" i="14"/>
  <c r="AC8" i="14"/>
  <c r="AB7" i="14"/>
  <c r="AK25" i="14"/>
  <c r="AL24" i="14"/>
  <c r="AL25" i="14" s="1"/>
  <c r="AB24" i="14"/>
  <c r="AC25" i="14"/>
  <c r="AB31" i="14"/>
  <c r="AA30" i="14"/>
  <c r="H81" i="14"/>
  <c r="H82" i="14" s="1"/>
  <c r="I82" i="14" s="1"/>
  <c r="I39" i="5"/>
  <c r="J39" i="5" s="1"/>
  <c r="G37" i="5"/>
  <c r="I37" i="5"/>
  <c r="F65" i="5" s="1"/>
  <c r="K37" i="5"/>
  <c r="H65" i="5" s="1"/>
  <c r="U42" i="5"/>
  <c r="F42" i="5" s="1"/>
  <c r="I42" i="5" s="1"/>
  <c r="F80" i="5" s="1"/>
  <c r="U38" i="5"/>
  <c r="U40" i="5"/>
  <c r="F41" i="5"/>
  <c r="H41" i="5" s="1"/>
  <c r="H39" i="5"/>
  <c r="H25" i="5"/>
  <c r="P41" i="5"/>
  <c r="L37" i="5"/>
  <c r="I65" i="5" s="1"/>
  <c r="H37" i="5"/>
  <c r="F33"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J22" i="5"/>
  <c r="J25" i="5"/>
  <c r="J27" i="5"/>
  <c r="J24" i="5"/>
  <c r="H34" i="5"/>
  <c r="H28" i="5"/>
  <c r="K22" i="5"/>
  <c r="K27" i="5"/>
  <c r="K24" i="5"/>
  <c r="K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K26" i="5" s="1"/>
  <c r="O50" i="10"/>
  <c r="O64" i="10"/>
  <c r="O28" i="10"/>
  <c r="O40" i="10"/>
  <c r="O38" i="10"/>
  <c r="L25" i="5"/>
  <c r="L26" i="5"/>
  <c r="L22" i="5"/>
  <c r="L27" i="5"/>
  <c r="U39" i="13"/>
  <c r="P39" i="13"/>
  <c r="N39" i="13" s="1"/>
  <c r="G27" i="5"/>
  <c r="G33" i="5" s="1"/>
  <c r="I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F28" i="5"/>
  <c r="F34" i="5"/>
  <c r="AJ110" i="10"/>
  <c r="AJ98" i="10"/>
  <c r="AJ86" i="10"/>
  <c r="AJ103" i="10"/>
  <c r="AJ91" i="10"/>
  <c r="AJ79" i="10"/>
  <c r="AJ108" i="10"/>
  <c r="AJ96" i="10"/>
  <c r="AJ101" i="10"/>
  <c r="AJ89" i="10"/>
  <c r="AJ77" i="10"/>
  <c r="Y15" i="10"/>
  <c r="F31" i="5" s="1"/>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H27" i="5"/>
  <c r="F67" i="5"/>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G25" i="5"/>
  <c r="I25" i="5"/>
  <c r="Y9" i="10"/>
  <c r="I81" i="14" l="1"/>
  <c r="AB8" i="14"/>
  <c r="S19" i="14"/>
  <c r="S18" i="14" s="1"/>
  <c r="AA7" i="14"/>
  <c r="Z30" i="14"/>
  <c r="AA31" i="14"/>
  <c r="AB25" i="14"/>
  <c r="AA24" i="14"/>
  <c r="I41" i="5"/>
  <c r="F79" i="5" s="1"/>
  <c r="G42" i="5"/>
  <c r="K42" i="5"/>
  <c r="H80" i="5" s="1"/>
  <c r="L42" i="5"/>
  <c r="I80" i="5" s="1"/>
  <c r="J42" i="5"/>
  <c r="G80" i="5" s="1"/>
  <c r="H42" i="5"/>
  <c r="J41" i="5"/>
  <c r="G79" i="5" s="1"/>
  <c r="K41" i="5"/>
  <c r="H79" i="5" s="1"/>
  <c r="G41" i="5"/>
  <c r="F40" i="5"/>
  <c r="T40" i="5"/>
  <c r="R40" i="5"/>
  <c r="S40" i="5"/>
  <c r="L41" i="5"/>
  <c r="I79" i="5" s="1"/>
  <c r="F38" i="5"/>
  <c r="R38" i="5"/>
  <c r="T38" i="5"/>
  <c r="S38" i="5"/>
  <c r="D86" i="14"/>
  <c r="D87" i="14" s="1"/>
  <c r="D96" i="14" s="1"/>
  <c r="D101" i="14" s="1"/>
  <c r="K32" i="5"/>
  <c r="H100" i="5"/>
  <c r="H97" i="5" s="1"/>
  <c r="H85" i="5"/>
  <c r="K39" i="5"/>
  <c r="G67" i="5"/>
  <c r="Z10" i="10"/>
  <c r="Z17" i="10"/>
  <c r="Z18" i="10" s="1"/>
  <c r="L31" i="5"/>
  <c r="I88" i="5"/>
  <c r="I102" i="5"/>
  <c r="BQ61" i="12"/>
  <c r="H89" i="14"/>
  <c r="F96" i="14" s="1"/>
  <c r="K31" i="5"/>
  <c r="H88" i="5"/>
  <c r="H102" i="5"/>
  <c r="AJ75" i="12"/>
  <c r="Z77" i="12"/>
  <c r="AA77" i="12" s="1"/>
  <c r="AB77" i="12" s="1"/>
  <c r="AC77" i="12" s="1"/>
  <c r="AD77" i="12" s="1"/>
  <c r="AI73" i="12"/>
  <c r="K30" i="5"/>
  <c r="H84" i="5"/>
  <c r="H89" i="5" s="1"/>
  <c r="H99" i="5"/>
  <c r="J30" i="5"/>
  <c r="G84" i="5"/>
  <c r="G89" i="5" s="1"/>
  <c r="G99" i="5"/>
  <c r="X39" i="13"/>
  <c r="S39" i="13"/>
  <c r="S55" i="13" s="1"/>
  <c r="K33" i="5"/>
  <c r="H87" i="5"/>
  <c r="J33" i="5"/>
  <c r="G87" i="5"/>
  <c r="K34" i="5"/>
  <c r="H83" i="5"/>
  <c r="K28" i="5"/>
  <c r="H98" i="5"/>
  <c r="H63" i="5"/>
  <c r="J31" i="5"/>
  <c r="G88" i="5"/>
  <c r="G102" i="5"/>
  <c r="Y10" i="10"/>
  <c r="Y17" i="10"/>
  <c r="Y18" i="10" s="1"/>
  <c r="H31" i="5"/>
  <c r="J34" i="5"/>
  <c r="G98" i="5"/>
  <c r="J28" i="5"/>
  <c r="G83" i="5"/>
  <c r="G63" i="5"/>
  <c r="I31" i="5"/>
  <c r="F102" i="5"/>
  <c r="F88" i="5"/>
  <c r="AU3" i="10"/>
  <c r="AW3" i="10" s="1"/>
  <c r="W12" i="10"/>
  <c r="I26" i="5"/>
  <c r="W9" i="10"/>
  <c r="G26" i="5"/>
  <c r="G32" i="5" s="1"/>
  <c r="H26" i="5"/>
  <c r="F26" i="5"/>
  <c r="J26" i="5"/>
  <c r="G31" i="5"/>
  <c r="H33" i="5"/>
  <c r="L33" i="5"/>
  <c r="I87" i="5"/>
  <c r="AU4" i="10"/>
  <c r="AW4" i="10" s="1"/>
  <c r="X12" i="10"/>
  <c r="X9" i="10"/>
  <c r="G24" i="5"/>
  <c r="G30" i="5" s="1"/>
  <c r="I24" i="5"/>
  <c r="H24" i="5"/>
  <c r="F24" i="5"/>
  <c r="I83" i="5"/>
  <c r="L28" i="5"/>
  <c r="L34" i="5"/>
  <c r="I63" i="5"/>
  <c r="I98" i="5"/>
  <c r="L32" i="5"/>
  <c r="I100" i="5"/>
  <c r="I97" i="5" s="1"/>
  <c r="I85" i="5"/>
  <c r="I33" i="5"/>
  <c r="F87" i="5"/>
  <c r="L24" i="5"/>
  <c r="C101" i="14"/>
  <c r="G96" i="14"/>
  <c r="BB53" i="8"/>
  <c r="BA53" i="8"/>
  <c r="Z7" i="14" l="1"/>
  <c r="AA8" i="14"/>
  <c r="AA25" i="14"/>
  <c r="Z24" i="14"/>
  <c r="F86" i="14"/>
  <c r="Y30" i="14"/>
  <c r="Z31" i="14"/>
  <c r="I38" i="5"/>
  <c r="G38" i="5"/>
  <c r="H38" i="5"/>
  <c r="H40" i="5"/>
  <c r="I40" i="5"/>
  <c r="J40" i="5" s="1"/>
  <c r="K40" i="5" s="1"/>
  <c r="L40" i="5" s="1"/>
  <c r="G40" i="5"/>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H32" i="5"/>
  <c r="F95" i="5"/>
  <c r="F78" i="5"/>
  <c r="F96" i="5" s="1"/>
  <c r="F71" i="5"/>
  <c r="X17" i="10"/>
  <c r="X18" i="10" s="1"/>
  <c r="X10" i="10"/>
  <c r="X20" i="10"/>
  <c r="I32" i="5"/>
  <c r="F100" i="5"/>
  <c r="F97" i="5" s="1"/>
  <c r="F85" i="5"/>
  <c r="G86" i="5"/>
  <c r="G101" i="5"/>
  <c r="F32" i="5"/>
  <c r="W20" i="10"/>
  <c r="W17" i="10"/>
  <c r="W18" i="10" s="1"/>
  <c r="W10" i="10"/>
  <c r="F101" i="14"/>
  <c r="Y25" i="9"/>
  <c r="Y21" i="9"/>
  <c r="Y23" i="9"/>
  <c r="Y24" i="9"/>
  <c r="Y22" i="9"/>
  <c r="Y26" i="9"/>
  <c r="BB54" i="8"/>
  <c r="BA54" i="8"/>
  <c r="H30" i="5"/>
  <c r="I30" i="5"/>
  <c r="F99" i="5"/>
  <c r="F84" i="5"/>
  <c r="F89" i="5" s="1"/>
  <c r="L30" i="5"/>
  <c r="I84" i="5"/>
  <c r="I89" i="5" s="1"/>
  <c r="I99" i="5"/>
  <c r="L39" i="5"/>
  <c r="I67" i="5" s="1"/>
  <c r="H67" i="5"/>
  <c r="I101" i="5"/>
  <c r="I86" i="5"/>
  <c r="BR61" i="12"/>
  <c r="H86" i="5"/>
  <c r="H101" i="5"/>
  <c r="AK75" i="12"/>
  <c r="AJ76" i="12"/>
  <c r="AJ77" i="12"/>
  <c r="J32" i="5"/>
  <c r="G85" i="5"/>
  <c r="G100" i="5"/>
  <c r="G97" i="5" s="1"/>
  <c r="F64" i="5"/>
  <c r="D88" i="14"/>
  <c r="F87" i="14"/>
  <c r="I90" i="5"/>
  <c r="I82" i="5"/>
  <c r="H90" i="5"/>
  <c r="H82" i="5"/>
  <c r="F30" i="5"/>
  <c r="G101" i="14"/>
  <c r="H96" i="14"/>
  <c r="X30" i="14" l="1"/>
  <c r="Y31" i="14"/>
  <c r="Z25" i="14"/>
  <c r="Y24" i="14"/>
  <c r="Z8" i="14"/>
  <c r="Y7" i="14"/>
  <c r="I93" i="5"/>
  <c r="G93" i="5"/>
  <c r="G64" i="5" s="1"/>
  <c r="H93" i="5"/>
  <c r="F66" i="5"/>
  <c r="J38" i="5"/>
  <c r="AK77" i="12"/>
  <c r="AK76" i="12"/>
  <c r="AL75" i="12"/>
  <c r="G90" i="5"/>
  <c r="G82" i="5"/>
  <c r="BB55" i="8"/>
  <c r="BA55" i="8"/>
  <c r="BS61" i="12"/>
  <c r="F82" i="5"/>
  <c r="F90" i="5"/>
  <c r="F88" i="14"/>
  <c r="D89" i="14"/>
  <c r="F89" i="14" s="1"/>
  <c r="Y25" i="14" l="1"/>
  <c r="X24" i="14"/>
  <c r="Y8" i="14"/>
  <c r="X7" i="14"/>
  <c r="W30" i="14"/>
  <c r="X31" i="14"/>
  <c r="H92" i="5"/>
  <c r="H64" i="5" s="1"/>
  <c r="K38" i="5"/>
  <c r="G66" i="5"/>
  <c r="AL76" i="12"/>
  <c r="AM75" i="12"/>
  <c r="AL77" i="12"/>
  <c r="BT61" i="12"/>
  <c r="BB56" i="8"/>
  <c r="BA56" i="8"/>
  <c r="X25" i="14" l="1"/>
  <c r="W24" i="14"/>
  <c r="W31" i="14"/>
  <c r="V30" i="14"/>
  <c r="X8" i="14"/>
  <c r="W7" i="14"/>
  <c r="I92" i="5"/>
  <c r="I64" i="5" s="1"/>
  <c r="H66" i="5"/>
  <c r="L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tara</author>
    <author>Bruno Merven</author>
    <author>tc={0D627D3F-34ED-4758-AC67-0E90CB6B0E40}</author>
    <author>tc={6CE4519E-0EE1-488E-A0B3-B71572AE46A3}</author>
    <author>tc={236D160B-E3F3-4CAB-BD5D-E1A4522413EE}</author>
    <author>tc={8174276F-65FB-480C-9C32-A6C3A60A2E75}</author>
    <author>tc={54934D05-AB8B-43EA-94D5-DA4230739148}</author>
    <author>tc={6A82080C-3A46-4F98-A8BB-1FF2F957BEF2}</author>
  </authors>
  <commentList>
    <comment ref="F15" authorId="0" shapeId="0" xr:uid="{CF3A3D7D-C424-412B-B30B-5CBA4B113DD9}">
      <text>
        <r>
          <rPr>
            <b/>
            <sz val="9"/>
            <color indexed="81"/>
            <rFont val="Tahoma"/>
            <family val="2"/>
          </rPr>
          <t>bruno merven:</t>
        </r>
        <r>
          <rPr>
            <sz val="9"/>
            <color indexed="81"/>
            <rFont val="Tahoma"/>
            <family val="2"/>
          </rPr>
          <t xml:space="preserve">
See ExchangeRate_Currency_Deflator_v00.xlsx workbook. It is quite close to the 11.55 used in section 2.2, pg. 10 of Integrated Resource Plan Update - November 2016</t>
        </r>
      </text>
    </comment>
    <comment ref="H16" authorId="1" shapeId="0" xr:uid="{2D1D7146-8A66-43C6-9171-CD913144BC9D}">
      <text>
        <r>
          <rPr>
            <b/>
            <sz val="9"/>
            <color indexed="81"/>
            <rFont val="Tahoma"/>
            <family val="2"/>
          </rPr>
          <t>tara:</t>
        </r>
        <r>
          <rPr>
            <sz val="9"/>
            <color indexed="81"/>
            <rFont val="Tahoma"/>
            <family val="2"/>
          </rPr>
          <t xml:space="preserve">
Just interpolated for now, can update</t>
        </r>
      </text>
    </comment>
    <comment ref="A28" authorId="0"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0"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0"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0"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0"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G60" authorId="5" shapeId="0" xr:uid="{236D160B-E3F3-4CAB-BD5D-E1A4522413EE}">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t>
      </text>
    </comment>
    <comment ref="B64" authorId="0"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6"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7"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0"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0"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70" authorId="2" shapeId="0" xr:uid="{CE33FC03-4E08-4DEC-9A23-FD38815F0DA7}">
      <text>
        <r>
          <rPr>
            <b/>
            <sz val="8"/>
            <color indexed="81"/>
            <rFont val="Tahoma"/>
            <family val="2"/>
          </rPr>
          <t>Bruno Merven:</t>
        </r>
        <r>
          <rPr>
            <sz val="8"/>
            <color indexed="81"/>
            <rFont val="Tahoma"/>
            <family val="2"/>
          </rPr>
          <t xml:space="preserve">
IRP 2010</t>
        </r>
      </text>
    </comment>
    <comment ref="K73" authorId="0"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0" authorId="0"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K87" authorId="8" shapeId="0" xr:uid="{6A82080C-3A46-4F98-A8BB-1FF2F957BEF2}">
      <text>
        <t>[Threaded comment]
Your version of Excel allows you to read this threaded comment; however, any edits to it will get removed if the file is opened in a newer version of Excel. Learn more: https://go.microsoft.com/fwlink/?linkid=870924
Comment:
    .56 added to avoid zzs</t>
      </text>
    </comment>
    <comment ref="A94" authorId="0"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K6" authorId="0" shapeId="0" xr:uid="{00000000-0006-0000-1D00-000007000000}">
      <text>
        <r>
          <rPr>
            <b/>
            <sz val="9"/>
            <color indexed="81"/>
            <rFont val="Tahoma"/>
            <family val="2"/>
          </rPr>
          <t>bruno merven:</t>
        </r>
        <r>
          <rPr>
            <sz val="9"/>
            <color indexed="81"/>
            <rFont val="Tahoma"/>
            <family val="2"/>
          </rPr>
          <t xml:space="preserve">
this may need a closer look 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Darryl Hunt</author>
    <author>fadiel</author>
    <author>Alison hughes</author>
    <author>bruno merven</author>
    <author>01418624</author>
  </authors>
  <commentList>
    <comment ref="K21" authorId="0" shapeId="0" xr:uid="{19829B75-686A-40CD-98FA-FFA63EB1B18C}">
      <text>
        <r>
          <rPr>
            <b/>
            <sz val="9"/>
            <color indexed="81"/>
            <rFont val="Tahoma"/>
            <family val="2"/>
          </rPr>
          <t>Darryl Hunt:</t>
        </r>
        <r>
          <rPr>
            <sz val="9"/>
            <color indexed="81"/>
            <rFont val="Tahoma"/>
            <family val="2"/>
          </rPr>
          <t xml:space="preserve">
2012 FID (Final Investment Decision) + Construction = RFSU (Ready for Start-up)</t>
        </r>
      </text>
    </comment>
    <comment ref="L21" authorId="1" shapeId="0" xr:uid="{D45CB4E1-9CF4-4C34-A646-A0740851F412}">
      <text>
        <r>
          <rPr>
            <b/>
            <sz val="9"/>
            <color indexed="81"/>
            <rFont val="Tahoma"/>
            <family val="2"/>
          </rPr>
          <t>fadiel:</t>
        </r>
        <r>
          <rPr>
            <sz val="9"/>
            <color indexed="81"/>
            <rFont val="Tahoma"/>
            <family val="2"/>
          </rPr>
          <t xml:space="preserve">
guess
</t>
        </r>
      </text>
    </comment>
    <comment ref="K25" authorId="0" shapeId="0" xr:uid="{B402783A-C4B4-48FE-907A-CC67DE666CC2}">
      <text>
        <r>
          <rPr>
            <b/>
            <sz val="9"/>
            <color indexed="81"/>
            <rFont val="Tahoma"/>
            <family val="2"/>
          </rPr>
          <t>Darryl Hunt:</t>
        </r>
        <r>
          <rPr>
            <sz val="9"/>
            <color indexed="81"/>
            <rFont val="Tahoma"/>
            <family val="2"/>
          </rPr>
          <t xml:space="preserve">
2012 FID (Final Investment Decision) + Construction = RFSU (Ready for Start-up)</t>
        </r>
      </text>
    </comment>
    <comment ref="F39" authorId="2" shapeId="0" xr:uid="{3A2D8E87-3335-437E-B3DD-3BEAA278F7C0}">
      <text>
        <r>
          <rPr>
            <b/>
            <sz val="9"/>
            <color indexed="81"/>
            <rFont val="Calibri"/>
            <family val="2"/>
          </rPr>
          <t>Alison hughes:</t>
        </r>
        <r>
          <rPr>
            <sz val="9"/>
            <color indexed="81"/>
            <rFont val="Calibri"/>
            <family val="2"/>
          </rPr>
          <t xml:space="preserve">
0.8 2015-2018</t>
        </r>
      </text>
    </comment>
    <comment ref="G60" authorId="3" shapeId="0" xr:uid="{9F10BD33-E585-49EF-BA86-6845D0722A2B}">
      <text>
        <r>
          <rPr>
            <b/>
            <sz val="9"/>
            <color indexed="81"/>
            <rFont val="Tahoma"/>
            <family val="2"/>
          </rPr>
          <t>bruno merven:</t>
        </r>
        <r>
          <rPr>
            <sz val="9"/>
            <color indexed="81"/>
            <rFont val="Tahoma"/>
            <family val="2"/>
          </rPr>
          <t xml:space="preserve">
assuming that the same plant could source gas initially from a floating terminal and then later a permanent one</t>
        </r>
      </text>
    </comment>
    <comment ref="B68" authorId="2" shapeId="0" xr:uid="{6ACDDE91-D935-4F12-983E-1C1971095E43}">
      <text>
        <r>
          <rPr>
            <b/>
            <sz val="9"/>
            <color indexed="81"/>
            <rFont val="Calibri"/>
            <family val="2"/>
          </rPr>
          <t>Alison hughes:</t>
        </r>
        <r>
          <rPr>
            <sz val="9"/>
            <color indexed="81"/>
            <rFont val="Calibri"/>
            <family val="2"/>
          </rPr>
          <t xml:space="preserve">
pipeline can supply 1600GW at 90% load factor
</t>
        </r>
      </text>
    </comment>
    <comment ref="C78" authorId="4" shapeId="0" xr:uid="{8AD82B8B-B86F-4522-99EC-89DDEC6F3591}">
      <text>
        <r>
          <rPr>
            <b/>
            <sz val="9"/>
            <color indexed="81"/>
            <rFont val="Tahoma"/>
            <family val="2"/>
          </rPr>
          <t>Senatla:</t>
        </r>
        <r>
          <rPr>
            <sz val="9"/>
            <color indexed="81"/>
            <rFont val="Tahoma"/>
            <family val="2"/>
          </rPr>
          <t xml:space="preserve">
changed from 40 to 80 depending on Dodds Finding</t>
        </r>
      </text>
    </comment>
    <comment ref="D78" authorId="4" shapeId="0" xr:uid="{88EFB15C-2CC1-46C8-8BCB-DB9737760F06}">
      <text>
        <r>
          <rPr>
            <b/>
            <sz val="9"/>
            <color indexed="81"/>
            <rFont val="Tahoma"/>
            <family val="2"/>
          </rPr>
          <t>Senatla:</t>
        </r>
        <r>
          <rPr>
            <sz val="9"/>
            <color indexed="81"/>
            <rFont val="Tahoma"/>
            <family val="2"/>
          </rPr>
          <t xml:space="preserve">
changed from 40 to 80 depending on Dodds Finding</t>
        </r>
      </text>
    </comment>
    <comment ref="E78" authorId="4" shapeId="0" xr:uid="{9E0FA834-F03F-4DE7-A7B6-8DB28365DAD6}">
      <text>
        <r>
          <rPr>
            <b/>
            <sz val="9"/>
            <color indexed="81"/>
            <rFont val="Tahoma"/>
            <family val="2"/>
          </rPr>
          <t>Senatla:</t>
        </r>
        <r>
          <rPr>
            <sz val="9"/>
            <color indexed="81"/>
            <rFont val="Tahoma"/>
            <family val="2"/>
          </rPr>
          <t xml:space="preserve">
changed from 40 to 80 depending on Dodds Finding</t>
        </r>
      </text>
    </comment>
    <comment ref="G79" authorId="3" shapeId="0" xr:uid="{7C5B3D62-05B0-46F8-9BA7-3D6A448BD987}">
      <text>
        <r>
          <rPr>
            <b/>
            <sz val="9"/>
            <color indexed="81"/>
            <rFont val="Tahoma"/>
            <family val="2"/>
          </rPr>
          <t>bruno merven:</t>
        </r>
        <r>
          <rPr>
            <sz val="9"/>
            <color indexed="81"/>
            <rFont val="Tahoma"/>
            <family val="2"/>
          </rPr>
          <t xml:space="preserve">
assuming the 400 million includes finance chages (IDC)</t>
        </r>
      </text>
    </comment>
    <comment ref="G83" authorId="2" shapeId="0" xr:uid="{64843B63-1306-4254-B9DF-893A2C0390BF}">
      <text>
        <r>
          <rPr>
            <b/>
            <sz val="9"/>
            <color indexed="81"/>
            <rFont val="Calibri"/>
            <family val="2"/>
          </rPr>
          <t>Alison hughes:</t>
        </r>
        <r>
          <rPr>
            <sz val="9"/>
            <color indexed="81"/>
            <rFont val="Calibri"/>
            <family val="2"/>
          </rPr>
          <t xml:space="preserve">
number from IPCC guidelines for natural gas</t>
        </r>
      </text>
    </comment>
    <comment ref="AA105" authorId="3" shapeId="0" xr:uid="{E4F19F9A-64ED-43DD-AE95-6F37BACAA594}">
      <text>
        <r>
          <rPr>
            <b/>
            <sz val="9"/>
            <color indexed="81"/>
            <rFont val="Tahoma"/>
            <family val="2"/>
          </rPr>
          <t>bruno merven:</t>
        </r>
        <r>
          <rPr>
            <sz val="9"/>
            <color indexed="81"/>
            <rFont val="Tahoma"/>
            <family val="2"/>
          </rPr>
          <t xml:space="preserve">
overnight cost calculated by taking out IDC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Alison hughes</author>
    <author>bruno merven</author>
  </authors>
  <commentList>
    <comment ref="B6" authorId="0" shapeId="0" xr:uid="{C8C61FE9-4931-4346-91B5-85243D675628}">
      <text>
        <r>
          <rPr>
            <b/>
            <sz val="9"/>
            <color indexed="81"/>
            <rFont val="Calibri"/>
            <family val="2"/>
          </rPr>
          <t>Alison hughes:</t>
        </r>
        <r>
          <rPr>
            <sz val="9"/>
            <color indexed="81"/>
            <rFont val="Calibri"/>
            <family val="2"/>
          </rPr>
          <t xml:space="preserve">
pipeline can supply 1600GW at 90% load factor
</t>
        </r>
      </text>
    </comment>
    <comment ref="E13" authorId="1" shapeId="0" xr:uid="{1EE1FC5B-D27C-4599-AB11-3A0106933956}">
      <text>
        <r>
          <rPr>
            <b/>
            <sz val="9"/>
            <color indexed="81"/>
            <rFont val="Tahoma"/>
            <family val="2"/>
          </rPr>
          <t>bruno merven:</t>
        </r>
        <r>
          <rPr>
            <sz val="9"/>
            <color indexed="81"/>
            <rFont val="Tahoma"/>
            <family val="2"/>
          </rPr>
          <t xml:space="preserve">
assuming the 400 million includes finance chages (IDC)</t>
        </r>
      </text>
    </comment>
    <comment ref="E17" authorId="0" shapeId="0" xr:uid="{C916DC1F-319A-4DD2-8065-4CBFFF99C359}">
      <text>
        <r>
          <rPr>
            <b/>
            <sz val="9"/>
            <color indexed="81"/>
            <rFont val="Calibri"/>
            <family val="2"/>
          </rPr>
          <t>Alison hughes:</t>
        </r>
        <r>
          <rPr>
            <sz val="9"/>
            <color indexed="81"/>
            <rFont val="Calibri"/>
            <family val="2"/>
          </rPr>
          <t xml:space="preserve">
number from IPCC guidelines for natural gas</t>
        </r>
      </text>
    </comment>
  </commentList>
</comments>
</file>

<file path=xl/sharedStrings.xml><?xml version="1.0" encoding="utf-8"?>
<sst xmlns="http://schemas.openxmlformats.org/spreadsheetml/2006/main" count="3160" uniqueCount="1383">
  <si>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</si>
  <si>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</si>
  <si>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</si>
  <si>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</si>
  <si>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</si>
  <si>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</si>
  <si>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</si>
  <si>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</si>
  <si>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</si>
  <si>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</si>
  <si>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</si>
  <si>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</si>
  <si>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</si>
  <si>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</si>
  <si>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</si>
  <si>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</si>
  <si>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</si>
  <si>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</si>
  <si>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</si>
  <si>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</si>
  <si>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</si>
  <si>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</si>
  <si>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</si>
  <si>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</si>
  <si>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</si>
  <si>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</si>
  <si>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</si>
  <si>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</si>
  <si>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</si>
  <si>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</si>
  <si>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</si>
  <si>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</si>
  <si>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</si>
  <si>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</si>
  <si>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</si>
  <si>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</si>
  <si>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</si>
  <si>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</si>
  <si>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</si>
  <si>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</si>
  <si>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</si>
  <si>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</si>
  <si>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</si>
  <si>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</si>
  <si>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</si>
  <si>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</si>
  <si>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</si>
  <si>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</si>
  <si>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</si>
  <si>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</si>
  <si>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</si>
  <si>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</si>
  <si>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</si>
  <si>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</si>
  <si>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</si>
  <si>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</si>
  <si>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</si>
  <si>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</si>
  <si>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</si>
  <si>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</si>
  <si>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</si>
  <si>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</si>
  <si>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</si>
  <si>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</si>
  <si>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</si>
  <si>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</si>
  <si>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</si>
  <si>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</si>
  <si>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</si>
  <si>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</si>
  <si>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</si>
  <si>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</si>
  <si>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</si>
  <si>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</si>
  <si>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</si>
  <si>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</si>
  <si>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</si>
  <si>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</si>
  <si>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</si>
  <si>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</si>
  <si>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</si>
  <si>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</si>
  <si>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</si>
  <si>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</si>
  <si>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</si>
  <si>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</si>
  <si>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</si>
  <si>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</si>
  <si>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</si>
  <si>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</si>
  <si>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</si>
  <si>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</si>
  <si>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</si>
  <si>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</si>
  <si>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</si>
  <si>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</si>
  <si>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</si>
  <si>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</si>
  <si>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</si>
  <si>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</si>
  <si>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</si>
  <si>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</si>
  <si>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</si>
  <si>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</si>
  <si>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</si>
  <si>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</si>
  <si>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</si>
  <si>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</si>
  <si>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</si>
  <si>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</si>
  <si>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</si>
  <si>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</si>
  <si>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</si>
  <si>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</si>
  <si>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</si>
  <si>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</si>
  <si>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</si>
  <si>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</si>
  <si>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</si>
  <si>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</si>
  <si>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</si>
  <si>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</si>
  <si>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</si>
  <si>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</si>
  <si>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</si>
  <si>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</si>
  <si>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</si>
  <si>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</si>
  <si>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</si>
  <si>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</si>
  <si>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</si>
  <si>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</si>
  <si>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</si>
  <si>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Source GHG: IPPC National GHG Guideline 2006 - kTon/PJ = ton/TJ</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</si>
  <si>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</si>
  <si>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</si>
  <si>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</si>
  <si>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</si>
  <si>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</si>
  <si>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</si>
  <si>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</si>
  <si>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</si>
  <si>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</si>
  <si>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</si>
  <si>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</si>
  <si>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</si>
  <si>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</si>
  <si>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</si>
  <si>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</si>
  <si>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</si>
  <si>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</si>
  <si>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</si>
  <si>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</si>
  <si>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</si>
  <si>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</si>
  <si>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</si>
  <si>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</si>
  <si>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</si>
  <si>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</si>
  <si>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</si>
  <si>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</si>
  <si>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</si>
  <si>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</si>
  <si>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</si>
  <si>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</si>
  <si>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</si>
  <si>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</si>
  <si>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</si>
  <si>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</si>
  <si>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</si>
  <si>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</si>
  <si>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</si>
  <si>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</si>
  <si>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</si>
  <si>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</si>
  <si>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</si>
  <si>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</si>
  <si>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</si>
  <si>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</si>
  <si>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</si>
  <si>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</si>
  <si>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</si>
  <si>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</si>
  <si>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</si>
  <si>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</si>
  <si>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</si>
  <si>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</si>
  <si>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</si>
  <si>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</si>
  <si>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</si>
  <si>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</si>
  <si>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</si>
  <si>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</si>
  <si>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</si>
  <si>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</si>
  <si>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</si>
  <si>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</si>
  <si>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</si>
  <si>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</si>
  <si>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</si>
  <si>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</si>
  <si>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</si>
  <si>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</si>
  <si>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</si>
  <si>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</si>
  <si>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</si>
  <si>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</si>
  <si>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</si>
  <si>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</si>
  <si>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</si>
  <si>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</si>
  <si>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</si>
  <si>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</si>
  <si>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</si>
  <si>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</si>
  <si>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</si>
  <si>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</si>
  <si>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</si>
  <si>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</si>
  <si>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</si>
  <si>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</si>
  <si>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</si>
  <si>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</si>
  <si>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</si>
  <si>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</si>
  <si>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</si>
  <si>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</si>
  <si>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</si>
  <si>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</si>
  <si>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</si>
  <si>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</si>
  <si>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</si>
  <si>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</si>
  <si>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</si>
  <si>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</si>
  <si>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</si>
  <si>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</si>
  <si>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</si>
  <si>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</si>
  <si>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</si>
  <si>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</si>
  <si>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</si>
  <si>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</si>
  <si>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</si>
  <si>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Alternative Oil Price Scenarios (2019 USD)</t>
  </si>
  <si>
    <t>Base Commodities and Prices</t>
  </si>
  <si>
    <t>Exchange Rate (R/$)</t>
  </si>
  <si>
    <t>R/$</t>
  </si>
  <si>
    <t>Crude Oil ($/bbl Real)</t>
  </si>
  <si>
    <t>$/bbl Real</t>
  </si>
  <si>
    <t>Oil Price Scenario</t>
  </si>
  <si>
    <t>WEO 2020 Sust. Dev.</t>
  </si>
  <si>
    <t>WEO2020 Stated Policies</t>
  </si>
  <si>
    <t>Natural Gas</t>
  </si>
  <si>
    <t>$/mbtu</t>
  </si>
  <si>
    <t>Rand/ton</t>
  </si>
  <si>
    <t>WEO 2020 Delayed Recovery</t>
  </si>
  <si>
    <t>From UNEP Uncertainty Analysis</t>
  </si>
  <si>
    <t>Oil Products Prices</t>
  </si>
  <si>
    <t xml:space="preserve"> </t>
  </si>
  <si>
    <t>Crude Oil price in 2015 rands (R/bbl)</t>
  </si>
  <si>
    <t>'2015R/bbl</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</si>
  <si>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</si>
  <si>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</si>
  <si>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</si>
  <si>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</si>
  <si>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</si>
  <si>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</si>
  <si>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</si>
  <si>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</si>
  <si>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</si>
  <si>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</si>
  <si>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</si>
  <si>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</si>
  <si>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</si>
  <si>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</si>
  <si>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</si>
  <si>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</si>
  <si>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</si>
  <si>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</si>
  <si>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</si>
  <si>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</si>
  <si>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</si>
  <si>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</si>
  <si>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</si>
  <si>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</si>
  <si>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</si>
  <si>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</si>
  <si>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</si>
  <si>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</si>
  <si>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</si>
  <si>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</si>
  <si>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</si>
  <si>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</si>
  <si>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</si>
  <si>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</si>
  <si>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</si>
  <si>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</si>
  <si>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</si>
  <si>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</si>
  <si>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</si>
  <si>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</si>
  <si>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</si>
  <si>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</si>
  <si>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</si>
  <si>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</si>
  <si>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</si>
  <si>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</si>
  <si>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</si>
  <si>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</si>
  <si>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</si>
  <si>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</si>
  <si>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</si>
  <si>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</si>
  <si>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</si>
  <si>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</si>
  <si>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</si>
  <si>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</si>
  <si>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</si>
  <si>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</si>
  <si>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</si>
  <si>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</si>
  <si>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</si>
  <si>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</si>
  <si>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</si>
  <si>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</si>
  <si>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</si>
  <si>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</si>
  <si>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</si>
  <si>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</si>
  <si>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</si>
  <si>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</si>
  <si>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</si>
  <si>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</si>
  <si>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</si>
  <si>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</si>
  <si>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</si>
  <si>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</si>
  <si>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</si>
  <si>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Rands/US$</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</si>
  <si>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</si>
  <si>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</si>
  <si>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</si>
  <si>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</si>
  <si>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</si>
  <si>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</si>
  <si>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</si>
  <si>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</si>
  <si>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</si>
  <si>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</si>
  <si>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</si>
  <si>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</si>
  <si>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</si>
  <si>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</si>
  <si>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</si>
  <si>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</si>
  <si>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</si>
  <si>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</si>
  <si>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</si>
  <si>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</si>
  <si>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</si>
  <si>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</si>
  <si>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</si>
  <si>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</si>
  <si>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</si>
  <si>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</si>
  <si>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Combustion Emission Factors</t>
  </si>
  <si>
    <t>* Note: ELC and PWR X-techs are declared and defined in ELE workbook</t>
  </si>
  <si>
    <t>Carbon dioxide</t>
  </si>
  <si>
    <t>Methane</t>
  </si>
  <si>
    <t>Nitrous Oxide</t>
  </si>
  <si>
    <t>Sulphur gases</t>
  </si>
  <si>
    <t>Nitrogen gases</t>
  </si>
  <si>
    <t>Carbon monoxide</t>
  </si>
  <si>
    <t>NMVOCs</t>
  </si>
  <si>
    <t>PM10</t>
  </si>
  <si>
    <t>~COMEMI</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</si>
  <si>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</si>
  <si>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</si>
  <si>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</si>
  <si>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</si>
  <si>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</si>
  <si>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</si>
  <si>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</si>
  <si>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</si>
  <si>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</si>
  <si>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</si>
  <si>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</si>
  <si>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</si>
  <si>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</si>
  <si>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</si>
  <si>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</si>
  <si>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</si>
  <si>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</si>
  <si>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</si>
  <si>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</si>
  <si>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</si>
  <si>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</si>
  <si>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</si>
  <si>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</si>
  <si>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</si>
  <si>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</si>
  <si>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</si>
  <si>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</si>
  <si>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</si>
  <si>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</si>
  <si>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</si>
  <si>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</si>
  <si>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</si>
  <si>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</si>
  <si>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</si>
  <si>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</si>
  <si>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</si>
  <si>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</si>
  <si>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</si>
  <si>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</si>
  <si>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</si>
  <si>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</si>
  <si>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</si>
  <si>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</si>
  <si>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</si>
  <si>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</si>
  <si>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</si>
  <si>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</si>
  <si>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</si>
  <si>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</si>
  <si>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</si>
  <si>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</si>
  <si>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</si>
  <si>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</si>
  <si>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</si>
  <si>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</si>
  <si>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</si>
  <si>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</si>
  <si>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</si>
  <si>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</si>
  <si>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</si>
  <si>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</si>
  <si>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</si>
  <si>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</si>
  <si>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</si>
  <si>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</si>
  <si>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</si>
  <si>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</si>
  <si>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</si>
  <si>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</si>
  <si>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</si>
  <si>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</si>
  <si>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</si>
  <si>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</si>
  <si>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</si>
  <si>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</si>
  <si>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</si>
  <si>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</si>
  <si>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</si>
  <si>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</si>
  <si>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</si>
  <si>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</si>
  <si>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</si>
  <si>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</si>
  <si>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</si>
  <si>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</si>
  <si>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</si>
  <si>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</si>
  <si>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</si>
  <si>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</si>
  <si>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</si>
  <si>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</si>
  <si>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</si>
  <si>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</si>
  <si>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</si>
  <si>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</si>
  <si>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</si>
  <si>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</si>
  <si>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</si>
  <si>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</si>
  <si>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</si>
  <si>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</si>
  <si>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</si>
  <si>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</si>
  <si>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</si>
  <si>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</si>
  <si>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</si>
  <si>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</si>
  <si>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</si>
  <si>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</si>
  <si>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</si>
  <si>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</si>
  <si>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</si>
  <si>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</si>
  <si>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</si>
  <si>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</si>
  <si>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</si>
  <si>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</si>
  <si>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</si>
  <si>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</si>
  <si>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</si>
  <si>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</si>
  <si>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</si>
  <si>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</si>
  <si>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</si>
  <si>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</si>
  <si>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</si>
  <si>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</si>
  <si>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</si>
  <si>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</si>
  <si>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</si>
  <si>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</si>
  <si>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</si>
  <si>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</si>
  <si>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</si>
  <si>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</si>
  <si>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</si>
  <si>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</si>
  <si>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</si>
  <si>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</si>
  <si>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</si>
  <si>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</si>
  <si>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</si>
  <si>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</si>
  <si>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</si>
  <si>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</si>
  <si>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</si>
  <si>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</si>
  <si>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</si>
  <si>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</si>
  <si>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</si>
  <si>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</si>
  <si>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</si>
  <si>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</si>
  <si>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</si>
  <si>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</si>
  <si>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</si>
  <si>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</si>
  <si>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</si>
  <si>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</si>
  <si>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</si>
  <si>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</si>
  <si>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</si>
  <si>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</si>
  <si>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</si>
  <si>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</si>
  <si>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</si>
  <si>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</si>
  <si>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</si>
  <si>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</si>
  <si>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</si>
  <si>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</si>
  <si>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</si>
  <si>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</si>
  <si>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</si>
  <si>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</si>
  <si>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</si>
  <si>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</si>
  <si>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</si>
  <si>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</si>
  <si>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</si>
  <si>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</si>
  <si>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</si>
  <si>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</si>
  <si>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</si>
  <si>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</si>
  <si>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</si>
  <si>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</si>
  <si>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</si>
  <si>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</si>
  <si>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</si>
  <si>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</si>
  <si>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</si>
  <si>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</si>
  <si>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</si>
  <si>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</si>
  <si>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</si>
  <si>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</si>
  <si>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</si>
  <si>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</si>
  <si>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</si>
  <si>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</si>
  <si>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</si>
  <si>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</si>
  <si>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</si>
  <si>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</si>
  <si>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</si>
  <si>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</si>
  <si>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</si>
  <si>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</si>
  <si>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</si>
  <si>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</si>
  <si>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</si>
  <si>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</si>
  <si>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</si>
  <si>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</si>
  <si>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</si>
  <si>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</si>
  <si>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</si>
  <si>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</si>
  <si>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</si>
  <si>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</si>
  <si>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</si>
  <si>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</si>
  <si>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</si>
  <si>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</si>
  <si>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AGRCO2S</t>
  </si>
  <si>
    <t>COMCO2S</t>
  </si>
  <si>
    <t>INDCO2S</t>
  </si>
  <si>
    <t>PWRCO2S</t>
  </si>
  <si>
    <t>RESCO2S</t>
  </si>
  <si>
    <t>TRACO2S</t>
  </si>
  <si>
    <t>UPSCO2S</t>
  </si>
  <si>
    <t>CO2SF</t>
  </si>
  <si>
    <t>CO2SP</t>
  </si>
  <si>
    <t>CO2SPIFC</t>
  </si>
  <si>
    <t>CO2SPIFM</t>
  </si>
  <si>
    <t>CO2SPCEM</t>
  </si>
  <si>
    <t>AGRCH4S</t>
  </si>
  <si>
    <t>COMCH4S</t>
  </si>
  <si>
    <t>INDCH4S</t>
  </si>
  <si>
    <t>PWRCH4S</t>
  </si>
  <si>
    <t>RESCH4S</t>
  </si>
  <si>
    <t>TRACH4S</t>
  </si>
  <si>
    <t>UPSCH4S</t>
  </si>
  <si>
    <t>CH4SF</t>
  </si>
  <si>
    <t>AGRN2OS</t>
  </si>
  <si>
    <t>COMN2OS</t>
  </si>
  <si>
    <t>INDN2OS</t>
  </si>
  <si>
    <t>PWRN2OS</t>
  </si>
  <si>
    <t>RESN2OS</t>
  </si>
  <si>
    <t>TRAN2OS</t>
  </si>
  <si>
    <t>UPSN2OS</t>
  </si>
  <si>
    <t>AGRSOXS</t>
  </si>
  <si>
    <t>COMSOXS</t>
  </si>
  <si>
    <t>INDSOXS</t>
  </si>
  <si>
    <t>PWRSOXS</t>
  </si>
  <si>
    <t>RESSOXS</t>
  </si>
  <si>
    <t>TRASOXS</t>
  </si>
  <si>
    <t>UPSSOXS</t>
  </si>
  <si>
    <t>AGRNOXS</t>
  </si>
  <si>
    <t>COMNOXS</t>
  </si>
  <si>
    <t>INDNOXS</t>
  </si>
  <si>
    <t>PWRNOXS</t>
  </si>
  <si>
    <t>RESNOXS</t>
  </si>
  <si>
    <t>TRANOXS</t>
  </si>
  <si>
    <t>UPSNOXS</t>
  </si>
  <si>
    <t>AGRCMOX</t>
  </si>
  <si>
    <t>COMCMOX</t>
  </si>
  <si>
    <t>INDCMOX</t>
  </si>
  <si>
    <t>PWRCMOX</t>
  </si>
  <si>
    <t>RESCMOX</t>
  </si>
  <si>
    <t>TRACMOX</t>
  </si>
  <si>
    <t>UPSCMOX</t>
  </si>
  <si>
    <t>AGRNMVS</t>
  </si>
  <si>
    <t>COMNMVS</t>
  </si>
  <si>
    <t>INDNMVS</t>
  </si>
  <si>
    <t>PWRNMVS</t>
  </si>
  <si>
    <t>RESNMVS</t>
  </si>
  <si>
    <t>TRANMVS</t>
  </si>
  <si>
    <t>UPSNMVS</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</si>
  <si>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</si>
  <si>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</si>
  <si>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</si>
  <si>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</si>
  <si>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</si>
  <si>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</si>
  <si>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</si>
  <si>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</si>
  <si>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</si>
  <si>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</si>
  <si>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</si>
  <si>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</si>
  <si>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</si>
  <si>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</si>
  <si>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</si>
  <si>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</si>
  <si>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</si>
  <si>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</si>
  <si>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</si>
  <si>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</si>
  <si>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</si>
  <si>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</si>
  <si>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</si>
  <si>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</si>
  <si>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</si>
  <si>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</si>
  <si>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</si>
  <si>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</si>
  <si>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</si>
  <si>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</si>
  <si>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</si>
  <si>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</si>
  <si>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</si>
  <si>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</si>
  <si>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</si>
  <si>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</si>
  <si>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</si>
  <si>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</si>
  <si>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</si>
  <si>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</si>
  <si>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</si>
  <si>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</si>
  <si>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</si>
  <si>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</si>
  <si>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</si>
  <si>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</si>
  <si>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</si>
  <si>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</si>
  <si>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</si>
  <si>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</si>
  <si>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</si>
  <si>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</si>
  <si>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</si>
  <si>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</si>
  <si>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</si>
  <si>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</si>
  <si>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</si>
  <si>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</si>
  <si>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</si>
  <si>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</si>
  <si>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</si>
  <si>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</si>
  <si>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</si>
  <si>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</si>
  <si>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</si>
  <si>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</si>
  <si>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</si>
  <si>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</si>
  <si>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</si>
  <si>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</si>
  <si>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</si>
  <si>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</si>
  <si>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</si>
  <si>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</si>
  <si>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</si>
  <si>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</si>
  <si>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</si>
  <si>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</si>
  <si>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</si>
  <si>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</si>
  <si>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</si>
  <si>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</si>
  <si>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</si>
  <si>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</si>
  <si>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</si>
  <si>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</si>
  <si>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</si>
  <si>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</si>
  <si>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</si>
  <si>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</si>
  <si>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</si>
  <si>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</si>
  <si>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</si>
  <si>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</si>
  <si>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</si>
  <si>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</si>
  <si>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</si>
  <si>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</si>
  <si>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</si>
  <si>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</si>
  <si>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</si>
  <si>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</si>
  <si>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</si>
  <si>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</si>
  <si>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</si>
  <si>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</si>
  <si>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</si>
  <si>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</si>
  <si>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</si>
  <si>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</si>
  <si>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</si>
  <si>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</si>
  <si>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</si>
  <si>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</si>
  <si>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</si>
  <si>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</si>
  <si>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</si>
  <si>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</si>
  <si>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</si>
  <si>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</si>
  <si>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</si>
  <si>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</si>
  <si>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</si>
  <si>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</si>
  <si>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</si>
  <si>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</si>
  <si>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</si>
  <si>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</si>
  <si>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</si>
  <si>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</si>
  <si>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</si>
  <si>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</si>
  <si>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</si>
  <si>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</si>
  <si>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</si>
  <si>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</si>
  <si>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</si>
  <si>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</si>
  <si>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</si>
  <si>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</si>
  <si>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</si>
  <si>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</si>
  <si>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</si>
  <si>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</si>
  <si>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</si>
  <si>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</si>
  <si>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</si>
  <si>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</si>
  <si>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</si>
  <si>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</si>
  <si>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</si>
  <si>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</si>
  <si>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</si>
  <si>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</si>
  <si>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</si>
  <si>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</si>
  <si>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</si>
  <si>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</si>
  <si>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</si>
  <si>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</si>
  <si>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</si>
  <si>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</si>
  <si>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</si>
  <si>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</si>
  <si>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</si>
  <si>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</si>
  <si>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</si>
  <si>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</si>
  <si>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</si>
  <si>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</si>
  <si>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</si>
  <si>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</si>
  <si>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</si>
  <si>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</si>
  <si>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</si>
  <si>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</si>
  <si>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</si>
  <si>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</si>
  <si>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</si>
  <si>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</si>
  <si>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</si>
  <si>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</si>
  <si>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</si>
  <si>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</si>
  <si>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</si>
  <si>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</si>
  <si>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</si>
  <si>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</si>
  <si>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</si>
  <si>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</si>
  <si>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</si>
  <si>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</si>
  <si>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</si>
  <si>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</si>
  <si>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</si>
  <si>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</si>
  <si>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</si>
  <si>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</si>
  <si>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</si>
  <si>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</si>
  <si>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</si>
  <si>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</si>
  <si>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</si>
  <si>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</si>
  <si>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</si>
  <si>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</si>
  <si>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</si>
  <si>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</si>
  <si>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</si>
  <si>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</si>
  <si>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</si>
  <si>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</si>
  <si>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</si>
  <si>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</si>
  <si>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</si>
  <si>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</si>
  <si>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</si>
  <si>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</si>
  <si>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</si>
  <si>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</si>
  <si>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</si>
  <si>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</si>
  <si>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</si>
  <si>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</si>
  <si>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</si>
  <si>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FUEL PRICES GAS</t>
  </si>
  <si>
    <t>From model crude oil price in other years</t>
  </si>
  <si>
    <t>Brent</t>
  </si>
  <si>
    <t>USD/bbl</t>
  </si>
  <si>
    <t>LNG Index</t>
  </si>
  <si>
    <t>Indigenous NG Index</t>
  </si>
  <si>
    <t>Regional NG Index</t>
  </si>
  <si>
    <t>Indigenous Shale Index</t>
  </si>
  <si>
    <t>LNGC Region</t>
  </si>
  <si>
    <t>USD/MMBtu</t>
  </si>
  <si>
    <t>LNGC Global</t>
  </si>
  <si>
    <t>2010 RT Flat, 1610 MW CCGT, 95 MGJ/a</t>
  </si>
  <si>
    <t>500km Domestic Pipeline (MM)</t>
  </si>
  <si>
    <t>2010 RT Flat, 1610 MW CCGT, 53 MGJ/a</t>
  </si>
  <si>
    <t>500km Domestic Pipeline (BL)</t>
  </si>
  <si>
    <t>2000km Import Pipeline (MM)</t>
  </si>
  <si>
    <t>2000km Import Pipeline (BL)</t>
  </si>
  <si>
    <t>LNGT (MM)</t>
  </si>
  <si>
    <t>LNGT (BL)</t>
  </si>
  <si>
    <t>LNGT (Max Utilisation)</t>
  </si>
  <si>
    <t>2010 RT Flat, 5730 MW CCGT @ BL, 338 MGJ/a</t>
  </si>
  <si>
    <t>IRP2010 Exchange Rate</t>
  </si>
  <si>
    <t>ZAR/USD</t>
  </si>
  <si>
    <t>RFSU delay (years)</t>
  </si>
  <si>
    <t>ZAR/GJ</t>
  </si>
  <si>
    <t>Commodity</t>
  </si>
  <si>
    <t>Into Power Plant</t>
  </si>
  <si>
    <t>LNG FOB</t>
  </si>
  <si>
    <t>NG</t>
  </si>
  <si>
    <t>LNGC</t>
  </si>
  <si>
    <t>PL</t>
  </si>
  <si>
    <t>RFSU</t>
  </si>
  <si>
    <t>LF_50</t>
  </si>
  <si>
    <t>LF_90</t>
  </si>
  <si>
    <t>Indigenous NG 500km Pipeline (MM)</t>
  </si>
  <si>
    <t>Indigenous NG 500km Pipeline  (BL)</t>
  </si>
  <si>
    <t>Regional NG 2000km Pipeline (MM)</t>
  </si>
  <si>
    <t>Regional NG 2000km Pipeline  (BL)</t>
  </si>
  <si>
    <t>Indigenous Shale 500km Pipeline (MM)</t>
  </si>
  <si>
    <t>Indigenous Shale 500km Pipeline (BL)</t>
  </si>
  <si>
    <t>Regional Import LNG + LNGT (MM)</t>
  </si>
  <si>
    <t>Regional Import LNG + LNGT (BL)</t>
  </si>
  <si>
    <t>Regional Import LNG + FSRU (BL)</t>
  </si>
  <si>
    <t>Global Import LNG + LNGT (MM)</t>
  </si>
  <si>
    <t>Global Import LNG + LNGT (BL)</t>
  </si>
  <si>
    <t>Global Import LNG + FSRU (BL)</t>
  </si>
  <si>
    <t>Lower heating value</t>
  </si>
  <si>
    <t>million$/PJ/annnum in model</t>
  </si>
  <si>
    <t>Exchange rate</t>
  </si>
  <si>
    <t>Source IEA data statistics handbook</t>
  </si>
  <si>
    <t>Investment cost</t>
  </si>
  <si>
    <t>1m3 lng</t>
  </si>
  <si>
    <t>m3 diesel</t>
  </si>
  <si>
    <t>capacity PJ/a</t>
  </si>
  <si>
    <t>Daryl says 53MGJ/a</t>
  </si>
  <si>
    <t>kg</t>
  </si>
  <si>
    <t>pipeline size "</t>
  </si>
  <si>
    <t>US$/km</t>
  </si>
  <si>
    <t>Pipeline cost mR/KM</t>
  </si>
  <si>
    <t>Total km</t>
  </si>
  <si>
    <t>EPC cost mR</t>
  </si>
  <si>
    <t>ODC mR</t>
  </si>
  <si>
    <t>Total CAPEX</t>
  </si>
  <si>
    <t>0.9 to get from gross to net</t>
  </si>
  <si>
    <t>Capital cost mR/PJ</t>
  </si>
  <si>
    <t>life</t>
  </si>
  <si>
    <t>Lead Time</t>
  </si>
  <si>
    <t>conversion MJ/kg</t>
  </si>
  <si>
    <t>LNG Terminal</t>
  </si>
  <si>
    <t>LNG terminal capacity PJ</t>
  </si>
  <si>
    <t>LNG terminal capacitybillion kg</t>
  </si>
  <si>
    <t>annualised cost million US$/annum</t>
  </si>
  <si>
    <t>Floating Terminal</t>
  </si>
  <si>
    <t>no investment cost used, only cost of gas, because no infrastructure required</t>
  </si>
  <si>
    <t>downloaded from: http://www.mapcrow.info/cgi-bin/cities_distance_airpt2.cgi?city3=-1812145%2CJ&amp;city4=-477622%2CA on Jan 25 2013</t>
  </si>
  <si>
    <t>Sasol: 1Mton terminal: 900 MW</t>
  </si>
  <si>
    <t>Gas Infrastructure costs from Darryl (2012 $)</t>
  </si>
  <si>
    <t>to convert from 2012 to 2015 $</t>
  </si>
  <si>
    <t>http://www.engineeringnews.co.za/article/petrosa-moves-ahead-with-new-lng-import-studies-2012-12-10</t>
  </si>
  <si>
    <t>Gas Infra</t>
  </si>
  <si>
    <t>PL_500</t>
  </si>
  <si>
    <t>PL_1000</t>
  </si>
  <si>
    <t>PL_2000</t>
  </si>
  <si>
    <t>FSRU (Mossgas)</t>
  </si>
  <si>
    <t>Gas Infra Description</t>
  </si>
  <si>
    <t>500 km               22 inches         compression</t>
  </si>
  <si>
    <t>500 km               22 inches         no compression</t>
  </si>
  <si>
    <t>1000 km               22 inches         compression</t>
  </si>
  <si>
    <t>1000 km               22 inches         no compression</t>
  </si>
  <si>
    <t>2000 km               22 inches         compression</t>
  </si>
  <si>
    <t>2000 km               22 inches         no compression</t>
  </si>
  <si>
    <t xml:space="preserve">1 x LNGC berth               2 x 165 000 m3 tanks </t>
  </si>
  <si>
    <t xml:space="preserve">3 x FSRU units </t>
  </si>
  <si>
    <t>CCGT LF</t>
  </si>
  <si>
    <t>&gt;=50%</t>
  </si>
  <si>
    <t xml:space="preserve">CCGT  </t>
  </si>
  <si>
    <t>MW</t>
  </si>
  <si>
    <t>Development Costs</t>
  </si>
  <si>
    <t>USD m</t>
  </si>
  <si>
    <t>Owners' Team</t>
  </si>
  <si>
    <t>EPC</t>
  </si>
  <si>
    <t>CAPEX</t>
  </si>
  <si>
    <t>Capex Phasing</t>
  </si>
  <si>
    <t>Contract Term</t>
  </si>
  <si>
    <t>years</t>
  </si>
  <si>
    <t>discount rate</t>
  </si>
  <si>
    <t>lead time</t>
  </si>
  <si>
    <t>IDC factor</t>
  </si>
  <si>
    <t>LNG storage volume</t>
  </si>
  <si>
    <t>volume</t>
  </si>
  <si>
    <t>'000 m3</t>
  </si>
  <si>
    <t>refil frequency</t>
  </si>
  <si>
    <t>Pipeline in Palma</t>
  </si>
  <si>
    <t>RES for Gas Supply</t>
  </si>
  <si>
    <t>Gas from Mozambique</t>
  </si>
  <si>
    <t>2000 km pipeline</t>
  </si>
  <si>
    <t>OCGT Moz pipeline</t>
  </si>
  <si>
    <t>LNG from Region</t>
  </si>
  <si>
    <t>CCGT Moz pipeline</t>
  </si>
  <si>
    <t>FSRU Terminal</t>
  </si>
  <si>
    <t>LNG from Elsewhere</t>
  </si>
  <si>
    <t>OCGT coastal</t>
  </si>
  <si>
    <t>CCGT coastal</t>
  </si>
  <si>
    <t>Gas from Ibhubezi</t>
  </si>
  <si>
    <t>500 km pipeline</t>
  </si>
  <si>
    <t>OCGT Ankerlig</t>
  </si>
  <si>
    <t>Ankerlig CCGT convertion</t>
  </si>
  <si>
    <t>Shale Gas</t>
  </si>
  <si>
    <t>OCGT Shale</t>
  </si>
  <si>
    <t>CCGT Shale</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</si>
  <si>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</si>
  <si>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</si>
  <si>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</si>
  <si>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</si>
  <si>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</si>
  <si>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</si>
  <si>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</si>
  <si>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</si>
  <si>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</si>
  <si>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</si>
  <si>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</si>
  <si>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</si>
  <si>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</si>
  <si>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</si>
  <si>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</si>
  <si>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</si>
  <si>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</si>
  <si>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</si>
  <si>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</si>
  <si>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</si>
  <si>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</si>
  <si>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</si>
  <si>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</si>
  <si>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</si>
  <si>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</si>
  <si>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</si>
  <si>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</si>
  <si>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</si>
  <si>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</si>
  <si>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</si>
  <si>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</si>
  <si>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</si>
  <si>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</si>
  <si>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</si>
  <si>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</si>
  <si>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</si>
  <si>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</si>
  <si>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</si>
  <si>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</si>
  <si>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</si>
  <si>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</si>
  <si>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</si>
  <si>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</si>
  <si>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</si>
  <si>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</si>
  <si>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</si>
  <si>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</si>
  <si>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</si>
  <si>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</si>
  <si>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</si>
  <si>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</si>
  <si>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</si>
  <si>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</si>
  <si>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</si>
  <si>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</si>
  <si>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</si>
  <si>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</si>
  <si>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</si>
  <si>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</si>
  <si>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</si>
  <si>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</si>
  <si>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</si>
  <si>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</si>
  <si>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</si>
  <si>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</si>
  <si>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</si>
  <si>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</si>
  <si>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</si>
  <si>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</si>
  <si>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</si>
  <si>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</si>
  <si>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</si>
  <si>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</si>
  <si>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</si>
  <si>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</si>
  <si>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</si>
  <si>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</si>
  <si>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</si>
  <si>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</si>
  <si>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</si>
  <si>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</si>
  <si>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</si>
  <si>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</si>
  <si>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</si>
  <si>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</si>
  <si>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</si>
  <si>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</si>
  <si>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</si>
  <si>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</si>
  <si>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</si>
  <si>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</si>
  <si>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</si>
  <si>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</si>
  <si>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</si>
  <si>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</si>
  <si>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</si>
  <si>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</si>
  <si>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</si>
  <si>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</si>
  <si>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</si>
  <si>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</si>
  <si>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</si>
  <si>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</si>
  <si>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</si>
  <si>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</si>
  <si>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</si>
  <si>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</si>
  <si>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</si>
  <si>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</si>
  <si>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</si>
  <si>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</si>
  <si>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</si>
  <si>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</si>
  <si>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</si>
  <si>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</si>
  <si>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</si>
  <si>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</si>
  <si>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</si>
  <si>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</si>
  <si>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</si>
  <si>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</si>
  <si>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</si>
  <si>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</si>
  <si>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</si>
  <si>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</si>
  <si>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</si>
  <si>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</si>
  <si>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</si>
  <si>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</si>
  <si>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</si>
  <si>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</si>
  <si>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</si>
  <si>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</si>
  <si>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</si>
  <si>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</si>
  <si>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</si>
  <si>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</si>
  <si>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</si>
  <si>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</si>
  <si>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</si>
  <si>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</si>
  <si>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</si>
  <si>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</si>
  <si>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</si>
  <si>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</si>
  <si>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</si>
  <si>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</si>
  <si>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</si>
  <si>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</si>
  <si>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</si>
  <si>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</si>
  <si>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</si>
  <si>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</si>
  <si>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</si>
  <si>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</si>
  <si>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</si>
  <si>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</si>
  <si>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</si>
  <si>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</si>
  <si>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</si>
  <si>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</si>
  <si>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</si>
  <si>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</si>
  <si>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</si>
  <si>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</si>
  <si>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</si>
  <si>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</si>
  <si>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</si>
  <si>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</si>
  <si>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</si>
  <si>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</si>
  <si>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</si>
  <si>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</si>
  <si>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Gas Infrastructure Costs</t>
  </si>
  <si>
    <t>XTRACT,PRE</t>
  </si>
  <si>
    <t>FLO_EMIS~CO2SF</t>
  </si>
  <si>
    <t>FLO_EMIS~CH4SF</t>
  </si>
  <si>
    <t>* Note: ELC and other PWR X-techs are declared and defined in ELC workbook</t>
  </si>
  <si>
    <t>Agriculture Carbon dioxide South Africa</t>
  </si>
  <si>
    <t>Agriculture Methane South Africa</t>
  </si>
  <si>
    <t>Agriculture Nitrous Oxide South Africa</t>
  </si>
  <si>
    <t>Agriculture Sulphur gases South Africa</t>
  </si>
  <si>
    <t>Agriculture Nitrogen gases South Africa</t>
  </si>
  <si>
    <t>Agriculture Carbon monoxide South Africa</t>
  </si>
  <si>
    <t>Agriculture NMVOCs South Africa</t>
  </si>
  <si>
    <t>AGRP10S</t>
  </si>
  <si>
    <t>Agriculture PM10 South Africa</t>
  </si>
  <si>
    <t>Commercial Carbon dioxide South Africa</t>
  </si>
  <si>
    <t>Commercial Methane South Africa</t>
  </si>
  <si>
    <t>Commercial Nitrous Oxide South Africa</t>
  </si>
  <si>
    <t>Commercial Sulphur gases South Africa</t>
  </si>
  <si>
    <t>Commercial Nitrogen gases South Africa</t>
  </si>
  <si>
    <t>Commercial Carbon monoxide South Africa</t>
  </si>
  <si>
    <t>Commercial NMVOCs South Africa</t>
  </si>
  <si>
    <t>COMP10S</t>
  </si>
  <si>
    <t>Commercial PM10 South Africa</t>
  </si>
  <si>
    <t>Industry Carbon dioxide South Africa</t>
  </si>
  <si>
    <t>Industry Methane South Africa</t>
  </si>
  <si>
    <t>Industry Nitrous Oxide South Africa</t>
  </si>
  <si>
    <t>Industry Sulphur gases South Africa</t>
  </si>
  <si>
    <t>Industry Nitrogen gases South Africa</t>
  </si>
  <si>
    <t>Industry Carbon monoxide South Africa</t>
  </si>
  <si>
    <t>Industry NMVOCs South Africa</t>
  </si>
  <si>
    <t>INDP10S</t>
  </si>
  <si>
    <t>Industry PM10 South Africa</t>
  </si>
  <si>
    <t>Transport Carbon dioxide South Africa</t>
  </si>
  <si>
    <t>Transport Methane South Africa</t>
  </si>
  <si>
    <t>Transport Nitrous Oxide South Africa</t>
  </si>
  <si>
    <t>Transport Sulphur gases South Africa</t>
  </si>
  <si>
    <t>Transport Nitrogen gases South Africa</t>
  </si>
  <si>
    <t>Transport Carbon monoxide South Africa</t>
  </si>
  <si>
    <t>Transport NMVOCs South Africa</t>
  </si>
  <si>
    <t>TRAP10S</t>
  </si>
  <si>
    <t>Transport PM10 South Africa</t>
  </si>
  <si>
    <t>Residential Carbon dioxide South Africa</t>
  </si>
  <si>
    <t>Residential Methane South Africa</t>
  </si>
  <si>
    <t>Residential Nitrous Oxide South Africa</t>
  </si>
  <si>
    <t>Residential Sulphur gases South Africa</t>
  </si>
  <si>
    <t>Residential Nitrogen gases South Africa</t>
  </si>
  <si>
    <t>Residential Carbon monoxide South Africa</t>
  </si>
  <si>
    <t>Residential NMVOCs South Africa</t>
  </si>
  <si>
    <t>RESP10S</t>
  </si>
  <si>
    <t>Residential PM10 South Africa</t>
  </si>
  <si>
    <t>Power Sector Carbon dioxide South Africa</t>
  </si>
  <si>
    <t>Power Sector Methane South Africa</t>
  </si>
  <si>
    <t>Power Sector Nitrous Oxide South Africa</t>
  </si>
  <si>
    <t>Power Sector Sulphur gases South Africa</t>
  </si>
  <si>
    <t>Power Sector Nitrogen gases South Africa</t>
  </si>
  <si>
    <t>Power Sector Carbon monoxide South Africa</t>
  </si>
  <si>
    <t>Power Sector NMVOCs South Africa</t>
  </si>
  <si>
    <t>PWRP10S</t>
  </si>
  <si>
    <t>Power Sector PM10 South Africa</t>
  </si>
  <si>
    <t>PWRCO2R</t>
  </si>
  <si>
    <t>Power Sector Carbon dioxide Region</t>
  </si>
  <si>
    <t>PWRCH4R</t>
  </si>
  <si>
    <t>Power Sector Methane Region</t>
  </si>
  <si>
    <t>PWRN2OR</t>
  </si>
  <si>
    <t>Power Sector Nitrous Oxide Region</t>
  </si>
  <si>
    <t>PWRSOXR</t>
  </si>
  <si>
    <t>Power Sector Sulphur gases Region</t>
  </si>
  <si>
    <t>PWRNOXR</t>
  </si>
  <si>
    <t>Power Sector Nitrogen gases Region</t>
  </si>
  <si>
    <t>PWRCMOR</t>
  </si>
  <si>
    <t>Power Sector Carbon monoxide Region</t>
  </si>
  <si>
    <t>PWRNMVR</t>
  </si>
  <si>
    <t>Power Sector NMVOCs Region</t>
  </si>
  <si>
    <t>PWRP10R</t>
  </si>
  <si>
    <t>Power Sector PM10 Region</t>
  </si>
  <si>
    <t>Supply Sector Carbon dioxide South Africa</t>
  </si>
  <si>
    <t>Supply Sector Methane South Africa</t>
  </si>
  <si>
    <t>Supply Sector Nitrous Oxide South Africa</t>
  </si>
  <si>
    <t>Supply Sector Sulphur gases South Africa</t>
  </si>
  <si>
    <t>Supply Sector Nitrogen gases South Africa</t>
  </si>
  <si>
    <t>Supply Sector Carbon monoxide South Africa</t>
  </si>
  <si>
    <t>Supply Sector NMVOCs South Africa</t>
  </si>
  <si>
    <t>UPSP10S</t>
  </si>
  <si>
    <t>Supply Sector PM10 South Africa</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</si>
  <si>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</si>
  <si>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</si>
  <si>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</si>
  <si>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</si>
  <si>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</si>
  <si>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</si>
  <si>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</si>
  <si>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 Sector Combustion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</si>
  <si>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</si>
  <si>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</si>
  <si>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</si>
  <si>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</si>
  <si>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</si>
  <si>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</si>
  <si>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</si>
  <si>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</si>
  <si>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</si>
  <si>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</si>
  <si>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</si>
  <si>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</si>
  <si>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</si>
  <si>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</si>
  <si>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</si>
  <si>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</si>
  <si>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</si>
  <si>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</si>
  <si>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</si>
  <si>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</si>
  <si>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</si>
  <si>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</si>
  <si>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</si>
  <si>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</si>
  <si>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</si>
  <si>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</si>
  <si>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</si>
  <si>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</si>
  <si>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</si>
  <si>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</si>
  <si>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</si>
  <si>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</si>
  <si>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</si>
  <si>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</si>
  <si>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</si>
  <si>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Gas Supply Infrastructure</t>
  </si>
  <si>
    <t>* source</t>
  </si>
  <si>
    <t>Need to update Costs!</t>
  </si>
  <si>
    <t>Globeleq Hendrina 2022 Study</t>
  </si>
  <si>
    <t>*Imports</t>
  </si>
  <si>
    <t>*Exports</t>
  </si>
  <si>
    <t>*Gas Infrastructure</t>
  </si>
  <si>
    <t>PRE,STGTSS</t>
  </si>
  <si>
    <t>NCAP_AFC</t>
  </si>
  <si>
    <t>NCAP_FOM</t>
  </si>
  <si>
    <t>IDC cost</t>
  </si>
  <si>
    <t>FSRU ccost estimates</t>
  </si>
  <si>
    <t>Small Scale</t>
  </si>
  <si>
    <t>Darryl 2012</t>
  </si>
  <si>
    <t>Darryl 2023</t>
  </si>
  <si>
    <t>Globeleq 2023</t>
  </si>
  <si>
    <t>notes</t>
  </si>
  <si>
    <t>PJ/a</t>
  </si>
  <si>
    <t>Volumes</t>
  </si>
  <si>
    <t>LNG terminal capacity(throughput)</t>
  </si>
  <si>
    <t>mton</t>
  </si>
  <si>
    <t>Levelised cost</t>
  </si>
  <si>
    <t>$/GJ</t>
  </si>
  <si>
    <t>EPC cost</t>
  </si>
  <si>
    <t>m$</t>
  </si>
  <si>
    <t>ODC</t>
  </si>
  <si>
    <t>FSRU day rate</t>
  </si>
  <si>
    <t>m$/day</t>
  </si>
  <si>
    <t>Annual cost</t>
  </si>
  <si>
    <t>Capital cost</t>
  </si>
  <si>
    <t>$/Gja</t>
  </si>
  <si>
    <t>Marine Capex</t>
  </si>
  <si>
    <t>capex Annualised</t>
  </si>
  <si>
    <t>Total annual</t>
  </si>
  <si>
    <t>m$/year</t>
  </si>
  <si>
    <t>IDC</t>
  </si>
  <si>
    <t>Annual Cost</t>
  </si>
  <si>
    <t>m$/yr</t>
  </si>
  <si>
    <t>Pipeline cost</t>
  </si>
  <si>
    <t>Levelized Cost</t>
  </si>
  <si>
    <t>Levelized Cost (25% CF)</t>
  </si>
  <si>
    <t>Total cost</t>
  </si>
  <si>
    <t>Levelized Cost (10% CF)</t>
  </si>
  <si>
    <t>Levelized cost if only 56 PJ</t>
  </si>
  <si>
    <t>Gas supply to be modelled exogenously to cater for lumpiness of investment.</t>
  </si>
  <si>
    <t>https://www.jdsupra.com/post/contentViewerEmbed.aspx?fid=6f058694-940c-42d7-bb0d-d650e5436a2d</t>
  </si>
  <si>
    <t>LNG terminal to be modelled in full size (i.e. 172.8PJ) in the high gas scenario</t>
  </si>
  <si>
    <t>These costs seem way lower than Darryl's costs</t>
  </si>
  <si>
    <t>FSRU modelled as the minimum i.e. 1mton/a (i.e. 48PJ) in the mitigation scenario</t>
  </si>
  <si>
    <t>LNG cost estimates</t>
  </si>
  <si>
    <t>FSRU conv.</t>
  </si>
  <si>
    <t>FSRU small</t>
  </si>
  <si>
    <t>Thermal plant capacity in Kenya</t>
  </si>
  <si>
    <t>Volume</t>
  </si>
  <si>
    <t>1600 MW CCGT running 50%</t>
  </si>
  <si>
    <t>Capex</t>
  </si>
  <si>
    <t>HFO</t>
  </si>
  <si>
    <t>Utilization</t>
  </si>
  <si>
    <t>Capex unit cost</t>
  </si>
  <si>
    <t>m$/Pja</t>
  </si>
  <si>
    <t>Energy needs</t>
  </si>
  <si>
    <t>Levelized cost check</t>
  </si>
  <si>
    <t>Max Send out</t>
  </si>
  <si>
    <t>MMSCFD</t>
  </si>
  <si>
    <t>MTPA</t>
  </si>
  <si>
    <t>Pja</t>
  </si>
  <si>
    <t>Monthly</t>
  </si>
  <si>
    <t>PJ/month</t>
  </si>
  <si>
    <t>cbm</t>
  </si>
  <si>
    <t>bcf</t>
  </si>
  <si>
    <t>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</si>
</sst>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6" formatCode="&quot;R&quot;#,##0;[Red]\-&quot;R&quot;#,##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5"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b/>
      <sz val="9"/>
      <color indexed="81"/>
      <name val="Calibri"/>
      <family val="2"/>
    </font>
    <font>
      <sz val="9"/>
      <color indexed="81"/>
      <name val="Calibri"/>
      <family val="2"/>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theme="9" tint="0.39997558519241921"/>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rgb="FFFF0000"/>
        <bgColor indexed="64"/>
      </patternFill>
    </fill>
    <fill>
      <patternFill patternType="solid">
        <fgColor theme="0" tint="-0.249977111117893"/>
        <bgColor indexed="64"/>
      </patternFill>
    </fill>
  </fills>
  <borders count="74">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4"/>
      </left>
      <right style="thin">
        <color indexed="64"/>
      </right>
      <top style="thin">
        <color indexed="64"/>
      </top>
      <bottom style="thin">
        <color rgb="FF7F7F7F"/>
      </bottom>
      <diagonal/>
    </border>
    <border>
      <left style="thin">
        <color indexed="64"/>
      </left>
      <right style="thin">
        <color indexed="64"/>
      </right>
      <top style="thin">
        <color rgb="FF7F7F7F"/>
      </top>
      <bottom style="thin">
        <color indexed="64"/>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
      <left style="thin">
        <color indexed="64"/>
      </left>
      <right style="thin">
        <color rgb="FF7F7F7F"/>
      </right>
      <top style="thin">
        <color indexed="64"/>
      </top>
      <bottom style="thin">
        <color indexed="64"/>
      </bottom>
      <diagonal/>
    </border>
    <border>
      <left style="thin">
        <color rgb="FF7F7F7F"/>
      </left>
      <right style="thin">
        <color rgb="FF7F7F7F"/>
      </right>
      <top style="thin">
        <color indexed="64"/>
      </top>
      <bottom style="thin">
        <color indexed="64"/>
      </bottom>
      <diagonal/>
    </border>
    <border>
      <left style="thin">
        <color rgb="FF7F7F7F"/>
      </left>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5" fillId="3" borderId="0" applyNumberFormat="0" applyBorder="0" applyAlignment="0" applyProtection="0"/>
    <xf numFmtId="0" fontId="19" fillId="4" borderId="0" applyNumberFormat="0" applyBorder="0" applyAlignment="0" applyProtection="0"/>
    <xf numFmtId="0" fontId="6" fillId="5" borderId="3" applyNumberFormat="0" applyAlignment="0" applyProtection="0"/>
    <xf numFmtId="0" fontId="7" fillId="6" borderId="3" applyNumberFormat="0" applyAlignment="0" applyProtection="0"/>
    <xf numFmtId="0" fontId="10" fillId="7" borderId="0" applyNumberFormat="0" applyBorder="0" applyAlignment="0" applyProtection="0"/>
    <xf numFmtId="0" fontId="10" fillId="8" borderId="0" applyNumberFormat="0" applyBorder="0" applyAlignment="0" applyProtection="0"/>
    <xf numFmtId="0" fontId="11" fillId="0" borderId="0"/>
    <xf numFmtId="165" fontId="19" fillId="12" borderId="0" applyNumberFormat="0" applyBorder="0" applyAlignment="0" applyProtection="0"/>
    <xf numFmtId="0" fontId="35" fillId="0" borderId="0" applyNumberFormat="0" applyFill="0" applyBorder="0" applyAlignment="0" applyProtection="0">
      <alignment vertical="top"/>
      <protection locked="0"/>
    </xf>
    <xf numFmtId="4" fontId="23" fillId="0" borderId="0" applyNumberFormat="0" applyFill="0" applyBorder="0" applyAlignment="0" applyProtection="0">
      <alignment horizontal="center"/>
    </xf>
    <xf numFmtId="165" fontId="5" fillId="14" borderId="0" applyNumberFormat="0" applyBorder="0" applyAlignment="0" applyProtection="0"/>
    <xf numFmtId="9" fontId="11" fillId="0" borderId="0" applyFont="0" applyFill="0" applyBorder="0" applyAlignment="0" applyProtection="0"/>
    <xf numFmtId="0" fontId="38" fillId="0" borderId="1" applyNumberFormat="0" applyFill="0" applyAlignment="0" applyProtection="0"/>
    <xf numFmtId="0" fontId="11" fillId="0" borderId="0"/>
    <xf numFmtId="0" fontId="1" fillId="0" borderId="0"/>
    <xf numFmtId="0" fontId="21" fillId="0" borderId="0" applyNumberFormat="0" applyFill="0" applyBorder="0" applyAlignment="0" applyProtection="0"/>
    <xf numFmtId="0" fontId="67" fillId="0" borderId="0" applyNumberFormat="0" applyFill="0" applyBorder="0" applyAlignment="0" applyProtection="0">
      <alignment vertical="top"/>
      <protection locked="0"/>
    </xf>
    <xf numFmtId="183" fontId="1" fillId="0" borderId="0" applyFont="0" applyFill="0" applyBorder="0" applyAlignment="0" applyProtection="0"/>
    <xf numFmtId="165" fontId="6" fillId="5" borderId="3" applyNumberFormat="0" applyAlignment="0" applyProtection="0"/>
    <xf numFmtId="165" fontId="7" fillId="6" borderId="3" applyNumberFormat="0" applyAlignment="0" applyProtection="0"/>
  </cellStyleXfs>
  <cellXfs count="519">
    <xf numFmtId="0" fontId="0" fillId="0" borderId="0" xfId="0"/>
    <xf numFmtId="0" fontId="0" fillId="0" borderId="9" xfId="0" applyBorder="1" applyAlignment="1">
      <alignment horizontal="center"/>
    </xf>
    <xf numFmtId="0" fontId="0" fillId="10" borderId="0" xfId="0" applyFill="1"/>
    <xf numFmtId="0" fontId="14" fillId="0" borderId="0" xfId="0" applyFont="1"/>
    <xf numFmtId="0" fontId="15" fillId="3" borderId="0" xfId="7" applyFont="1"/>
    <xf numFmtId="0" fontId="9"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5" fillId="3" borderId="0" xfId="7"/>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9" fillId="0" borderId="0" xfId="0" applyFont="1"/>
    <xf numFmtId="164" fontId="0" fillId="0" borderId="0" xfId="0" applyNumberFormat="1" applyAlignment="1">
      <alignment horizontal="left"/>
    </xf>
    <xf numFmtId="0" fontId="11" fillId="0" borderId="0" xfId="13"/>
    <xf numFmtId="0" fontId="12" fillId="0" borderId="0" xfId="13" applyFont="1"/>
    <xf numFmtId="0" fontId="11" fillId="0" borderId="0" xfId="13" applyAlignment="1">
      <alignment horizontal="center"/>
    </xf>
    <xf numFmtId="0" fontId="11" fillId="0" borderId="18" xfId="13" applyBorder="1" applyAlignment="1">
      <alignment horizontal="center"/>
    </xf>
    <xf numFmtId="11" fontId="11" fillId="0" borderId="0" xfId="13" applyNumberFormat="1"/>
    <xf numFmtId="0" fontId="18" fillId="0" borderId="0" xfId="13" applyFont="1"/>
    <xf numFmtId="0" fontId="20" fillId="0" borderId="0" xfId="13" applyFont="1"/>
    <xf numFmtId="0" fontId="11" fillId="0" borderId="0" xfId="13" applyAlignment="1">
      <alignment horizontal="left"/>
    </xf>
    <xf numFmtId="0" fontId="11" fillId="0" borderId="0" xfId="13" applyAlignment="1">
      <alignment horizontal="right"/>
    </xf>
    <xf numFmtId="0" fontId="22" fillId="0" borderId="0" xfId="13" applyFont="1" applyAlignment="1">
      <alignment horizontal="center"/>
    </xf>
    <xf numFmtId="0" fontId="22" fillId="0" borderId="0" xfId="13" applyFont="1"/>
    <xf numFmtId="0" fontId="11" fillId="0" borderId="0" xfId="13" applyAlignment="1" applyProtection="1">
      <alignment horizontal="center"/>
      <protection locked="0"/>
    </xf>
    <xf numFmtId="0" fontId="12" fillId="0" borderId="0" xfId="13" applyFont="1" applyAlignment="1">
      <alignment horizontal="left"/>
    </xf>
    <xf numFmtId="0" fontId="12" fillId="0" borderId="0" xfId="13" applyFont="1" applyAlignment="1">
      <alignment horizontal="left" wrapText="1"/>
    </xf>
    <xf numFmtId="0" fontId="11" fillId="0" borderId="0" xfId="13" applyAlignment="1">
      <alignment horizontal="center" wrapText="1"/>
    </xf>
    <xf numFmtId="0" fontId="11" fillId="0" borderId="0" xfId="13" applyAlignment="1">
      <alignment wrapText="1"/>
    </xf>
    <xf numFmtId="0" fontId="11" fillId="13" borderId="0" xfId="13" applyFill="1" applyAlignment="1">
      <alignment wrapText="1"/>
    </xf>
    <xf numFmtId="0" fontId="11" fillId="13" borderId="0" xfId="13" applyFill="1" applyAlignment="1">
      <alignment horizontal="center" wrapText="1"/>
    </xf>
    <xf numFmtId="2" fontId="11" fillId="0" borderId="0" xfId="13" applyNumberFormat="1" applyAlignment="1">
      <alignment horizontal="center"/>
    </xf>
    <xf numFmtId="169" fontId="23" fillId="0" borderId="0" xfId="16" applyNumberFormat="1">
      <alignment horizontal="center"/>
    </xf>
    <xf numFmtId="4" fontId="23" fillId="0" borderId="0" xfId="16">
      <alignment horizontal="center"/>
    </xf>
    <xf numFmtId="4" fontId="23" fillId="0" borderId="19" xfId="16" applyBorder="1">
      <alignment horizontal="center"/>
    </xf>
    <xf numFmtId="0" fontId="7" fillId="6" borderId="20" xfId="10" applyBorder="1" applyAlignment="1" applyProtection="1">
      <alignment horizontal="left"/>
      <protection locked="0"/>
    </xf>
    <xf numFmtId="4" fontId="7" fillId="6" borderId="20" xfId="10" applyNumberFormat="1" applyBorder="1" applyAlignment="1">
      <alignment horizontal="center"/>
    </xf>
    <xf numFmtId="0" fontId="7" fillId="6" borderId="21" xfId="10" applyBorder="1"/>
    <xf numFmtId="2" fontId="24" fillId="0" borderId="0" xfId="13" applyNumberFormat="1" applyFont="1" applyAlignment="1">
      <alignment horizontal="center"/>
    </xf>
    <xf numFmtId="0" fontId="25" fillId="0" borderId="19" xfId="13" applyFont="1" applyBorder="1"/>
    <xf numFmtId="0" fontId="11" fillId="0" borderId="22" xfId="13" applyBorder="1"/>
    <xf numFmtId="0" fontId="12" fillId="0" borderId="23" xfId="13" applyFont="1" applyBorder="1" applyAlignment="1">
      <alignment horizontal="center"/>
    </xf>
    <xf numFmtId="0" fontId="12" fillId="0" borderId="22" xfId="13" applyFont="1" applyBorder="1" applyAlignment="1">
      <alignment horizontal="center"/>
    </xf>
    <xf numFmtId="2" fontId="24" fillId="0" borderId="24" xfId="13" applyNumberFormat="1" applyFont="1" applyBorder="1" applyAlignment="1">
      <alignment horizontal="center"/>
    </xf>
    <xf numFmtId="0" fontId="11" fillId="0" borderId="25" xfId="13" applyBorder="1" applyAlignment="1" applyProtection="1">
      <alignment horizontal="center"/>
      <protection locked="0"/>
    </xf>
    <xf numFmtId="0" fontId="11" fillId="0" borderId="24" xfId="13" applyBorder="1"/>
    <xf numFmtId="168" fontId="5" fillId="14" borderId="18" xfId="17" applyNumberFormat="1" applyBorder="1"/>
    <xf numFmtId="168" fontId="0" fillId="0" borderId="0" xfId="0" applyNumberFormat="1"/>
    <xf numFmtId="1" fontId="11" fillId="0" borderId="0" xfId="13" applyNumberFormat="1"/>
    <xf numFmtId="1" fontId="11" fillId="0" borderId="25" xfId="13" applyNumberFormat="1" applyBorder="1"/>
    <xf numFmtId="0" fontId="7" fillId="6" borderId="3" xfId="10"/>
    <xf numFmtId="0" fontId="6" fillId="5" borderId="3" xfId="9"/>
    <xf numFmtId="168" fontId="0" fillId="0" borderId="18" xfId="0" applyNumberFormat="1" applyBorder="1"/>
    <xf numFmtId="168" fontId="5" fillId="3" borderId="0" xfId="7" applyNumberFormat="1" applyBorder="1"/>
    <xf numFmtId="1" fontId="5" fillId="14" borderId="0" xfId="17" applyNumberFormat="1" applyBorder="1"/>
    <xf numFmtId="1" fontId="6" fillId="5" borderId="3" xfId="9" applyNumberFormat="1"/>
    <xf numFmtId="0" fontId="11" fillId="0" borderId="24" xfId="13" applyBorder="1" applyAlignment="1" applyProtection="1">
      <alignment horizontal="left"/>
      <protection locked="0"/>
    </xf>
    <xf numFmtId="1" fontId="11" fillId="0" borderId="0" xfId="13" applyNumberFormat="1" applyAlignment="1" applyProtection="1">
      <alignment horizontal="right"/>
      <protection locked="0"/>
    </xf>
    <xf numFmtId="0" fontId="11" fillId="0" borderId="6" xfId="13" applyBorder="1"/>
    <xf numFmtId="0" fontId="11" fillId="0" borderId="26" xfId="13" applyBorder="1"/>
    <xf numFmtId="0" fontId="12" fillId="0" borderId="27" xfId="13" applyFont="1" applyBorder="1" applyAlignment="1">
      <alignment horizontal="center"/>
    </xf>
    <xf numFmtId="0" fontId="11" fillId="0" borderId="26" xfId="13" applyBorder="1" applyAlignment="1">
      <alignment horizontal="center"/>
    </xf>
    <xf numFmtId="0" fontId="11" fillId="0" borderId="6" xfId="13" applyBorder="1" applyAlignment="1">
      <alignment horizontal="left"/>
    </xf>
    <xf numFmtId="0" fontId="12" fillId="0" borderId="19" xfId="13" applyFont="1" applyBorder="1"/>
    <xf numFmtId="0" fontId="11" fillId="0" borderId="22" xfId="13" applyBorder="1" applyAlignment="1">
      <alignment horizontal="center"/>
    </xf>
    <xf numFmtId="0" fontId="0" fillId="0" borderId="24" xfId="0" applyBorder="1"/>
    <xf numFmtId="167" fontId="11" fillId="0" borderId="0" xfId="13" applyNumberFormat="1"/>
    <xf numFmtId="0" fontId="0" fillId="0" borderId="18" xfId="0" applyBorder="1"/>
    <xf numFmtId="0" fontId="11" fillId="0" borderId="25" xfId="13" applyBorder="1"/>
    <xf numFmtId="168" fontId="11" fillId="0" borderId="0" xfId="13" applyNumberFormat="1"/>
    <xf numFmtId="0" fontId="11" fillId="0" borderId="0" xfId="13" quotePrefix="1"/>
    <xf numFmtId="1" fontId="0" fillId="0" borderId="18" xfId="0" applyNumberFormat="1" applyBorder="1"/>
    <xf numFmtId="1" fontId="0" fillId="0" borderId="0" xfId="0" applyNumberFormat="1"/>
    <xf numFmtId="1" fontId="0" fillId="0" borderId="25" xfId="0" applyNumberFormat="1" applyBorder="1"/>
    <xf numFmtId="9" fontId="11" fillId="0" borderId="0" xfId="2" applyFont="1" applyAlignment="1">
      <alignment horizontal="right"/>
    </xf>
    <xf numFmtId="0" fontId="12" fillId="0" borderId="24" xfId="13" applyFont="1" applyBorder="1"/>
    <xf numFmtId="0" fontId="9" fillId="0" borderId="0" xfId="0" applyFont="1" applyAlignment="1">
      <alignment wrapText="1"/>
    </xf>
    <xf numFmtId="2" fontId="0" fillId="0" borderId="18" xfId="0" applyNumberFormat="1" applyBorder="1"/>
    <xf numFmtId="2" fontId="0" fillId="0" borderId="0" xfId="0" applyNumberFormat="1"/>
    <xf numFmtId="2" fontId="0" fillId="0" borderId="25" xfId="0" applyNumberFormat="1" applyBorder="1"/>
    <xf numFmtId="0" fontId="26" fillId="0" borderId="5" xfId="0" applyFont="1" applyBorder="1" applyAlignment="1">
      <alignment vertical="top"/>
    </xf>
    <xf numFmtId="0" fontId="27" fillId="0" borderId="4" xfId="0" applyFont="1" applyBorder="1" applyAlignment="1">
      <alignment horizontal="center" vertical="center"/>
    </xf>
    <xf numFmtId="0" fontId="27" fillId="0" borderId="28" xfId="0" applyFont="1" applyBorder="1" applyAlignment="1">
      <alignment horizontal="center" vertical="center"/>
    </xf>
    <xf numFmtId="0" fontId="28" fillId="0" borderId="28" xfId="0" applyFont="1" applyBorder="1" applyAlignment="1">
      <alignment vertical="top"/>
    </xf>
    <xf numFmtId="0" fontId="27" fillId="0" borderId="8" xfId="0" applyFont="1" applyBorder="1" applyAlignment="1">
      <alignment horizontal="center" vertical="center"/>
    </xf>
    <xf numFmtId="166" fontId="11" fillId="0" borderId="0" xfId="2" applyNumberFormat="1" applyFont="1"/>
    <xf numFmtId="0" fontId="29" fillId="0" borderId="7" xfId="0" applyFont="1" applyBorder="1" applyAlignment="1">
      <alignment vertical="center"/>
    </xf>
    <xf numFmtId="0" fontId="27" fillId="0" borderId="29" xfId="0" applyFont="1" applyBorder="1" applyAlignment="1">
      <alignment vertical="center"/>
    </xf>
    <xf numFmtId="0" fontId="27" fillId="0" borderId="29" xfId="0" applyFont="1" applyBorder="1" applyAlignment="1">
      <alignment horizontal="center" vertical="center"/>
    </xf>
    <xf numFmtId="49" fontId="29" fillId="0" borderId="29" xfId="0" applyNumberFormat="1" applyFont="1" applyBorder="1" applyAlignment="1">
      <alignment vertical="center"/>
    </xf>
    <xf numFmtId="49" fontId="29"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7" xfId="0" applyNumberFormat="1" applyBorder="1"/>
    <xf numFmtId="1" fontId="0" fillId="0" borderId="26" xfId="0" applyNumberFormat="1" applyBorder="1"/>
    <xf numFmtId="1" fontId="0" fillId="0" borderId="29" xfId="0" applyNumberFormat="1" applyBorder="1"/>
    <xf numFmtId="0" fontId="7" fillId="6" borderId="3" xfId="10" applyAlignment="1">
      <alignment horizontal="center"/>
    </xf>
    <xf numFmtId="0" fontId="7" fillId="6" borderId="30" xfId="10" applyBorder="1"/>
    <xf numFmtId="0" fontId="7" fillId="6" borderId="31" xfId="10" applyBorder="1"/>
    <xf numFmtId="0" fontId="11" fillId="0" borderId="32" xfId="13" applyBorder="1"/>
    <xf numFmtId="9" fontId="11" fillId="0" borderId="0" xfId="2" applyFont="1"/>
    <xf numFmtId="0" fontId="0" fillId="0" borderId="19" xfId="0" applyBorder="1"/>
    <xf numFmtId="0" fontId="11" fillId="0" borderId="23" xfId="13" applyBorder="1"/>
    <xf numFmtId="0" fontId="11" fillId="0" borderId="33" xfId="13" applyBorder="1"/>
    <xf numFmtId="0" fontId="0" fillId="0" borderId="11" xfId="0" applyBorder="1"/>
    <xf numFmtId="166" fontId="11" fillId="0" borderId="0" xfId="2" applyNumberFormat="1" applyFont="1" applyAlignment="1">
      <alignment horizontal="center"/>
    </xf>
    <xf numFmtId="0" fontId="6" fillId="5" borderId="3" xfId="9" applyAlignment="1" applyProtection="1">
      <alignment horizontal="center"/>
      <protection locked="0"/>
    </xf>
    <xf numFmtId="166" fontId="1" fillId="0" borderId="24" xfId="2" applyNumberFormat="1" applyFont="1" applyBorder="1"/>
    <xf numFmtId="9" fontId="5" fillId="3" borderId="0" xfId="7" applyNumberFormat="1"/>
    <xf numFmtId="166" fontId="11" fillId="0" borderId="18" xfId="13" applyNumberFormat="1" applyBorder="1"/>
    <xf numFmtId="9" fontId="11" fillId="0" borderId="0" xfId="13" applyNumberFormat="1"/>
    <xf numFmtId="166" fontId="11" fillId="0" borderId="0" xfId="13" applyNumberFormat="1"/>
    <xf numFmtId="0" fontId="30" fillId="0" borderId="34" xfId="0" applyFont="1" applyBorder="1"/>
    <xf numFmtId="166" fontId="5" fillId="3" borderId="0" xfId="7" applyNumberFormat="1"/>
    <xf numFmtId="166" fontId="11" fillId="0" borderId="0" xfId="2" applyNumberFormat="1" applyFont="1" applyBorder="1"/>
    <xf numFmtId="4" fontId="11" fillId="0" borderId="33" xfId="13" applyNumberFormat="1" applyBorder="1"/>
    <xf numFmtId="166" fontId="1" fillId="0" borderId="6" xfId="2" applyNumberFormat="1" applyFont="1" applyBorder="1"/>
    <xf numFmtId="166" fontId="5" fillId="3" borderId="26" xfId="7" applyNumberFormat="1" applyBorder="1"/>
    <xf numFmtId="166" fontId="11" fillId="0" borderId="26" xfId="2" applyNumberFormat="1" applyFont="1" applyBorder="1"/>
    <xf numFmtId="166" fontId="11" fillId="0" borderId="27" xfId="2" applyNumberFormat="1" applyFont="1" applyBorder="1"/>
    <xf numFmtId="166" fontId="11" fillId="0" borderId="26" xfId="13" applyNumberFormat="1" applyBorder="1"/>
    <xf numFmtId="4" fontId="11" fillId="0" borderId="7" xfId="13" applyNumberFormat="1" applyBorder="1"/>
    <xf numFmtId="2" fontId="11" fillId="0" borderId="0" xfId="13" applyNumberFormat="1"/>
    <xf numFmtId="0" fontId="0" fillId="0" borderId="0" xfId="0" applyAlignment="1">
      <alignment horizontal="left"/>
    </xf>
    <xf numFmtId="0" fontId="9" fillId="0" borderId="0" xfId="0" applyFont="1" applyAlignment="1">
      <alignment horizontal="center" vertical="center"/>
    </xf>
    <xf numFmtId="0" fontId="9" fillId="0" borderId="0" xfId="0" applyFont="1" applyAlignment="1">
      <alignment horizontal="left" vertical="center"/>
    </xf>
    <xf numFmtId="0" fontId="0" fillId="0" borderId="0" xfId="0" applyAlignment="1">
      <alignment horizontal="right" vertical="center"/>
    </xf>
    <xf numFmtId="0" fontId="12" fillId="0" borderId="14" xfId="13" applyFont="1" applyBorder="1"/>
    <xf numFmtId="0" fontId="12" fillId="0" borderId="14" xfId="13" applyFont="1" applyBorder="1" applyAlignment="1">
      <alignment horizontal="center"/>
    </xf>
    <xf numFmtId="0" fontId="11" fillId="0" borderId="14" xfId="13" applyBorder="1"/>
    <xf numFmtId="2" fontId="12" fillId="0" borderId="14" xfId="13" applyNumberFormat="1" applyFont="1" applyBorder="1" applyAlignment="1">
      <alignment horizontal="center"/>
    </xf>
    <xf numFmtId="2" fontId="11" fillId="0" borderId="14" xfId="13" applyNumberFormat="1" applyBorder="1" applyAlignment="1">
      <alignment horizontal="center"/>
    </xf>
    <xf numFmtId="0" fontId="9" fillId="0" borderId="0" xfId="0" applyFont="1" applyAlignment="1">
      <alignment horizontal="right" vertical="center"/>
    </xf>
    <xf numFmtId="2" fontId="11" fillId="0" borderId="0" xfId="13" applyNumberFormat="1" applyAlignment="1">
      <alignment horizontal="left"/>
    </xf>
    <xf numFmtId="170" fontId="11" fillId="0" borderId="0" xfId="13" applyNumberFormat="1" applyAlignment="1" applyProtection="1">
      <alignment horizontal="right"/>
      <protection locked="0"/>
    </xf>
    <xf numFmtId="2" fontId="31" fillId="0" borderId="0" xfId="13" applyNumberFormat="1" applyFont="1" applyAlignment="1">
      <alignment horizontal="center"/>
    </xf>
    <xf numFmtId="3" fontId="11" fillId="0" borderId="0" xfId="13" applyNumberFormat="1" applyAlignment="1">
      <alignment horizontal="left"/>
    </xf>
    <xf numFmtId="2" fontId="11" fillId="0" borderId="26" xfId="13" applyNumberFormat="1" applyBorder="1" applyAlignment="1">
      <alignment horizontal="center"/>
    </xf>
    <xf numFmtId="2" fontId="12" fillId="0" borderId="0" xfId="13" applyNumberFormat="1" applyFont="1" applyAlignment="1">
      <alignment horizontal="left"/>
    </xf>
    <xf numFmtId="0" fontId="0" fillId="0" borderId="0" xfId="0" applyAlignment="1">
      <alignment horizontal="center"/>
    </xf>
    <xf numFmtId="0" fontId="18" fillId="0" borderId="0" xfId="13" applyFont="1" applyAlignment="1">
      <alignment wrapText="1"/>
    </xf>
    <xf numFmtId="0" fontId="32" fillId="0" borderId="0" xfId="13" applyFont="1"/>
    <xf numFmtId="0" fontId="12" fillId="0" borderId="0" xfId="13" applyFont="1" applyAlignment="1">
      <alignment horizontal="center" wrapText="1"/>
    </xf>
    <xf numFmtId="166" fontId="12" fillId="0" borderId="0" xfId="2" applyNumberFormat="1" applyFont="1" applyFill="1" applyBorder="1" applyAlignment="1">
      <alignment horizontal="center" wrapText="1"/>
    </xf>
    <xf numFmtId="0" fontId="12" fillId="0" borderId="11" xfId="13" applyFont="1" applyBorder="1" applyAlignment="1">
      <alignment horizontal="center" wrapText="1"/>
    </xf>
    <xf numFmtId="0" fontId="12" fillId="0" borderId="0" xfId="13" applyFont="1" applyAlignment="1">
      <alignment horizontal="center" vertical="center" wrapText="1"/>
    </xf>
    <xf numFmtId="0" fontId="11" fillId="0" borderId="0" xfId="13" applyAlignment="1">
      <alignment horizontal="center" vertical="center"/>
    </xf>
    <xf numFmtId="2" fontId="33" fillId="0" borderId="26" xfId="13" applyNumberFormat="1" applyFont="1" applyBorder="1" applyAlignment="1">
      <alignment horizontal="center"/>
    </xf>
    <xf numFmtId="1" fontId="11" fillId="0" borderId="26" xfId="13" applyNumberFormat="1" applyBorder="1" applyAlignment="1">
      <alignment horizontal="center"/>
    </xf>
    <xf numFmtId="0" fontId="12" fillId="15" borderId="27" xfId="13" applyFont="1" applyFill="1" applyBorder="1" applyAlignment="1">
      <alignment horizontal="center" wrapText="1"/>
    </xf>
    <xf numFmtId="0" fontId="12" fillId="15" borderId="26" xfId="13" applyFont="1" applyFill="1" applyBorder="1" applyAlignment="1">
      <alignment horizontal="center" wrapText="1"/>
    </xf>
    <xf numFmtId="2" fontId="11" fillId="0" borderId="26" xfId="13" applyNumberFormat="1" applyBorder="1"/>
    <xf numFmtId="0" fontId="12" fillId="0" borderId="0" xfId="13" applyFont="1" applyAlignment="1" applyProtection="1">
      <alignment horizontal="left"/>
      <protection locked="0"/>
    </xf>
    <xf numFmtId="0" fontId="32" fillId="0" borderId="0" xfId="13" applyFont="1" applyAlignment="1" applyProtection="1">
      <alignment horizontal="center"/>
      <protection locked="0"/>
    </xf>
    <xf numFmtId="0" fontId="32" fillId="0" borderId="0" xfId="13" applyFont="1" applyAlignment="1">
      <alignment horizontal="center"/>
    </xf>
    <xf numFmtId="0" fontId="11" fillId="0" borderId="0" xfId="13" applyAlignment="1" applyProtection="1">
      <alignment horizontal="left"/>
      <protection locked="0"/>
    </xf>
    <xf numFmtId="0" fontId="34" fillId="0" borderId="0" xfId="7" applyFont="1" applyFill="1" applyBorder="1"/>
    <xf numFmtId="3" fontId="11" fillId="0" borderId="0" xfId="13" applyNumberFormat="1" applyAlignment="1">
      <alignment horizontal="right"/>
    </xf>
    <xf numFmtId="0" fontId="11" fillId="0" borderId="0" xfId="18" applyNumberFormat="1" applyFont="1" applyFill="1" applyBorder="1" applyAlignment="1"/>
    <xf numFmtId="0" fontId="11" fillId="0" borderId="0" xfId="18" applyNumberFormat="1" applyFont="1" applyFill="1" applyBorder="1" applyAlignment="1">
      <alignment horizontal="right"/>
    </xf>
    <xf numFmtId="0" fontId="32" fillId="0" borderId="0" xfId="13" applyFont="1" applyAlignment="1" applyProtection="1">
      <alignment horizontal="left"/>
      <protection locked="0"/>
    </xf>
    <xf numFmtId="166" fontId="11" fillId="0" borderId="0" xfId="18" applyNumberFormat="1" applyFont="1" applyFill="1" applyAlignment="1">
      <alignment horizontal="right"/>
    </xf>
    <xf numFmtId="2" fontId="11" fillId="0" borderId="0" xfId="18" applyNumberFormat="1" applyFont="1" applyFill="1" applyBorder="1" applyAlignment="1">
      <alignment horizontal="right"/>
    </xf>
    <xf numFmtId="0" fontId="11" fillId="0" borderId="0" xfId="18" applyNumberFormat="1" applyFont="1" applyFill="1" applyAlignment="1">
      <alignment horizontal="right"/>
    </xf>
    <xf numFmtId="2" fontId="11" fillId="0" borderId="0" xfId="18" applyNumberFormat="1" applyFont="1" applyFill="1" applyAlignment="1">
      <alignment horizontal="right"/>
    </xf>
    <xf numFmtId="0" fontId="35" fillId="0" borderId="0" xfId="15" applyAlignment="1" applyProtection="1"/>
    <xf numFmtId="165" fontId="38" fillId="0" borderId="1" xfId="19" applyNumberFormat="1"/>
    <xf numFmtId="0" fontId="39" fillId="0" borderId="0" xfId="0" applyFont="1"/>
    <xf numFmtId="165" fontId="40" fillId="0" borderId="0" xfId="20" applyNumberFormat="1" applyFont="1"/>
    <xf numFmtId="171" fontId="40" fillId="0" borderId="0" xfId="21" applyNumberFormat="1" applyFont="1" applyAlignment="1">
      <alignment horizontal="center"/>
    </xf>
    <xf numFmtId="0" fontId="3" fillId="0" borderId="0" xfId="0" applyFont="1"/>
    <xf numFmtId="0" fontId="40" fillId="0" borderId="0" xfId="21" applyFont="1"/>
    <xf numFmtId="0" fontId="42" fillId="0" borderId="0" xfId="0" applyFont="1" applyAlignment="1">
      <alignment horizontal="right"/>
    </xf>
    <xf numFmtId="167" fontId="42" fillId="0" borderId="0" xfId="0" applyNumberFormat="1" applyFont="1"/>
    <xf numFmtId="0" fontId="42" fillId="0" borderId="0" xfId="0" applyFont="1" applyAlignment="1">
      <alignment horizontal="left"/>
    </xf>
    <xf numFmtId="0" fontId="0" fillId="0" borderId="0" xfId="0" applyAlignment="1">
      <alignment horizontal="center" wrapText="1"/>
    </xf>
    <xf numFmtId="0" fontId="40" fillId="0" borderId="0" xfId="0" applyFont="1" applyAlignment="1">
      <alignment horizontal="right" vertical="top" wrapText="1"/>
    </xf>
    <xf numFmtId="171" fontId="40" fillId="0" borderId="0" xfId="0" applyNumberFormat="1" applyFont="1"/>
    <xf numFmtId="0" fontId="40" fillId="0" borderId="0" xfId="0" applyFont="1"/>
    <xf numFmtId="0" fontId="40" fillId="0" borderId="0" xfId="0" applyFont="1" applyAlignment="1">
      <alignment horizontal="right"/>
    </xf>
    <xf numFmtId="0" fontId="9" fillId="0" borderId="18" xfId="0" applyFont="1" applyBorder="1" applyAlignment="1">
      <alignment horizontal="left" wrapText="1"/>
    </xf>
    <xf numFmtId="0" fontId="9" fillId="0" borderId="17" xfId="0" applyFont="1" applyBorder="1" applyAlignment="1">
      <alignment horizontal="left"/>
    </xf>
    <xf numFmtId="16" fontId="0" fillId="17" borderId="18" xfId="0" applyNumberFormat="1" applyFill="1" applyBorder="1"/>
    <xf numFmtId="0" fontId="0" fillId="17" borderId="0" xfId="0" applyFill="1"/>
    <xf numFmtId="0" fontId="0" fillId="18" borderId="17" xfId="0" applyFill="1" applyBorder="1" applyAlignment="1">
      <alignment horizontal="center" wrapText="1"/>
    </xf>
    <xf numFmtId="168" fontId="0" fillId="0" borderId="0" xfId="0" quotePrefix="1" applyNumberFormat="1"/>
    <xf numFmtId="0" fontId="45" fillId="0" borderId="0" xfId="0" applyFont="1"/>
    <xf numFmtId="166" fontId="10" fillId="8" borderId="0" xfId="12" applyNumberFormat="1"/>
    <xf numFmtId="9" fontId="10" fillId="8" borderId="0" xfId="12" applyNumberFormat="1"/>
    <xf numFmtId="9" fontId="10" fillId="7" borderId="0" xfId="11"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6" fillId="5" borderId="36" xfId="9" applyNumberFormat="1" applyBorder="1"/>
    <xf numFmtId="9" fontId="6" fillId="5" borderId="37" xfId="9" applyNumberFormat="1" applyBorder="1"/>
    <xf numFmtId="9" fontId="6" fillId="5" borderId="38" xfId="9" applyNumberFormat="1" applyBorder="1"/>
    <xf numFmtId="173" fontId="46" fillId="0" borderId="0" xfId="1" applyNumberFormat="1" applyFont="1"/>
    <xf numFmtId="173" fontId="0" fillId="0" borderId="0" xfId="1" applyNumberFormat="1" applyFont="1"/>
    <xf numFmtId="168" fontId="0" fillId="0" borderId="17" xfId="0" applyNumberFormat="1" applyBorder="1"/>
    <xf numFmtId="0" fontId="9" fillId="0" borderId="9" xfId="0" applyFont="1" applyBorder="1" applyAlignment="1">
      <alignment horizontal="center"/>
    </xf>
    <xf numFmtId="9" fontId="47" fillId="5" borderId="39" xfId="9" applyNumberFormat="1" applyFont="1" applyBorder="1"/>
    <xf numFmtId="9" fontId="47" fillId="5" borderId="3" xfId="9" applyNumberFormat="1" applyFont="1"/>
    <xf numFmtId="9" fontId="47" fillId="5" borderId="40" xfId="9" applyNumberFormat="1" applyFont="1" applyBorder="1"/>
    <xf numFmtId="9" fontId="6" fillId="5" borderId="39" xfId="9" applyNumberFormat="1" applyBorder="1"/>
    <xf numFmtId="9" fontId="6" fillId="5" borderId="3" xfId="9" applyNumberFormat="1"/>
    <xf numFmtId="9" fontId="6" fillId="5" borderId="40" xfId="9" applyNumberFormat="1" applyBorder="1"/>
    <xf numFmtId="0" fontId="0" fillId="0" borderId="10" xfId="0" applyBorder="1"/>
    <xf numFmtId="171" fontId="40"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6" fillId="5" borderId="41" xfId="9" applyNumberFormat="1" applyBorder="1"/>
    <xf numFmtId="9" fontId="6" fillId="5" borderId="42" xfId="9" applyNumberFormat="1" applyBorder="1"/>
    <xf numFmtId="9" fontId="6" fillId="5" borderId="43" xfId="9" applyNumberFormat="1" applyBorder="1"/>
    <xf numFmtId="10" fontId="0" fillId="0" borderId="0" xfId="2" applyNumberFormat="1" applyFont="1"/>
    <xf numFmtId="0" fontId="42" fillId="0" borderId="0" xfId="0" applyFont="1"/>
    <xf numFmtId="174" fontId="42"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9" fillId="0" borderId="53" xfId="0" applyFont="1" applyBorder="1"/>
    <xf numFmtId="0" fontId="9" fillId="0" borderId="54" xfId="0" applyFont="1" applyBorder="1"/>
    <xf numFmtId="0" fontId="9" fillId="0" borderId="54" xfId="0" applyFont="1" applyBorder="1" applyAlignment="1">
      <alignment horizontal="right"/>
    </xf>
    <xf numFmtId="0" fontId="9" fillId="0" borderId="55" xfId="0" applyFont="1" applyBorder="1" applyAlignment="1">
      <alignment horizontal="right"/>
    </xf>
    <xf numFmtId="9" fontId="34" fillId="4" borderId="0" xfId="8"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8"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8" fillId="0" borderId="18" xfId="0" applyFont="1" applyBorder="1"/>
    <xf numFmtId="0" fontId="8" fillId="0" borderId="13" xfId="0" applyFont="1" applyBorder="1"/>
    <xf numFmtId="0" fontId="8"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8" fillId="0" borderId="35" xfId="0" applyFont="1" applyBorder="1"/>
    <xf numFmtId="0" fontId="8" fillId="0" borderId="14" xfId="0" applyFont="1" applyBorder="1"/>
    <xf numFmtId="0" fontId="8" fillId="0" borderId="15" xfId="0" applyFont="1" applyBorder="1"/>
    <xf numFmtId="9" fontId="0" fillId="0" borderId="0" xfId="0" applyNumberFormat="1"/>
    <xf numFmtId="0" fontId="9"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8" fillId="0" borderId="0" xfId="0" applyFont="1"/>
    <xf numFmtId="0" fontId="49" fillId="0" borderId="0" xfId="0" applyFont="1"/>
    <xf numFmtId="0" fontId="50" fillId="0" borderId="0" xfId="0" applyFont="1"/>
    <xf numFmtId="0" fontId="51" fillId="0" borderId="0" xfId="0" applyFont="1"/>
    <xf numFmtId="0" fontId="52" fillId="20" borderId="56" xfId="0" applyFont="1" applyFill="1" applyBorder="1" applyAlignment="1">
      <alignment horizontal="center" vertical="center" wrapText="1"/>
    </xf>
    <xf numFmtId="0" fontId="52" fillId="20" borderId="57" xfId="0" applyFont="1" applyFill="1" applyBorder="1" applyAlignment="1">
      <alignment horizontal="center" vertical="center" wrapText="1"/>
    </xf>
    <xf numFmtId="0" fontId="39" fillId="0" borderId="59" xfId="0" applyFont="1" applyBorder="1" applyAlignment="1">
      <alignment horizontal="center" vertical="center" wrapText="1"/>
    </xf>
    <xf numFmtId="0" fontId="55" fillId="20" borderId="58" xfId="0" applyFont="1" applyFill="1" applyBorder="1" applyAlignment="1">
      <alignment horizontal="justify" vertical="center"/>
    </xf>
    <xf numFmtId="0" fontId="55" fillId="20" borderId="62" xfId="0" applyFont="1" applyFill="1" applyBorder="1" applyAlignment="1">
      <alignment horizontal="center" vertical="center"/>
    </xf>
    <xf numFmtId="0" fontId="55" fillId="20" borderId="63" xfId="0" applyFont="1" applyFill="1" applyBorder="1" applyAlignment="1">
      <alignment horizontal="center" vertical="center"/>
    </xf>
    <xf numFmtId="0" fontId="39" fillId="0" borderId="61" xfId="0" applyFont="1" applyBorder="1" applyAlignment="1">
      <alignment horizontal="justify" vertical="center"/>
    </xf>
    <xf numFmtId="1" fontId="39" fillId="0" borderId="63" xfId="0" applyNumberFormat="1" applyFont="1" applyBorder="1" applyAlignment="1">
      <alignment horizontal="center" vertical="center"/>
    </xf>
    <xf numFmtId="10" fontId="39" fillId="0" borderId="63" xfId="2" applyNumberFormat="1" applyFont="1" applyBorder="1" applyAlignment="1">
      <alignment horizontal="center" vertical="center"/>
    </xf>
    <xf numFmtId="0" fontId="39" fillId="0" borderId="61" xfId="0" applyFont="1" applyBorder="1" applyAlignment="1">
      <alignment horizontal="center" vertical="center"/>
    </xf>
    <xf numFmtId="0" fontId="0" fillId="21" borderId="0" xfId="0" applyFill="1"/>
    <xf numFmtId="176" fontId="0" fillId="0" borderId="0" xfId="1" applyNumberFormat="1" applyFont="1"/>
    <xf numFmtId="0" fontId="0" fillId="22" borderId="0" xfId="0" applyFill="1"/>
    <xf numFmtId="0" fontId="39" fillId="0" borderId="60" xfId="0" applyFont="1" applyBorder="1" applyAlignment="1">
      <alignment horizontal="justify" vertical="center"/>
    </xf>
    <xf numFmtId="1" fontId="39" fillId="0" borderId="59" xfId="0" applyNumberFormat="1" applyFont="1" applyBorder="1" applyAlignment="1">
      <alignment horizontal="center" vertical="center"/>
    </xf>
    <xf numFmtId="10" fontId="39" fillId="0" borderId="59" xfId="2" applyNumberFormat="1" applyFont="1" applyBorder="1" applyAlignment="1">
      <alignment horizontal="center" vertical="center"/>
    </xf>
    <xf numFmtId="0" fontId="39" fillId="0" borderId="60" xfId="0" applyFont="1" applyBorder="1" applyAlignment="1">
      <alignment horizontal="center" vertical="center"/>
    </xf>
    <xf numFmtId="177" fontId="0" fillId="0" borderId="0" xfId="0" applyNumberFormat="1"/>
    <xf numFmtId="178" fontId="0" fillId="0" borderId="0" xfId="0" applyNumberFormat="1"/>
    <xf numFmtId="0" fontId="56" fillId="0" borderId="0" xfId="0" applyFont="1"/>
    <xf numFmtId="0" fontId="57" fillId="0" borderId="0" xfId="0" applyFont="1"/>
    <xf numFmtId="1" fontId="0" fillId="0" borderId="0" xfId="0" applyNumberFormat="1" applyAlignment="1">
      <alignment vertical="center"/>
    </xf>
    <xf numFmtId="2" fontId="58" fillId="0" borderId="0" xfId="0" applyNumberFormat="1" applyFont="1"/>
    <xf numFmtId="9" fontId="0" fillId="0" borderId="0" xfId="2" applyFont="1"/>
    <xf numFmtId="3" fontId="0" fillId="0" borderId="0" xfId="0" applyNumberFormat="1"/>
    <xf numFmtId="3" fontId="56" fillId="0" borderId="0" xfId="0" applyNumberFormat="1" applyFont="1"/>
    <xf numFmtId="171" fontId="5" fillId="3" borderId="0" xfId="7" applyNumberFormat="1"/>
    <xf numFmtId="0" fontId="41" fillId="0" borderId="0" xfId="13" applyFont="1"/>
    <xf numFmtId="165" fontId="41" fillId="0" borderId="0" xfId="20" applyNumberFormat="1" applyFont="1"/>
    <xf numFmtId="0" fontId="0" fillId="0" borderId="0" xfId="0" applyAlignment="1">
      <alignment vertical="center"/>
    </xf>
    <xf numFmtId="17" fontId="6" fillId="5" borderId="3" xfId="9" applyNumberFormat="1"/>
    <xf numFmtId="0" fontId="2" fillId="0" borderId="1" xfId="3"/>
    <xf numFmtId="0" fontId="3" fillId="0" borderId="0" xfId="5"/>
    <xf numFmtId="0" fontId="3" fillId="0" borderId="2" xfId="4"/>
    <xf numFmtId="167" fontId="0" fillId="0" borderId="0" xfId="0" applyNumberFormat="1"/>
    <xf numFmtId="0" fontId="21" fillId="0" borderId="0" xfId="22"/>
    <xf numFmtId="166" fontId="0" fillId="0" borderId="0" xfId="2" applyNumberFormat="1" applyFont="1"/>
    <xf numFmtId="0" fontId="2" fillId="0" borderId="0" xfId="3" applyBorder="1"/>
    <xf numFmtId="0" fontId="9" fillId="0" borderId="11" xfId="0" applyFont="1" applyBorder="1"/>
    <xf numFmtId="0" fontId="9" fillId="0" borderId="34" xfId="0" applyFont="1" applyBorder="1"/>
    <xf numFmtId="0" fontId="9" fillId="0" borderId="16" xfId="0" applyFont="1" applyBorder="1"/>
    <xf numFmtId="0" fontId="21" fillId="0" borderId="0" xfId="22" applyBorder="1" applyAlignment="1" applyProtection="1"/>
    <xf numFmtId="0" fontId="0" fillId="0" borderId="0" xfId="0" quotePrefix="1"/>
    <xf numFmtId="0" fontId="9" fillId="0" borderId="18" xfId="0" applyFont="1" applyBorder="1"/>
    <xf numFmtId="0" fontId="9" fillId="0" borderId="13" xfId="0" applyFont="1" applyBorder="1"/>
    <xf numFmtId="0" fontId="9" fillId="0" borderId="14" xfId="0" applyFont="1" applyBorder="1" applyAlignment="1">
      <alignment wrapText="1"/>
    </xf>
    <xf numFmtId="0" fontId="9" fillId="0" borderId="15" xfId="0" applyFont="1" applyBorder="1" applyAlignment="1">
      <alignment wrapText="1"/>
    </xf>
    <xf numFmtId="0" fontId="9" fillId="0" borderId="35" xfId="0" applyFont="1" applyBorder="1" applyAlignment="1">
      <alignment wrapText="1"/>
    </xf>
    <xf numFmtId="17" fontId="0" fillId="0" borderId="17" xfId="0" applyNumberFormat="1" applyBorder="1"/>
    <xf numFmtId="2" fontId="0" fillId="0" borderId="17" xfId="0" applyNumberFormat="1" applyBorder="1"/>
    <xf numFmtId="0" fontId="0" fillId="10" borderId="34" xfId="0" applyFill="1" applyBorder="1"/>
    <xf numFmtId="0" fontId="0" fillId="10" borderId="16" xfId="0" applyFill="1" applyBorder="1"/>
    <xf numFmtId="0" fontId="60" fillId="0" borderId="18" xfId="0" applyFont="1" applyBorder="1"/>
    <xf numFmtId="0" fontId="50"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6" fontId="0" fillId="0" borderId="0" xfId="0" applyNumberFormat="1"/>
    <xf numFmtId="4"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2" fillId="0" borderId="0" xfId="0" applyFont="1"/>
    <xf numFmtId="0" fontId="12" fillId="0" borderId="0" xfId="0" applyFont="1" applyAlignment="1">
      <alignment horizontal="right"/>
    </xf>
    <xf numFmtId="0" fontId="61" fillId="0" borderId="64" xfId="0" applyFont="1" applyBorder="1" applyAlignment="1">
      <alignment wrapText="1"/>
    </xf>
    <xf numFmtId="0" fontId="61" fillId="0" borderId="0" xfId="0" applyFont="1" applyAlignment="1">
      <alignment wrapText="1"/>
    </xf>
    <xf numFmtId="2" fontId="61" fillId="0" borderId="0" xfId="0" applyNumberFormat="1" applyFont="1" applyAlignment="1">
      <alignment wrapText="1"/>
    </xf>
    <xf numFmtId="10" fontId="61" fillId="0" borderId="0" xfId="0" applyNumberFormat="1" applyFont="1" applyAlignment="1">
      <alignment wrapText="1"/>
    </xf>
    <xf numFmtId="2" fontId="6" fillId="5" borderId="3" xfId="9" applyNumberFormat="1" applyAlignment="1">
      <alignment wrapText="1"/>
    </xf>
    <xf numFmtId="2" fontId="61" fillId="0" borderId="64" xfId="0" applyNumberFormat="1" applyFont="1" applyBorder="1" applyAlignment="1">
      <alignment wrapText="1"/>
    </xf>
    <xf numFmtId="0" fontId="6" fillId="5" borderId="3" xfId="9" applyAlignment="1">
      <alignment wrapText="1"/>
    </xf>
    <xf numFmtId="0" fontId="6" fillId="5" borderId="3" xfId="9" applyAlignment="1">
      <alignment horizontal="center"/>
    </xf>
    <xf numFmtId="10" fontId="6" fillId="5" borderId="3" xfId="9" applyNumberFormat="1" applyAlignment="1">
      <alignment horizontal="center"/>
    </xf>
    <xf numFmtId="4" fontId="6" fillId="5" borderId="3" xfId="9" applyNumberFormat="1" applyAlignment="1">
      <alignment horizontal="center"/>
    </xf>
    <xf numFmtId="4" fontId="4" fillId="2" borderId="3" xfId="6" applyNumberFormat="1" applyBorder="1" applyAlignment="1">
      <alignment horizontal="center"/>
    </xf>
    <xf numFmtId="0" fontId="0" fillId="9" borderId="9" xfId="0" applyFill="1" applyBorder="1"/>
    <xf numFmtId="0" fontId="0" fillId="0" borderId="14" xfId="0" applyBorder="1" applyAlignment="1">
      <alignment horizontal="center"/>
    </xf>
    <xf numFmtId="0" fontId="0" fillId="0" borderId="53" xfId="0" applyBorder="1" applyAlignment="1">
      <alignment horizontal="center"/>
    </xf>
    <xf numFmtId="0" fontId="0" fillId="0" borderId="55" xfId="0" applyBorder="1" applyAlignment="1">
      <alignment horizontal="center"/>
    </xf>
    <xf numFmtId="0" fontId="0" fillId="0" borderId="54" xfId="0" applyBorder="1" applyAlignment="1">
      <alignment horizontal="center"/>
    </xf>
    <xf numFmtId="0" fontId="12" fillId="0" borderId="47" xfId="13" applyFont="1" applyBorder="1" applyAlignment="1">
      <alignment horizontal="center"/>
    </xf>
    <xf numFmtId="0" fontId="0" fillId="23" borderId="34" xfId="0" applyFill="1" applyBorder="1"/>
    <xf numFmtId="0" fontId="0" fillId="0" borderId="34" xfId="0" applyBorder="1" applyAlignment="1">
      <alignment horizontal="center"/>
    </xf>
    <xf numFmtId="2" fontId="7" fillId="6" borderId="37" xfId="10" applyNumberFormat="1" applyBorder="1" applyAlignment="1">
      <alignment horizontal="center"/>
    </xf>
    <xf numFmtId="0" fontId="0" fillId="0" borderId="16" xfId="0" applyBorder="1" applyAlignment="1">
      <alignment horizontal="center"/>
    </xf>
    <xf numFmtId="0" fontId="0" fillId="0" borderId="11" xfId="0" applyBorder="1" applyAlignment="1">
      <alignment horizontal="center"/>
    </xf>
    <xf numFmtId="4" fontId="7" fillId="6" borderId="38" xfId="10" applyNumberFormat="1" applyBorder="1" applyAlignment="1">
      <alignment horizontal="center"/>
    </xf>
    <xf numFmtId="4" fontId="7" fillId="6" borderId="65" xfId="10" applyNumberFormat="1" applyBorder="1" applyAlignment="1">
      <alignment horizontal="center"/>
    </xf>
    <xf numFmtId="0" fontId="0" fillId="23" borderId="35" xfId="0" applyFill="1" applyBorder="1"/>
    <xf numFmtId="0" fontId="0" fillId="0" borderId="35" xfId="0" applyBorder="1" applyAlignment="1">
      <alignment horizontal="center"/>
    </xf>
    <xf numFmtId="2" fontId="7" fillId="6" borderId="42" xfId="10" applyNumberFormat="1" applyBorder="1" applyAlignment="1">
      <alignment horizontal="center"/>
    </xf>
    <xf numFmtId="0" fontId="0" fillId="0" borderId="15" xfId="0" applyBorder="1" applyAlignment="1">
      <alignment horizontal="center"/>
    </xf>
    <xf numFmtId="4" fontId="7" fillId="6" borderId="43" xfId="10" applyNumberFormat="1" applyBorder="1" applyAlignment="1">
      <alignment horizontal="center"/>
    </xf>
    <xf numFmtId="4" fontId="7" fillId="6" borderId="66" xfId="10" applyNumberFormat="1" applyBorder="1" applyAlignment="1">
      <alignment horizontal="center"/>
    </xf>
    <xf numFmtId="0" fontId="0" fillId="23" borderId="0" xfId="0" applyFill="1"/>
    <xf numFmtId="2" fontId="7" fillId="6" borderId="38" xfId="10" applyNumberFormat="1" applyBorder="1" applyAlignment="1">
      <alignment horizontal="center"/>
    </xf>
    <xf numFmtId="2" fontId="7" fillId="6" borderId="43" xfId="10" applyNumberFormat="1" applyBorder="1" applyAlignment="1">
      <alignment horizontal="center"/>
    </xf>
    <xf numFmtId="2" fontId="7" fillId="6" borderId="67" xfId="10" applyNumberFormat="1" applyBorder="1" applyAlignment="1">
      <alignment horizontal="center"/>
    </xf>
    <xf numFmtId="4" fontId="7" fillId="6" borderId="37" xfId="10" applyNumberFormat="1" applyBorder="1" applyAlignment="1">
      <alignment horizontal="center"/>
    </xf>
    <xf numFmtId="2" fontId="7" fillId="6" borderId="68" xfId="10" applyNumberFormat="1" applyBorder="1" applyAlignment="1">
      <alignment horizontal="center"/>
    </xf>
    <xf numFmtId="4" fontId="7" fillId="6" borderId="42" xfId="10" applyNumberFormat="1" applyBorder="1" applyAlignment="1">
      <alignment horizontal="center"/>
    </xf>
    <xf numFmtId="2" fontId="7" fillId="6" borderId="69" xfId="10" applyNumberFormat="1" applyBorder="1" applyAlignment="1">
      <alignment horizontal="center"/>
    </xf>
    <xf numFmtId="2" fontId="16" fillId="6" borderId="69" xfId="10" applyNumberFormat="1" applyFont="1" applyBorder="1" applyAlignment="1">
      <alignment horizontal="center"/>
    </xf>
    <xf numFmtId="4" fontId="7" fillId="6" borderId="70" xfId="10" applyNumberFormat="1" applyBorder="1" applyAlignment="1">
      <alignment horizontal="center"/>
    </xf>
    <xf numFmtId="4" fontId="7" fillId="6" borderId="9" xfId="10" applyNumberFormat="1" applyBorder="1" applyAlignment="1">
      <alignment horizontal="center"/>
    </xf>
    <xf numFmtId="0" fontId="0" fillId="24" borderId="34" xfId="0" applyFill="1" applyBorder="1"/>
    <xf numFmtId="2" fontId="7" fillId="24" borderId="67" xfId="10" applyNumberFormat="1" applyFill="1" applyBorder="1" applyAlignment="1">
      <alignment horizontal="center"/>
    </xf>
    <xf numFmtId="0" fontId="0" fillId="24" borderId="11" xfId="0" applyFill="1" applyBorder="1" applyAlignment="1">
      <alignment horizontal="center"/>
    </xf>
    <xf numFmtId="0" fontId="0" fillId="24" borderId="16" xfId="0" applyFill="1" applyBorder="1" applyAlignment="1">
      <alignment horizontal="center"/>
    </xf>
    <xf numFmtId="4" fontId="7" fillId="24" borderId="37" xfId="10" applyNumberFormat="1" applyFill="1" applyBorder="1" applyAlignment="1">
      <alignment horizontal="center"/>
    </xf>
    <xf numFmtId="0" fontId="0" fillId="24" borderId="35" xfId="0" applyFill="1" applyBorder="1"/>
    <xf numFmtId="2" fontId="7" fillId="24" borderId="68" xfId="10" applyNumberFormat="1" applyFill="1" applyBorder="1" applyAlignment="1">
      <alignment horizontal="center"/>
    </xf>
    <xf numFmtId="0" fontId="0" fillId="24" borderId="14" xfId="0" applyFill="1" applyBorder="1" applyAlignment="1">
      <alignment horizontal="center"/>
    </xf>
    <xf numFmtId="0" fontId="0" fillId="24" borderId="15" xfId="0" applyFill="1" applyBorder="1" applyAlignment="1">
      <alignment horizontal="center"/>
    </xf>
    <xf numFmtId="4" fontId="7" fillId="24" borderId="42" xfId="10" applyNumberFormat="1" applyFill="1" applyBorder="1" applyAlignment="1">
      <alignment horizontal="center"/>
    </xf>
    <xf numFmtId="0" fontId="0" fillId="24" borderId="53" xfId="0" applyFill="1" applyBorder="1"/>
    <xf numFmtId="2" fontId="7" fillId="24" borderId="69" xfId="10" applyNumberFormat="1" applyFill="1" applyBorder="1" applyAlignment="1">
      <alignment horizontal="center"/>
    </xf>
    <xf numFmtId="0" fontId="0" fillId="24" borderId="54" xfId="0" applyFill="1" applyBorder="1" applyAlignment="1">
      <alignment horizontal="center"/>
    </xf>
    <xf numFmtId="0" fontId="0" fillId="24" borderId="55" xfId="0" applyFill="1" applyBorder="1" applyAlignment="1">
      <alignment horizontal="center"/>
    </xf>
    <xf numFmtId="4" fontId="7" fillId="24" borderId="70" xfId="10" applyNumberFormat="1" applyFill="1" applyBorder="1" applyAlignment="1">
      <alignment horizontal="center"/>
    </xf>
    <xf numFmtId="168" fontId="0" fillId="25" borderId="0" xfId="0" applyNumberFormat="1" applyFill="1"/>
    <xf numFmtId="0" fontId="0" fillId="0" borderId="0" xfId="0" applyAlignment="1">
      <alignment horizontal="center" vertical="center" wrapText="1"/>
    </xf>
    <xf numFmtId="9" fontId="1" fillId="0" borderId="0" xfId="2" applyFont="1" applyAlignment="1">
      <alignment horizontal="center"/>
    </xf>
    <xf numFmtId="3" fontId="1" fillId="0" borderId="0" xfId="2" applyNumberFormat="1" applyFont="1" applyAlignment="1">
      <alignment horizontal="center"/>
    </xf>
    <xf numFmtId="3" fontId="6" fillId="5" borderId="3" xfId="9" applyNumberFormat="1" applyAlignment="1">
      <alignment horizontal="center"/>
    </xf>
    <xf numFmtId="3" fontId="7" fillId="6" borderId="3" xfId="10" applyNumberFormat="1" applyAlignment="1">
      <alignment horizontal="center"/>
    </xf>
    <xf numFmtId="3" fontId="7" fillId="6" borderId="71" xfId="10" applyNumberFormat="1" applyBorder="1" applyAlignment="1">
      <alignment horizontal="center"/>
    </xf>
    <xf numFmtId="9" fontId="6" fillId="5" borderId="3" xfId="9" applyNumberFormat="1" applyAlignment="1">
      <alignment horizontal="center"/>
    </xf>
    <xf numFmtId="9" fontId="7" fillId="6" borderId="3" xfId="10" applyNumberFormat="1" applyAlignment="1">
      <alignment horizontal="center"/>
    </xf>
    <xf numFmtId="176" fontId="1" fillId="0" borderId="0" xfId="1" applyNumberFormat="1" applyFont="1"/>
    <xf numFmtId="183" fontId="0" fillId="0" borderId="0" xfId="0" applyNumberFormat="1"/>
    <xf numFmtId="165" fontId="64" fillId="26" borderId="72" xfId="13" applyNumberFormat="1" applyFont="1" applyFill="1" applyBorder="1" applyAlignment="1">
      <alignment horizontal="center" vertical="center" wrapText="1"/>
    </xf>
    <xf numFmtId="0" fontId="64" fillId="26" borderId="72" xfId="13" applyFont="1" applyFill="1" applyBorder="1" applyAlignment="1">
      <alignment horizontal="center" vertical="center" wrapText="1"/>
    </xf>
    <xf numFmtId="165" fontId="11" fillId="0" borderId="0" xfId="13" applyNumberFormat="1"/>
    <xf numFmtId="1" fontId="0" fillId="0" borderId="0" xfId="0" applyNumberFormat="1" applyAlignment="1">
      <alignment horizontal="center"/>
    </xf>
    <xf numFmtId="165" fontId="65" fillId="0" borderId="72" xfId="13" applyNumberFormat="1" applyFont="1" applyBorder="1" applyAlignment="1">
      <alignment horizontal="left" vertical="center" wrapText="1"/>
    </xf>
    <xf numFmtId="4" fontId="65" fillId="0" borderId="72" xfId="13" applyNumberFormat="1" applyFont="1" applyBorder="1" applyAlignment="1">
      <alignment horizontal="right" vertical="center" wrapText="1"/>
    </xf>
    <xf numFmtId="4" fontId="66" fillId="0" borderId="72" xfId="13" applyNumberFormat="1" applyFont="1" applyBorder="1" applyAlignment="1">
      <alignment horizontal="right" vertical="center" wrapText="1"/>
    </xf>
    <xf numFmtId="165" fontId="65" fillId="0" borderId="0" xfId="13" applyNumberFormat="1" applyFont="1" applyAlignment="1">
      <alignment horizontal="left" vertical="center" wrapText="1"/>
    </xf>
    <xf numFmtId="4" fontId="65" fillId="0" borderId="0" xfId="13" applyNumberFormat="1" applyFont="1" applyAlignment="1">
      <alignment horizontal="left" vertical="center"/>
    </xf>
    <xf numFmtId="0" fontId="67" fillId="0" borderId="0" xfId="23" applyAlignment="1" applyProtection="1"/>
    <xf numFmtId="184" fontId="0" fillId="0" borderId="0" xfId="24" applyNumberFormat="1" applyFont="1" applyAlignment="1">
      <alignment horizontal="center"/>
    </xf>
    <xf numFmtId="0" fontId="6" fillId="5" borderId="3" xfId="25" applyNumberFormat="1"/>
    <xf numFmtId="0" fontId="7" fillId="6" borderId="3" xfId="26" applyNumberFormat="1"/>
    <xf numFmtId="171" fontId="7" fillId="6" borderId="3" xfId="26" applyNumberFormat="1"/>
    <xf numFmtId="0" fontId="65" fillId="0" borderId="72" xfId="13" applyFont="1" applyBorder="1" applyAlignment="1">
      <alignment horizontal="right" vertical="center" wrapText="1"/>
    </xf>
    <xf numFmtId="0" fontId="65" fillId="0" borderId="0" xfId="13"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5" fillId="0" borderId="0" xfId="13" applyNumberFormat="1" applyFont="1" applyAlignment="1">
      <alignment horizontal="left" vertical="center"/>
    </xf>
    <xf numFmtId="1" fontId="16" fillId="0" borderId="9" xfId="0" applyNumberFormat="1" applyFont="1" applyBorder="1"/>
    <xf numFmtId="183" fontId="16" fillId="0" borderId="9" xfId="0" applyNumberFormat="1" applyFont="1" applyBorder="1"/>
    <xf numFmtId="183" fontId="16" fillId="0" borderId="9" xfId="24" applyFont="1" applyBorder="1"/>
    <xf numFmtId="0" fontId="68" fillId="0" borderId="0" xfId="0" applyFont="1"/>
    <xf numFmtId="0" fontId="40" fillId="0" borderId="0" xfId="0" applyFont="1" applyAlignment="1">
      <alignment horizontal="center"/>
    </xf>
    <xf numFmtId="0" fontId="69" fillId="0" borderId="0" xfId="22" applyFont="1" applyAlignment="1" applyProtection="1">
      <alignment horizontal="center"/>
    </xf>
    <xf numFmtId="183" fontId="9" fillId="0" borderId="0" xfId="24" applyFont="1" applyAlignment="1">
      <alignment horizontal="left"/>
    </xf>
    <xf numFmtId="185" fontId="9" fillId="0" borderId="0" xfId="24" applyNumberFormat="1" applyFont="1"/>
    <xf numFmtId="2" fontId="9" fillId="0" borderId="9" xfId="0" applyNumberFormat="1" applyFont="1" applyBorder="1"/>
    <xf numFmtId="0" fontId="16" fillId="0" borderId="0" xfId="0" applyFont="1"/>
    <xf numFmtId="0" fontId="16" fillId="0" borderId="9" xfId="0" applyFont="1" applyBorder="1"/>
    <xf numFmtId="2" fontId="0" fillId="0" borderId="9" xfId="0" applyNumberFormat="1" applyBorder="1" applyAlignment="1">
      <alignment horizontal="center"/>
    </xf>
    <xf numFmtId="0" fontId="0" fillId="13" borderId="0" xfId="0" applyFill="1"/>
    <xf numFmtId="0" fontId="9" fillId="11" borderId="14" xfId="0" applyFont="1" applyFill="1" applyBorder="1"/>
    <xf numFmtId="0" fontId="0" fillId="11" borderId="0" xfId="0" applyFill="1"/>
    <xf numFmtId="0" fontId="70" fillId="0" borderId="0" xfId="0" applyFont="1" applyAlignment="1">
      <alignment horizontal="left" vertical="center" indent="3"/>
    </xf>
    <xf numFmtId="171" fontId="11" fillId="0" borderId="0" xfId="13" applyNumberFormat="1"/>
    <xf numFmtId="0" fontId="40" fillId="0" borderId="0" xfId="13" applyFont="1"/>
    <xf numFmtId="0" fontId="72" fillId="0" borderId="0" xfId="13"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9"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5" fillId="3" borderId="0" xfId="7" applyNumberFormat="1"/>
    <xf numFmtId="1" fontId="11" fillId="0" borderId="0" xfId="18" applyNumberFormat="1" applyFont="1" applyFill="1" applyAlignment="1">
      <alignment horizontal="right"/>
    </xf>
    <xf numFmtId="1" fontId="73" fillId="0" borderId="0" xfId="18" applyNumberFormat="1" applyFont="1" applyFill="1" applyAlignment="1">
      <alignment horizontal="right"/>
    </xf>
    <xf numFmtId="168" fontId="11" fillId="0" borderId="0" xfId="18" applyNumberFormat="1" applyFont="1" applyFill="1" applyAlignment="1">
      <alignment horizontal="right"/>
    </xf>
    <xf numFmtId="171" fontId="11" fillId="0" borderId="0" xfId="18" applyNumberFormat="1" applyFont="1" applyFill="1" applyAlignment="1">
      <alignment horizontal="right"/>
    </xf>
    <xf numFmtId="0" fontId="38" fillId="0" borderId="1" xfId="19" applyFill="1" applyAlignment="1"/>
    <xf numFmtId="0" fontId="12" fillId="0" borderId="14" xfId="13" applyFont="1" applyBorder="1" applyAlignment="1">
      <alignment horizontal="center" wrapText="1"/>
    </xf>
    <xf numFmtId="0" fontId="11" fillId="0" borderId="26" xfId="13" applyBorder="1" applyAlignment="1">
      <alignment horizontal="center" wrapText="1"/>
    </xf>
    <xf numFmtId="168" fontId="5" fillId="0" borderId="0" xfId="7" applyNumberFormat="1" applyFill="1" applyAlignment="1">
      <alignment horizontal="right"/>
    </xf>
    <xf numFmtId="0" fontId="74" fillId="0" borderId="0" xfId="21" applyFont="1"/>
    <xf numFmtId="0" fontId="22" fillId="0" borderId="0" xfId="13" applyFont="1" applyAlignment="1">
      <alignment horizontal="center"/>
    </xf>
    <xf numFmtId="0" fontId="12" fillId="0" borderId="0" xfId="13" applyFont="1" applyAlignment="1">
      <alignment horizontal="center" wrapText="1"/>
    </xf>
    <xf numFmtId="0" fontId="12" fillId="0" borderId="18" xfId="13" applyFont="1" applyBorder="1" applyAlignment="1">
      <alignment horizontal="center" wrapText="1"/>
    </xf>
    <xf numFmtId="0" fontId="43" fillId="19" borderId="0" xfId="0" applyFont="1" applyFill="1" applyAlignment="1">
      <alignment horizontal="center" vertical="top" wrapText="1"/>
    </xf>
    <xf numFmtId="0" fontId="43" fillId="16" borderId="0" xfId="0" applyFont="1" applyFill="1" applyAlignment="1">
      <alignment horizontal="center" vertical="top" wrapText="1"/>
    </xf>
    <xf numFmtId="0" fontId="9" fillId="0" borderId="12" xfId="0" applyFont="1" applyBorder="1" applyAlignment="1">
      <alignment horizontal="left" wrapText="1"/>
    </xf>
    <xf numFmtId="0" fontId="9" fillId="0" borderId="10" xfId="0" applyFont="1" applyBorder="1" applyAlignment="1">
      <alignment horizontal="left" wrapText="1"/>
    </xf>
    <xf numFmtId="0" fontId="9" fillId="0" borderId="12" xfId="0" applyFont="1" applyBorder="1" applyAlignment="1">
      <alignment horizontal="left"/>
    </xf>
    <xf numFmtId="0" fontId="9" fillId="0" borderId="10" xfId="0" applyFont="1" applyBorder="1" applyAlignment="1">
      <alignment horizontal="left"/>
    </xf>
    <xf numFmtId="0" fontId="9" fillId="17" borderId="34" xfId="0" applyFont="1" applyFill="1" applyBorder="1" applyAlignment="1">
      <alignment horizontal="center" wrapText="1"/>
    </xf>
    <xf numFmtId="0" fontId="9" fillId="17" borderId="11" xfId="0" applyFont="1" applyFill="1" applyBorder="1" applyAlignment="1">
      <alignment horizontal="center" wrapText="1"/>
    </xf>
    <xf numFmtId="0" fontId="9" fillId="17" borderId="16" xfId="0" applyFont="1" applyFill="1" applyBorder="1" applyAlignment="1">
      <alignment horizontal="center" wrapText="1"/>
    </xf>
    <xf numFmtId="0" fontId="9" fillId="17" borderId="35" xfId="0" applyFont="1" applyFill="1" applyBorder="1" applyAlignment="1">
      <alignment horizontal="center" wrapText="1"/>
    </xf>
    <xf numFmtId="0" fontId="9" fillId="17" borderId="14" xfId="0" applyFont="1" applyFill="1" applyBorder="1" applyAlignment="1">
      <alignment horizontal="center" wrapText="1"/>
    </xf>
    <xf numFmtId="0" fontId="0" fillId="18" borderId="12" xfId="0" applyFill="1" applyBorder="1" applyAlignment="1">
      <alignment horizontal="center" wrapText="1"/>
    </xf>
    <xf numFmtId="0" fontId="0" fillId="18" borderId="10" xfId="0" applyFill="1"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0" xfId="0" applyAlignment="1">
      <alignment horizontal="center"/>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39" fillId="0" borderId="58" xfId="0" applyFont="1" applyBorder="1" applyAlignment="1">
      <alignment horizontal="center" vertical="center" wrapText="1"/>
    </xf>
    <xf numFmtId="0" fontId="39" fillId="0" borderId="60" xfId="0" applyFont="1" applyBorder="1" applyAlignment="1">
      <alignment horizontal="center" vertical="center" wrapText="1"/>
    </xf>
    <xf numFmtId="0" fontId="46" fillId="0" borderId="58" xfId="0" applyFont="1" applyBorder="1" applyAlignment="1">
      <alignment horizontal="center" vertical="center" wrapText="1"/>
    </xf>
    <xf numFmtId="0" fontId="46" fillId="0" borderId="61" xfId="0" applyFont="1" applyBorder="1" applyAlignment="1">
      <alignment horizontal="center" vertical="center" wrapText="1"/>
    </xf>
    <xf numFmtId="0" fontId="46" fillId="0" borderId="60" xfId="0" applyFont="1" applyBorder="1" applyAlignment="1">
      <alignment horizontal="center" vertical="center" wrapText="1"/>
    </xf>
    <xf numFmtId="0" fontId="0" fillId="0" borderId="9" xfId="0" applyBorder="1" applyAlignment="1">
      <alignment horizontal="center" wrapText="1"/>
    </xf>
    <xf numFmtId="0" fontId="0" fillId="0" borderId="53" xfId="0" applyBorder="1" applyAlignment="1">
      <alignment horizontal="center"/>
    </xf>
    <xf numFmtId="0" fontId="0" fillId="0" borderId="55" xfId="0" applyBorder="1" applyAlignment="1">
      <alignment horizontal="center"/>
    </xf>
    <xf numFmtId="0" fontId="0" fillId="0" borderId="14" xfId="0" applyBorder="1" applyAlignment="1">
      <alignment horizontal="center"/>
    </xf>
    <xf numFmtId="0" fontId="16" fillId="0" borderId="9" xfId="0" applyFont="1" applyBorder="1" applyAlignment="1">
      <alignment horizontal="center"/>
    </xf>
    <xf numFmtId="0" fontId="0" fillId="0" borderId="73" xfId="0" applyBorder="1" applyAlignment="1">
      <alignment horizontal="center" vertical="center" wrapText="1"/>
    </xf>
    <xf numFmtId="0" fontId="0" fillId="0" borderId="10" xfId="0" applyBorder="1" applyAlignment="1">
      <alignment horizontal="center" vertical="center" wrapText="1"/>
    </xf>
    <xf numFmtId="2" fontId="0" fillId="0" borderId="73"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1" builtinId="33"/>
    <cellStyle name="Accent4" xfId="12" builtinId="41"/>
    <cellStyle name="Bad" xfId="7" builtinId="27"/>
    <cellStyle name="Bad 2" xfId="17" xr:uid="{C22BBABE-0275-46D8-957C-7FABB87D667C}"/>
    <cellStyle name="Calculation" xfId="10" builtinId="22"/>
    <cellStyle name="Calculation 2" xfId="26" xr:uid="{47415489-1E1D-48CB-BB6B-584CD289286B}"/>
    <cellStyle name="Comma" xfId="1" builtinId="3"/>
    <cellStyle name="Comma 5" xfId="24" xr:uid="{BFE84131-06BF-428A-855C-925D32DCE183}"/>
    <cellStyle name="External" xfId="16" xr:uid="{2C1469EB-A3D5-4D2F-98AD-ACF1D4693D90}"/>
    <cellStyle name="Good" xfId="6" builtinId="26"/>
    <cellStyle name="Heading 2" xfId="3" builtinId="17"/>
    <cellStyle name="Heading 2 2 2" xfId="19" xr:uid="{50BB6043-A408-4A3F-9C9B-25486B99EBCF}"/>
    <cellStyle name="Heading 3" xfId="4" builtinId="18"/>
    <cellStyle name="Heading 4" xfId="5" builtinId="19"/>
    <cellStyle name="Hyperlink" xfId="15" builtinId="8"/>
    <cellStyle name="Hyperlink 2" xfId="23" xr:uid="{1453A0D4-9274-4DCE-976F-A9AAD67C3195}"/>
    <cellStyle name="Hyperlink 3" xfId="22" xr:uid="{40583186-2F09-41CF-9B1E-29BA2D337FC0}"/>
    <cellStyle name="Input" xfId="9" builtinId="20"/>
    <cellStyle name="Input 2" xfId="25" xr:uid="{A216671B-3FB8-437B-9819-1134423C4E0A}"/>
    <cellStyle name="Neutral" xfId="8" builtinId="28"/>
    <cellStyle name="Neutral 2" xfId="14" xr:uid="{8BAB2F59-DD71-4645-89A4-3E1139B9805A}"/>
    <cellStyle name="Normal" xfId="0" builtinId="0"/>
    <cellStyle name="Normal 13" xfId="21" xr:uid="{E2592950-4ED9-41AE-B126-E7C61CACE4FB}"/>
    <cellStyle name="Normal 2" xfId="13" xr:uid="{07540C44-1236-4F52-ADF2-28F7197333C4}"/>
    <cellStyle name="Normal 2 2" xfId="20" xr:uid="{9E14FE11-A3BB-42F9-9021-8042EAB56468}"/>
    <cellStyle name="Percent" xfId="2" builtinId="5"/>
    <cellStyle name="Percent 2" xfId="18"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calcChain" Target="calcChain.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IEW_WEO!$C$76</c:f>
              <c:strCache>
                <c:ptCount val="1"/>
                <c:pt idx="0">
                  <c:v>  Moderate Low Sulfur Light (dollars per barrel)</c:v>
                </c:pt>
              </c:strCache>
            </c:strRef>
          </c:tx>
          <c:spPr>
            <a:ln w="38100">
              <a:solidFill>
                <a:srgbClr val="993366"/>
              </a:solidFill>
              <a:prstDash val="solid"/>
            </a:ln>
          </c:spPr>
          <c:marker>
            <c:symbol val="none"/>
          </c:marker>
          <c:cat>
            <c:numRef>
              <c:f>IEW_WEO!$D$75:$BB$75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IEW_WEO!$D$76:$BB$76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IEW_WEO!$C$77</c:f>
              <c:strCache>
                <c:ptCount val="1"/>
                <c:pt idx="0">
                  <c:v>high</c:v>
                </c:pt>
              </c:strCache>
            </c:strRef>
          </c:tx>
          <c:spPr>
            <a:ln w="38100">
              <a:solidFill>
                <a:srgbClr val="90713A"/>
              </a:solidFill>
              <a:prstDash val="solid"/>
            </a:ln>
          </c:spPr>
          <c:marker>
            <c:symbol val="none"/>
          </c:marker>
          <c:cat>
            <c:numRef>
              <c:f>IEW_WEO!$D$75:$BB$75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IEW_WEO!$D$77:$BB$77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IEW_WEO!$BI$18</c:f>
              <c:strCache>
                <c:ptCount val="1"/>
                <c:pt idx="0">
                  <c:v>Coal</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IEW_WEO!$BI$19</c:f>
              <c:strCache>
                <c:ptCount val="1"/>
                <c:pt idx="0">
                  <c:v>Coal Discard</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IEW_WEO!$BI$21</c:f>
              <c:strCache>
                <c:ptCount val="1"/>
                <c:pt idx="0">
                  <c:v>Nuclear</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IEW_WEO!$BI$23</c:f>
              <c:strCache>
                <c:ptCount val="1"/>
                <c:pt idx="0">
                  <c:v>Gas Indigenous Ibhubezi Piped</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IEW_WEO!$BI$24</c:f>
              <c:strCache>
                <c:ptCount val="1"/>
                <c:pt idx="0">
                  <c:v>Gas Indigenous Piped Shale</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IEW_WEO!$BI$25</c:f>
              <c:strCache>
                <c:ptCount val="1"/>
                <c:pt idx="0">
                  <c:v>Gas Northern Mozambique Piped</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IEW_WEO!$BI$26</c:f>
              <c:strCache>
                <c:ptCount val="1"/>
                <c:pt idx="0">
                  <c:v>Gas Regasified LNG</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IEW_WEO!$BI$27</c:f>
              <c:strCache>
                <c:ptCount val="1"/>
                <c:pt idx="0">
                  <c:v>FSRU</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IEW_WEO!$BI$28</c:f>
              <c:strCache>
                <c:ptCount val="1"/>
                <c:pt idx="0">
                  <c:v>IRP21010 Gas</c:v>
                </c:pt>
              </c:strCache>
            </c:strRef>
          </c:tx>
          <c:marker>
            <c:symbol val="none"/>
          </c:marker>
          <c:cat>
            <c:numRef>
              <c:f>IEW_WEO!$BJ$17:$BP$17</c:f>
              <c:numCache>
                <c:formatCode>General</c:formatCode>
                <c:ptCount val="7"/>
                <c:pt idx="0">
                  <c:v>2010</c:v>
                </c:pt>
                <c:pt idx="1">
                  <c:v>2015</c:v>
                </c:pt>
                <c:pt idx="2">
                  <c:v>2020</c:v>
                </c:pt>
                <c:pt idx="3">
                  <c:v>2025</c:v>
                </c:pt>
                <c:pt idx="4">
                  <c:v>2030</c:v>
                </c:pt>
                <c:pt idx="5">
                  <c:v>2035</c:v>
                </c:pt>
                <c:pt idx="6">
                  <c:v>2040</c:v>
                </c:pt>
              </c:numCache>
            </c:numRef>
          </c:cat>
          <c:val>
            <c:numRef>
              <c:f>IEW_WEO!$BJ$28:$BP$28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IEW_WEO!$BY$94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IEW_WEO!$BZ$93:$CC$93</c:f>
              <c:numCache>
                <c:formatCode>General</c:formatCode>
                <c:ptCount val="4"/>
                <c:pt idx="0">
                  <c:v>2020</c:v>
                </c:pt>
                <c:pt idx="1">
                  <c:v>2030</c:v>
                </c:pt>
                <c:pt idx="2">
                  <c:v>2040</c:v>
                </c:pt>
                <c:pt idx="3">
                  <c:v>2050</c:v>
                </c:pt>
              </c:numCache>
            </c:numRef>
          </c:xVal>
          <c:yVal>
            <c:numRef>
              <c:f>IEW_WEO!$BZ$94:$CC$94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IEW_WEO!$BY$95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IEW_WEO!$BZ$93:$CC$93</c:f>
              <c:numCache>
                <c:formatCode>General</c:formatCode>
                <c:ptCount val="4"/>
                <c:pt idx="0">
                  <c:v>2020</c:v>
                </c:pt>
                <c:pt idx="1">
                  <c:v>2030</c:v>
                </c:pt>
                <c:pt idx="2">
                  <c:v>2040</c:v>
                </c:pt>
                <c:pt idx="3">
                  <c:v>2050</c:v>
                </c:pt>
              </c:numCache>
            </c:numRef>
          </c:xVal>
          <c:yVal>
            <c:numRef>
              <c:f>IEW_WEO!$BZ$95:$CC$95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IEW_WEO!$BY$96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IEW_WEO!$BZ$93:$CC$93</c:f>
              <c:numCache>
                <c:formatCode>General</c:formatCode>
                <c:ptCount val="4"/>
                <c:pt idx="0">
                  <c:v>2020</c:v>
                </c:pt>
                <c:pt idx="1">
                  <c:v>2030</c:v>
                </c:pt>
                <c:pt idx="2">
                  <c:v>2040</c:v>
                </c:pt>
                <c:pt idx="3">
                  <c:v>2050</c:v>
                </c:pt>
              </c:numCache>
            </c:numRef>
          </c:xVal>
          <c:yVal>
            <c:numRef>
              <c:f>IEW_WEO!$BZ$96:$CC$96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IEW_WEO!$CJ$94</c:f>
              <c:strCache>
                <c:ptCount val="1"/>
                <c:pt idx="0">
                  <c:v>Stated Policies</c:v>
                </c:pt>
              </c:strCache>
            </c:strRef>
          </c:tx>
          <c:spPr>
            <a:ln w="19050" cap="rnd">
              <a:solidFill>
                <a:schemeClr val="accent1"/>
              </a:solidFill>
              <a:round/>
            </a:ln>
            <a:effectLst/>
          </c:spPr>
          <c:marker>
            <c:symbol val="none"/>
          </c:marker>
          <c:xVal>
            <c:numRef>
              <c:f>IEW_WEO!$CK$93:$CR$93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IEW_WEO!$CK$94:$CR$94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IEW_WEO!$CJ$95</c:f>
              <c:strCache>
                <c:ptCount val="1"/>
                <c:pt idx="0">
                  <c:v>Sustainable Development</c:v>
                </c:pt>
              </c:strCache>
            </c:strRef>
          </c:tx>
          <c:spPr>
            <a:ln w="19050" cap="rnd">
              <a:solidFill>
                <a:schemeClr val="accent2"/>
              </a:solidFill>
              <a:round/>
            </a:ln>
            <a:effectLst/>
          </c:spPr>
          <c:marker>
            <c:symbol val="none"/>
          </c:marker>
          <c:xVal>
            <c:numRef>
              <c:f>IEW_WEO!$CK$93:$CR$93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IEW_WEO!$CK$95:$CR$95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IEW_WEO!$CJ$96</c:f>
              <c:strCache>
                <c:ptCount val="1"/>
                <c:pt idx="0">
                  <c:v>Delayed Recovery</c:v>
                </c:pt>
              </c:strCache>
            </c:strRef>
          </c:tx>
          <c:spPr>
            <a:ln w="19050" cap="rnd">
              <a:solidFill>
                <a:schemeClr val="accent3"/>
              </a:solidFill>
              <a:round/>
            </a:ln>
            <a:effectLst/>
          </c:spPr>
          <c:marker>
            <c:symbol val="none"/>
          </c:marker>
          <c:xVal>
            <c:numRef>
              <c:f>IEW_WEO!$CK$93:$CR$93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IEW_WEO!$CK$96:$CR$96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emf"/><Relationship Id="rId13" Type="http://schemas.openxmlformats.org/officeDocument/2006/relationships/image" Target="../media/image16.png"/><Relationship Id="rId3" Type="http://schemas.openxmlformats.org/officeDocument/2006/relationships/image" Target="../media/image9.png"/><Relationship Id="rId7" Type="http://schemas.openxmlformats.org/officeDocument/2006/relationships/image" Target="../media/image12.png"/><Relationship Id="rId12" Type="http://schemas.openxmlformats.org/officeDocument/2006/relationships/image" Target="../media/image15.png"/><Relationship Id="rId2" Type="http://schemas.openxmlformats.org/officeDocument/2006/relationships/image" Target="../media/image8.png"/><Relationship Id="rId1" Type="http://schemas.openxmlformats.org/officeDocument/2006/relationships/chart" Target="../charts/chart6.xml"/><Relationship Id="rId6" Type="http://schemas.openxmlformats.org/officeDocument/2006/relationships/image" Target="../media/image11.emf"/><Relationship Id="rId11" Type="http://schemas.openxmlformats.org/officeDocument/2006/relationships/chart" Target="../charts/chart9.xml"/><Relationship Id="rId5" Type="http://schemas.openxmlformats.org/officeDocument/2006/relationships/image" Target="../media/image10.emf"/><Relationship Id="rId10" Type="http://schemas.openxmlformats.org/officeDocument/2006/relationships/image" Target="../media/image14.png"/><Relationship Id="rId4" Type="http://schemas.openxmlformats.org/officeDocument/2006/relationships/chart" Target="../charts/chart7.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122</xdr:row>
      <xdr:rowOff>0</xdr:rowOff>
    </xdr:from>
    <xdr:to>
      <xdr:col>32</xdr:col>
      <xdr:colOff>365760</xdr:colOff>
      <xdr:row>143</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148</xdr:row>
      <xdr:rowOff>0</xdr:rowOff>
    </xdr:from>
    <xdr:to>
      <xdr:col>13</xdr:col>
      <xdr:colOff>459105</xdr:colOff>
      <xdr:row>167</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168</xdr:row>
      <xdr:rowOff>0</xdr:rowOff>
    </xdr:from>
    <xdr:to>
      <xdr:col>13</xdr:col>
      <xdr:colOff>367665</xdr:colOff>
      <xdr:row>189</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168</xdr:row>
      <xdr:rowOff>0</xdr:rowOff>
    </xdr:from>
    <xdr:to>
      <xdr:col>21</xdr:col>
      <xdr:colOff>786765</xdr:colOff>
      <xdr:row>189</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146</xdr:row>
      <xdr:rowOff>68580</xdr:rowOff>
    </xdr:from>
    <xdr:to>
      <xdr:col>21</xdr:col>
      <xdr:colOff>504825</xdr:colOff>
      <xdr:row>167</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0</xdr:colOff>
      <xdr:row>92</xdr:row>
      <xdr:rowOff>0</xdr:rowOff>
    </xdr:from>
    <xdr:to>
      <xdr:col>14</xdr:col>
      <xdr:colOff>251460</xdr:colOff>
      <xdr:row>125</xdr:row>
      <xdr:rowOff>91440</xdr:rowOff>
    </xdr:to>
    <xdr:pic>
      <xdr:nvPicPr>
        <xdr:cNvPr id="2" name="Picture 1">
          <a:extLst>
            <a:ext uri="{FF2B5EF4-FFF2-40B4-BE49-F238E27FC236}">
              <a16:creationId xmlns:a16="http://schemas.microsoft.com/office/drawing/2014/main" id="{2FDCA827-4851-41A5-A49E-3582B3B61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0" y="17630775"/>
          <a:ext cx="4061460" cy="7139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571500</xdr:colOff>
      <xdr:row>64</xdr:row>
      <xdr:rowOff>45720</xdr:rowOff>
    </xdr:from>
    <xdr:to>
      <xdr:col>17</xdr:col>
      <xdr:colOff>716280</xdr:colOff>
      <xdr:row>89</xdr:row>
      <xdr:rowOff>38100</xdr:rowOff>
    </xdr:to>
    <xdr:pic>
      <xdr:nvPicPr>
        <xdr:cNvPr id="3" name="Picture 1">
          <a:extLst>
            <a:ext uri="{FF2B5EF4-FFF2-40B4-BE49-F238E27FC236}">
              <a16:creationId xmlns:a16="http://schemas.microsoft.com/office/drawing/2014/main" id="{4E574D41-427B-4397-90AE-7B078D84C1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0" y="12342495"/>
          <a:ext cx="7764780" cy="475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758189</xdr:colOff>
      <xdr:row>153</xdr:row>
      <xdr:rowOff>106680</xdr:rowOff>
    </xdr:from>
    <xdr:to>
      <xdr:col>4</xdr:col>
      <xdr:colOff>19050</xdr:colOff>
      <xdr:row>156</xdr:row>
      <xdr:rowOff>47655</xdr:rowOff>
    </xdr:to>
    <xdr:sp macro="" textlink="">
      <xdr:nvSpPr>
        <xdr:cNvPr id="4" name="Rectangle 3">
          <a:extLst>
            <a:ext uri="{FF2B5EF4-FFF2-40B4-BE49-F238E27FC236}">
              <a16:creationId xmlns:a16="http://schemas.microsoft.com/office/drawing/2014/main" id="{C568A7A4-F9C8-485C-A327-4C9E56E33BA3}"/>
            </a:ext>
          </a:extLst>
        </xdr:cNvPr>
        <xdr:cNvSpPr/>
      </xdr:nvSpPr>
      <xdr:spPr>
        <a:xfrm>
          <a:off x="3006089" y="30119955"/>
          <a:ext cx="984886" cy="51247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2000 km</a:t>
          </a:r>
          <a:r>
            <a:rPr lang="en-ZA" sz="1100" baseline="0"/>
            <a:t> Pipeline</a:t>
          </a:r>
          <a:endParaRPr lang="en-ZA" sz="1100"/>
        </a:p>
      </xdr:txBody>
    </xdr:sp>
    <xdr:clientData/>
  </xdr:twoCellAnchor>
  <xdr:twoCellAnchor>
    <xdr:from>
      <xdr:col>3</xdr:col>
      <xdr:colOff>19049</xdr:colOff>
      <xdr:row>161</xdr:row>
      <xdr:rowOff>28575</xdr:rowOff>
    </xdr:from>
    <xdr:to>
      <xdr:col>4</xdr:col>
      <xdr:colOff>57150</xdr:colOff>
      <xdr:row>163</xdr:row>
      <xdr:rowOff>144750</xdr:rowOff>
    </xdr:to>
    <xdr:sp macro="" textlink="">
      <xdr:nvSpPr>
        <xdr:cNvPr id="5" name="Rectangle 4">
          <a:extLst>
            <a:ext uri="{FF2B5EF4-FFF2-40B4-BE49-F238E27FC236}">
              <a16:creationId xmlns:a16="http://schemas.microsoft.com/office/drawing/2014/main" id="{D43431A0-F961-45FB-8D33-8473C8B7401F}"/>
            </a:ext>
          </a:extLst>
        </xdr:cNvPr>
        <xdr:cNvSpPr/>
      </xdr:nvSpPr>
      <xdr:spPr>
        <a:xfrm>
          <a:off x="3028949" y="31565850"/>
          <a:ext cx="1000126" cy="49717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2</xdr:col>
      <xdr:colOff>746759</xdr:colOff>
      <xdr:row>176</xdr:row>
      <xdr:rowOff>9525</xdr:rowOff>
    </xdr:from>
    <xdr:to>
      <xdr:col>4</xdr:col>
      <xdr:colOff>0</xdr:colOff>
      <xdr:row>178</xdr:row>
      <xdr:rowOff>125818</xdr:rowOff>
    </xdr:to>
    <xdr:sp macro="" textlink="">
      <xdr:nvSpPr>
        <xdr:cNvPr id="6" name="Rectangle 5">
          <a:extLst>
            <a:ext uri="{FF2B5EF4-FFF2-40B4-BE49-F238E27FC236}">
              <a16:creationId xmlns:a16="http://schemas.microsoft.com/office/drawing/2014/main" id="{17BF3519-B6FF-4843-A27A-CF3200A3F0BE}"/>
            </a:ext>
          </a:extLst>
        </xdr:cNvPr>
        <xdr:cNvSpPr/>
      </xdr:nvSpPr>
      <xdr:spPr>
        <a:xfrm>
          <a:off x="2994659" y="34404300"/>
          <a:ext cx="977266" cy="49729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500 km pipeline</a:t>
          </a:r>
        </a:p>
      </xdr:txBody>
    </xdr:sp>
    <xdr:clientData/>
  </xdr:twoCellAnchor>
  <xdr:twoCellAnchor>
    <xdr:from>
      <xdr:col>4</xdr:col>
      <xdr:colOff>737234</xdr:colOff>
      <xdr:row>153</xdr:row>
      <xdr:rowOff>76200</xdr:rowOff>
    </xdr:from>
    <xdr:to>
      <xdr:col>6</xdr:col>
      <xdr:colOff>708660</xdr:colOff>
      <xdr:row>155</xdr:row>
      <xdr:rowOff>47625</xdr:rowOff>
    </xdr:to>
    <xdr:sp macro="" textlink="">
      <xdr:nvSpPr>
        <xdr:cNvPr id="7" name="Rectangle 6">
          <a:extLst>
            <a:ext uri="{FF2B5EF4-FFF2-40B4-BE49-F238E27FC236}">
              <a16:creationId xmlns:a16="http://schemas.microsoft.com/office/drawing/2014/main" id="{C70C9148-61C6-43E7-9255-5D91AEC86867}"/>
            </a:ext>
          </a:extLst>
        </xdr:cNvPr>
        <xdr:cNvSpPr/>
      </xdr:nvSpPr>
      <xdr:spPr>
        <a:xfrm>
          <a:off x="4709159" y="30089475"/>
          <a:ext cx="1943101"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N.Moz. OCGT</a:t>
          </a:r>
        </a:p>
      </xdr:txBody>
    </xdr:sp>
    <xdr:clientData/>
  </xdr:twoCellAnchor>
  <xdr:twoCellAnchor>
    <xdr:from>
      <xdr:col>4</xdr:col>
      <xdr:colOff>737234</xdr:colOff>
      <xdr:row>155</xdr:row>
      <xdr:rowOff>173355</xdr:rowOff>
    </xdr:from>
    <xdr:to>
      <xdr:col>6</xdr:col>
      <xdr:colOff>708660</xdr:colOff>
      <xdr:row>157</xdr:row>
      <xdr:rowOff>144780</xdr:rowOff>
    </xdr:to>
    <xdr:sp macro="" textlink="">
      <xdr:nvSpPr>
        <xdr:cNvPr id="8" name="Rectangle 7">
          <a:extLst>
            <a:ext uri="{FF2B5EF4-FFF2-40B4-BE49-F238E27FC236}">
              <a16:creationId xmlns:a16="http://schemas.microsoft.com/office/drawing/2014/main" id="{32D0AAD9-8374-4829-8DE2-61744367AE4D}"/>
            </a:ext>
          </a:extLst>
        </xdr:cNvPr>
        <xdr:cNvSpPr/>
      </xdr:nvSpPr>
      <xdr:spPr>
        <a:xfrm>
          <a:off x="4709159" y="30567630"/>
          <a:ext cx="1943101"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N.Moz. CCGT</a:t>
          </a:r>
        </a:p>
      </xdr:txBody>
    </xdr:sp>
    <xdr:clientData/>
  </xdr:twoCellAnchor>
  <xdr:twoCellAnchor>
    <xdr:from>
      <xdr:col>2</xdr:col>
      <xdr:colOff>9525</xdr:colOff>
      <xdr:row>154</xdr:row>
      <xdr:rowOff>159068</xdr:rowOff>
    </xdr:from>
    <xdr:to>
      <xdr:col>2</xdr:col>
      <xdr:colOff>758071</xdr:colOff>
      <xdr:row>154</xdr:row>
      <xdr:rowOff>168593</xdr:rowOff>
    </xdr:to>
    <xdr:cxnSp macro="">
      <xdr:nvCxnSpPr>
        <xdr:cNvPr id="9" name="Straight Arrow Connector 8">
          <a:extLst>
            <a:ext uri="{FF2B5EF4-FFF2-40B4-BE49-F238E27FC236}">
              <a16:creationId xmlns:a16="http://schemas.microsoft.com/office/drawing/2014/main" id="{C87DD799-263B-4A1B-9121-14686425F584}"/>
            </a:ext>
          </a:extLst>
        </xdr:cNvPr>
        <xdr:cNvCxnSpPr>
          <a:endCxn id="4" idx="1"/>
        </xdr:cNvCxnSpPr>
      </xdr:nvCxnSpPr>
      <xdr:spPr>
        <a:xfrm>
          <a:off x="2257425" y="30362843"/>
          <a:ext cx="748546"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19049</xdr:colOff>
      <xdr:row>154</xdr:row>
      <xdr:rowOff>0</xdr:rowOff>
    </xdr:from>
    <xdr:to>
      <xdr:col>2</xdr:col>
      <xdr:colOff>28575</xdr:colOff>
      <xdr:row>155</xdr:row>
      <xdr:rowOff>154263</xdr:rowOff>
    </xdr:to>
    <xdr:sp macro="" textlink="">
      <xdr:nvSpPr>
        <xdr:cNvPr id="10" name="Rectangle 9">
          <a:extLst>
            <a:ext uri="{FF2B5EF4-FFF2-40B4-BE49-F238E27FC236}">
              <a16:creationId xmlns:a16="http://schemas.microsoft.com/office/drawing/2014/main" id="{5FCA1308-07C9-4CC0-84D4-0869FDB02FF4}"/>
            </a:ext>
          </a:extLst>
        </xdr:cNvPr>
        <xdr:cNvSpPr/>
      </xdr:nvSpPr>
      <xdr:spPr>
        <a:xfrm>
          <a:off x="781049" y="30203775"/>
          <a:ext cx="1495426" cy="344763"/>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Gas from</a:t>
          </a:r>
          <a:r>
            <a:rPr lang="en-ZA" sz="1100" baseline="0"/>
            <a:t> Northern Mozambique</a:t>
          </a:r>
          <a:endParaRPr lang="en-ZA" sz="1100"/>
        </a:p>
      </xdr:txBody>
    </xdr:sp>
    <xdr:clientData/>
  </xdr:twoCellAnchor>
  <xdr:twoCellAnchor>
    <xdr:from>
      <xdr:col>7</xdr:col>
      <xdr:colOff>501014</xdr:colOff>
      <xdr:row>151</xdr:row>
      <xdr:rowOff>11430</xdr:rowOff>
    </xdr:from>
    <xdr:to>
      <xdr:col>8</xdr:col>
      <xdr:colOff>539115</xdr:colOff>
      <xdr:row>180</xdr:row>
      <xdr:rowOff>47633</xdr:rowOff>
    </xdr:to>
    <xdr:sp macro="" textlink="">
      <xdr:nvSpPr>
        <xdr:cNvPr id="11" name="Rectangle 10">
          <a:extLst>
            <a:ext uri="{FF2B5EF4-FFF2-40B4-BE49-F238E27FC236}">
              <a16:creationId xmlns:a16="http://schemas.microsoft.com/office/drawing/2014/main" id="{9D97813E-4070-4A3F-B1AB-4D966C48130F}"/>
            </a:ext>
          </a:extLst>
        </xdr:cNvPr>
        <xdr:cNvSpPr/>
      </xdr:nvSpPr>
      <xdr:spPr>
        <a:xfrm>
          <a:off x="7359014" y="29643705"/>
          <a:ext cx="800101" cy="5560703"/>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ZA" sz="1100"/>
            <a:t>Electricity Grid</a:t>
          </a:r>
        </a:p>
      </xdr:txBody>
    </xdr:sp>
    <xdr:clientData/>
  </xdr:twoCellAnchor>
  <xdr:twoCellAnchor>
    <xdr:from>
      <xdr:col>6</xdr:col>
      <xdr:colOff>708660</xdr:colOff>
      <xdr:row>156</xdr:row>
      <xdr:rowOff>154305</xdr:rowOff>
    </xdr:from>
    <xdr:to>
      <xdr:col>7</xdr:col>
      <xdr:colOff>501040</xdr:colOff>
      <xdr:row>156</xdr:row>
      <xdr:rowOff>159068</xdr:rowOff>
    </xdr:to>
    <xdr:cxnSp macro="">
      <xdr:nvCxnSpPr>
        <xdr:cNvPr id="12" name="Straight Arrow Connector 11">
          <a:extLst>
            <a:ext uri="{FF2B5EF4-FFF2-40B4-BE49-F238E27FC236}">
              <a16:creationId xmlns:a16="http://schemas.microsoft.com/office/drawing/2014/main" id="{D99366D9-C490-4080-9FD7-8894FFBD80F0}"/>
            </a:ext>
          </a:extLst>
        </xdr:cNvPr>
        <xdr:cNvCxnSpPr>
          <a:stCxn id="8" idx="3"/>
        </xdr:cNvCxnSpPr>
      </xdr:nvCxnSpPr>
      <xdr:spPr>
        <a:xfrm flipV="1">
          <a:off x="6652260" y="30739080"/>
          <a:ext cx="706780"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708660</xdr:colOff>
      <xdr:row>154</xdr:row>
      <xdr:rowOff>46355</xdr:rowOff>
    </xdr:from>
    <xdr:to>
      <xdr:col>7</xdr:col>
      <xdr:colOff>483970</xdr:colOff>
      <xdr:row>154</xdr:row>
      <xdr:rowOff>54293</xdr:rowOff>
    </xdr:to>
    <xdr:cxnSp macro="">
      <xdr:nvCxnSpPr>
        <xdr:cNvPr id="13" name="Straight Arrow Connector 12">
          <a:extLst>
            <a:ext uri="{FF2B5EF4-FFF2-40B4-BE49-F238E27FC236}">
              <a16:creationId xmlns:a16="http://schemas.microsoft.com/office/drawing/2014/main" id="{2AF2DF7A-CC12-4AE2-BC4F-E3BEB872FC34}"/>
            </a:ext>
          </a:extLst>
        </xdr:cNvPr>
        <xdr:cNvCxnSpPr>
          <a:stCxn id="7" idx="3"/>
        </xdr:cNvCxnSpPr>
      </xdr:nvCxnSpPr>
      <xdr:spPr>
        <a:xfrm flipV="1">
          <a:off x="6652260" y="30250130"/>
          <a:ext cx="68971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758189</xdr:colOff>
      <xdr:row>167</xdr:row>
      <xdr:rowOff>11430</xdr:rowOff>
    </xdr:from>
    <xdr:to>
      <xdr:col>4</xdr:col>
      <xdr:colOff>19050</xdr:colOff>
      <xdr:row>169</xdr:row>
      <xdr:rowOff>135255</xdr:rowOff>
    </xdr:to>
    <xdr:sp macro="" textlink="">
      <xdr:nvSpPr>
        <xdr:cNvPr id="14" name="Rectangle 13">
          <a:extLst>
            <a:ext uri="{FF2B5EF4-FFF2-40B4-BE49-F238E27FC236}">
              <a16:creationId xmlns:a16="http://schemas.microsoft.com/office/drawing/2014/main" id="{1C3FD16C-3777-451F-B99B-2259ADBFF524}"/>
            </a:ext>
          </a:extLst>
        </xdr:cNvPr>
        <xdr:cNvSpPr/>
      </xdr:nvSpPr>
      <xdr:spPr>
        <a:xfrm>
          <a:off x="3006089" y="32691705"/>
          <a:ext cx="984886" cy="5048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LNG Terminal</a:t>
          </a:r>
        </a:p>
      </xdr:txBody>
    </xdr:sp>
    <xdr:clientData/>
  </xdr:twoCellAnchor>
  <xdr:twoCellAnchor>
    <xdr:from>
      <xdr:col>2</xdr:col>
      <xdr:colOff>746759</xdr:colOff>
      <xdr:row>170</xdr:row>
      <xdr:rowOff>123825</xdr:rowOff>
    </xdr:from>
    <xdr:to>
      <xdr:col>4</xdr:col>
      <xdr:colOff>0</xdr:colOff>
      <xdr:row>173</xdr:row>
      <xdr:rowOff>49619</xdr:rowOff>
    </xdr:to>
    <xdr:sp macro="" textlink="">
      <xdr:nvSpPr>
        <xdr:cNvPr id="15" name="Rectangle 14">
          <a:extLst>
            <a:ext uri="{FF2B5EF4-FFF2-40B4-BE49-F238E27FC236}">
              <a16:creationId xmlns:a16="http://schemas.microsoft.com/office/drawing/2014/main" id="{24414704-0A3C-4C43-80BA-50B78F3499BD}"/>
            </a:ext>
          </a:extLst>
        </xdr:cNvPr>
        <xdr:cNvSpPr/>
      </xdr:nvSpPr>
      <xdr:spPr>
        <a:xfrm>
          <a:off x="2994659" y="33375600"/>
          <a:ext cx="977266" cy="497294"/>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ZA" sz="1100"/>
            <a:t>FSRU</a:t>
          </a:r>
        </a:p>
      </xdr:txBody>
    </xdr:sp>
    <xdr:clientData/>
  </xdr:twoCellAnchor>
  <xdr:twoCellAnchor>
    <xdr:from>
      <xdr:col>5</xdr:col>
      <xdr:colOff>0</xdr:colOff>
      <xdr:row>168</xdr:row>
      <xdr:rowOff>9525</xdr:rowOff>
    </xdr:from>
    <xdr:to>
      <xdr:col>6</xdr:col>
      <xdr:colOff>756315</xdr:colOff>
      <xdr:row>169</xdr:row>
      <xdr:rowOff>163954</xdr:rowOff>
    </xdr:to>
    <xdr:sp macro="" textlink="">
      <xdr:nvSpPr>
        <xdr:cNvPr id="16" name="Rectangle 15">
          <a:extLst>
            <a:ext uri="{FF2B5EF4-FFF2-40B4-BE49-F238E27FC236}">
              <a16:creationId xmlns:a16="http://schemas.microsoft.com/office/drawing/2014/main" id="{6C32911A-A6CF-455C-9BAC-4CFD824EF547}"/>
            </a:ext>
          </a:extLst>
        </xdr:cNvPr>
        <xdr:cNvSpPr/>
      </xdr:nvSpPr>
      <xdr:spPr>
        <a:xfrm>
          <a:off x="4924425" y="32880300"/>
          <a:ext cx="1775490" cy="344929"/>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LNG OCGT</a:t>
          </a:r>
        </a:p>
      </xdr:txBody>
    </xdr:sp>
    <xdr:clientData/>
  </xdr:twoCellAnchor>
  <xdr:twoCellAnchor>
    <xdr:from>
      <xdr:col>4</xdr:col>
      <xdr:colOff>758190</xdr:colOff>
      <xdr:row>170</xdr:row>
      <xdr:rowOff>106680</xdr:rowOff>
    </xdr:from>
    <xdr:to>
      <xdr:col>6</xdr:col>
      <xdr:colOff>737245</xdr:colOff>
      <xdr:row>172</xdr:row>
      <xdr:rowOff>85768</xdr:rowOff>
    </xdr:to>
    <xdr:sp macro="" textlink="">
      <xdr:nvSpPr>
        <xdr:cNvPr id="17" name="Rectangle 16">
          <a:extLst>
            <a:ext uri="{FF2B5EF4-FFF2-40B4-BE49-F238E27FC236}">
              <a16:creationId xmlns:a16="http://schemas.microsoft.com/office/drawing/2014/main" id="{6AA0F25F-12B5-41AC-BA94-09E88F46E215}"/>
            </a:ext>
          </a:extLst>
        </xdr:cNvPr>
        <xdr:cNvSpPr/>
      </xdr:nvSpPr>
      <xdr:spPr>
        <a:xfrm>
          <a:off x="4730115" y="33358455"/>
          <a:ext cx="1950730" cy="360088"/>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LNG CCGT</a:t>
          </a:r>
        </a:p>
      </xdr:txBody>
    </xdr:sp>
    <xdr:clientData/>
  </xdr:twoCellAnchor>
  <xdr:twoCellAnchor>
    <xdr:from>
      <xdr:col>6</xdr:col>
      <xdr:colOff>737236</xdr:colOff>
      <xdr:row>171</xdr:row>
      <xdr:rowOff>87630</xdr:rowOff>
    </xdr:from>
    <xdr:to>
      <xdr:col>7</xdr:col>
      <xdr:colOff>529616</xdr:colOff>
      <xdr:row>171</xdr:row>
      <xdr:rowOff>92393</xdr:rowOff>
    </xdr:to>
    <xdr:cxnSp macro="">
      <xdr:nvCxnSpPr>
        <xdr:cNvPr id="18" name="Straight Arrow Connector 17">
          <a:extLst>
            <a:ext uri="{FF2B5EF4-FFF2-40B4-BE49-F238E27FC236}">
              <a16:creationId xmlns:a16="http://schemas.microsoft.com/office/drawing/2014/main" id="{5976F3B2-A008-4CEE-B172-0AAB765B3FA2}"/>
            </a:ext>
          </a:extLst>
        </xdr:cNvPr>
        <xdr:cNvCxnSpPr>
          <a:stCxn id="17" idx="3"/>
        </xdr:cNvCxnSpPr>
      </xdr:nvCxnSpPr>
      <xdr:spPr>
        <a:xfrm flipV="1">
          <a:off x="6680836" y="33529905"/>
          <a:ext cx="706780"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756286</xdr:colOff>
      <xdr:row>168</xdr:row>
      <xdr:rowOff>170180</xdr:rowOff>
    </xdr:from>
    <xdr:to>
      <xdr:col>7</xdr:col>
      <xdr:colOff>539166</xdr:colOff>
      <xdr:row>168</xdr:row>
      <xdr:rowOff>178118</xdr:rowOff>
    </xdr:to>
    <xdr:cxnSp macro="">
      <xdr:nvCxnSpPr>
        <xdr:cNvPr id="19" name="Straight Arrow Connector 18">
          <a:extLst>
            <a:ext uri="{FF2B5EF4-FFF2-40B4-BE49-F238E27FC236}">
              <a16:creationId xmlns:a16="http://schemas.microsoft.com/office/drawing/2014/main" id="{CD1A060C-DF0A-45E1-80CF-ECCAB7FCCBFA}"/>
            </a:ext>
          </a:extLst>
        </xdr:cNvPr>
        <xdr:cNvCxnSpPr>
          <a:stCxn id="16" idx="3"/>
        </xdr:cNvCxnSpPr>
      </xdr:nvCxnSpPr>
      <xdr:spPr>
        <a:xfrm flipV="1">
          <a:off x="6699886" y="33040955"/>
          <a:ext cx="69728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28576</xdr:colOff>
      <xdr:row>162</xdr:row>
      <xdr:rowOff>33338</xdr:rowOff>
    </xdr:from>
    <xdr:to>
      <xdr:col>3</xdr:col>
      <xdr:colOff>0</xdr:colOff>
      <xdr:row>162</xdr:row>
      <xdr:rowOff>42863</xdr:rowOff>
    </xdr:to>
    <xdr:cxnSp macro="">
      <xdr:nvCxnSpPr>
        <xdr:cNvPr id="20" name="Straight Arrow Connector 19">
          <a:extLst>
            <a:ext uri="{FF2B5EF4-FFF2-40B4-BE49-F238E27FC236}">
              <a16:creationId xmlns:a16="http://schemas.microsoft.com/office/drawing/2014/main" id="{F92B4049-4859-4D9C-9409-D952AE47E9D4}"/>
            </a:ext>
          </a:extLst>
        </xdr:cNvPr>
        <xdr:cNvCxnSpPr/>
      </xdr:nvCxnSpPr>
      <xdr:spPr>
        <a:xfrm>
          <a:off x="2276476" y="31761113"/>
          <a:ext cx="733424"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38100</xdr:colOff>
      <xdr:row>161</xdr:row>
      <xdr:rowOff>49530</xdr:rowOff>
    </xdr:from>
    <xdr:to>
      <xdr:col>2</xdr:col>
      <xdr:colOff>47626</xdr:colOff>
      <xdr:row>163</xdr:row>
      <xdr:rowOff>28618</xdr:rowOff>
    </xdr:to>
    <xdr:sp macro="" textlink="">
      <xdr:nvSpPr>
        <xdr:cNvPr id="21" name="Rectangle 20">
          <a:extLst>
            <a:ext uri="{FF2B5EF4-FFF2-40B4-BE49-F238E27FC236}">
              <a16:creationId xmlns:a16="http://schemas.microsoft.com/office/drawing/2014/main" id="{55AE5512-D4BD-40EF-82DD-56EFB7CC393E}"/>
            </a:ext>
          </a:extLst>
        </xdr:cNvPr>
        <xdr:cNvSpPr/>
      </xdr:nvSpPr>
      <xdr:spPr>
        <a:xfrm>
          <a:off x="800100" y="31586805"/>
          <a:ext cx="1495426" cy="360088"/>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Shale</a:t>
          </a:r>
          <a:r>
            <a:rPr lang="en-ZA" sz="1100" baseline="0"/>
            <a:t> Gas South Africa</a:t>
          </a:r>
          <a:endParaRPr lang="en-ZA" sz="1100"/>
        </a:p>
      </xdr:txBody>
    </xdr:sp>
    <xdr:clientData/>
  </xdr:twoCellAnchor>
  <xdr:twoCellAnchor>
    <xdr:from>
      <xdr:col>4</xdr:col>
      <xdr:colOff>19050</xdr:colOff>
      <xdr:row>154</xdr:row>
      <xdr:rowOff>54293</xdr:rowOff>
    </xdr:from>
    <xdr:to>
      <xdr:col>4</xdr:col>
      <xdr:colOff>737297</xdr:colOff>
      <xdr:row>154</xdr:row>
      <xdr:rowOff>160973</xdr:rowOff>
    </xdr:to>
    <xdr:cxnSp macro="">
      <xdr:nvCxnSpPr>
        <xdr:cNvPr id="22" name="Straight Arrow Connector 21">
          <a:extLst>
            <a:ext uri="{FF2B5EF4-FFF2-40B4-BE49-F238E27FC236}">
              <a16:creationId xmlns:a16="http://schemas.microsoft.com/office/drawing/2014/main" id="{782A0EEE-68FA-4A35-9984-FF41EC6314C1}"/>
            </a:ext>
          </a:extLst>
        </xdr:cNvPr>
        <xdr:cNvCxnSpPr>
          <a:stCxn id="4" idx="3"/>
          <a:endCxn id="7" idx="1"/>
        </xdr:cNvCxnSpPr>
      </xdr:nvCxnSpPr>
      <xdr:spPr>
        <a:xfrm flipV="1">
          <a:off x="3990975" y="30258068"/>
          <a:ext cx="718247" cy="10668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154</xdr:row>
      <xdr:rowOff>168593</xdr:rowOff>
    </xdr:from>
    <xdr:to>
      <xdr:col>4</xdr:col>
      <xdr:colOff>737297</xdr:colOff>
      <xdr:row>156</xdr:row>
      <xdr:rowOff>159068</xdr:rowOff>
    </xdr:to>
    <xdr:cxnSp macro="">
      <xdr:nvCxnSpPr>
        <xdr:cNvPr id="23" name="Straight Arrow Connector 22">
          <a:extLst>
            <a:ext uri="{FF2B5EF4-FFF2-40B4-BE49-F238E27FC236}">
              <a16:creationId xmlns:a16="http://schemas.microsoft.com/office/drawing/2014/main" id="{F9430F1A-C99F-40FE-ADA2-CA0B97ACEADB}"/>
            </a:ext>
          </a:extLst>
        </xdr:cNvPr>
        <xdr:cNvCxnSpPr>
          <a:stCxn id="4" idx="3"/>
          <a:endCxn id="8" idx="1"/>
        </xdr:cNvCxnSpPr>
      </xdr:nvCxnSpPr>
      <xdr:spPr>
        <a:xfrm>
          <a:off x="3990975" y="30372368"/>
          <a:ext cx="718247" cy="3714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161</xdr:row>
      <xdr:rowOff>80963</xdr:rowOff>
    </xdr:from>
    <xdr:to>
      <xdr:col>4</xdr:col>
      <xdr:colOff>737301</xdr:colOff>
      <xdr:row>162</xdr:row>
      <xdr:rowOff>83088</xdr:rowOff>
    </xdr:to>
    <xdr:cxnSp macro="">
      <xdr:nvCxnSpPr>
        <xdr:cNvPr id="24" name="Straight Arrow Connector 23">
          <a:extLst>
            <a:ext uri="{FF2B5EF4-FFF2-40B4-BE49-F238E27FC236}">
              <a16:creationId xmlns:a16="http://schemas.microsoft.com/office/drawing/2014/main" id="{E187799A-36E2-4DD8-8ED1-CD8AF4C67E66}"/>
            </a:ext>
          </a:extLst>
        </xdr:cNvPr>
        <xdr:cNvCxnSpPr>
          <a:stCxn id="5" idx="3"/>
          <a:endCxn id="44" idx="1"/>
        </xdr:cNvCxnSpPr>
      </xdr:nvCxnSpPr>
      <xdr:spPr>
        <a:xfrm flipV="1">
          <a:off x="4029075" y="31618238"/>
          <a:ext cx="680151" cy="1926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57150</xdr:colOff>
      <xdr:row>162</xdr:row>
      <xdr:rowOff>82868</xdr:rowOff>
    </xdr:from>
    <xdr:to>
      <xdr:col>4</xdr:col>
      <xdr:colOff>737301</xdr:colOff>
      <xdr:row>164</xdr:row>
      <xdr:rowOff>3185</xdr:rowOff>
    </xdr:to>
    <xdr:cxnSp macro="">
      <xdr:nvCxnSpPr>
        <xdr:cNvPr id="25" name="Straight Arrow Connector 24">
          <a:extLst>
            <a:ext uri="{FF2B5EF4-FFF2-40B4-BE49-F238E27FC236}">
              <a16:creationId xmlns:a16="http://schemas.microsoft.com/office/drawing/2014/main" id="{151182FB-20A8-4FC1-A480-67AAB23BF357}"/>
            </a:ext>
          </a:extLst>
        </xdr:cNvPr>
        <xdr:cNvCxnSpPr>
          <a:stCxn id="5" idx="3"/>
          <a:endCxn id="45" idx="1"/>
        </xdr:cNvCxnSpPr>
      </xdr:nvCxnSpPr>
      <xdr:spPr>
        <a:xfrm>
          <a:off x="4029075" y="31810643"/>
          <a:ext cx="680151" cy="301317"/>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5</xdr:col>
      <xdr:colOff>0</xdr:colOff>
      <xdr:row>168</xdr:row>
      <xdr:rowOff>185738</xdr:rowOff>
    </xdr:to>
    <xdr:cxnSp macro="">
      <xdr:nvCxnSpPr>
        <xdr:cNvPr id="26" name="Straight Arrow Connector 25">
          <a:extLst>
            <a:ext uri="{FF2B5EF4-FFF2-40B4-BE49-F238E27FC236}">
              <a16:creationId xmlns:a16="http://schemas.microsoft.com/office/drawing/2014/main" id="{C052EA9E-BAD6-418C-8A06-F680D807AB75}"/>
            </a:ext>
          </a:extLst>
        </xdr:cNvPr>
        <xdr:cNvCxnSpPr>
          <a:stCxn id="14" idx="3"/>
          <a:endCxn id="16" idx="1"/>
        </xdr:cNvCxnSpPr>
      </xdr:nvCxnSpPr>
      <xdr:spPr>
        <a:xfrm>
          <a:off x="3990975" y="32951738"/>
          <a:ext cx="933450" cy="1047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19050</xdr:colOff>
      <xdr:row>168</xdr:row>
      <xdr:rowOff>80963</xdr:rowOff>
    </xdr:from>
    <xdr:to>
      <xdr:col>4</xdr:col>
      <xdr:colOff>758190</xdr:colOff>
      <xdr:row>171</xdr:row>
      <xdr:rowOff>92444</xdr:rowOff>
    </xdr:to>
    <xdr:cxnSp macro="">
      <xdr:nvCxnSpPr>
        <xdr:cNvPr id="27" name="Straight Arrow Connector 26">
          <a:extLst>
            <a:ext uri="{FF2B5EF4-FFF2-40B4-BE49-F238E27FC236}">
              <a16:creationId xmlns:a16="http://schemas.microsoft.com/office/drawing/2014/main" id="{60240317-5341-4FDB-9ACF-EBE8BF166E67}"/>
            </a:ext>
          </a:extLst>
        </xdr:cNvPr>
        <xdr:cNvCxnSpPr>
          <a:stCxn id="14" idx="3"/>
          <a:endCxn id="17" idx="1"/>
        </xdr:cNvCxnSpPr>
      </xdr:nvCxnSpPr>
      <xdr:spPr>
        <a:xfrm>
          <a:off x="3990975" y="32951738"/>
          <a:ext cx="739140" cy="582981"/>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168</xdr:row>
      <xdr:rowOff>185738</xdr:rowOff>
    </xdr:from>
    <xdr:to>
      <xdr:col>5</xdr:col>
      <xdr:colOff>0</xdr:colOff>
      <xdr:row>171</xdr:row>
      <xdr:rowOff>185738</xdr:rowOff>
    </xdr:to>
    <xdr:cxnSp macro="">
      <xdr:nvCxnSpPr>
        <xdr:cNvPr id="28" name="Straight Arrow Connector 27">
          <a:extLst>
            <a:ext uri="{FF2B5EF4-FFF2-40B4-BE49-F238E27FC236}">
              <a16:creationId xmlns:a16="http://schemas.microsoft.com/office/drawing/2014/main" id="{199AA9E5-F011-4090-A935-DEDEDFBE5702}"/>
            </a:ext>
          </a:extLst>
        </xdr:cNvPr>
        <xdr:cNvCxnSpPr>
          <a:stCxn id="15" idx="3"/>
          <a:endCxn id="16" idx="1"/>
        </xdr:cNvCxnSpPr>
      </xdr:nvCxnSpPr>
      <xdr:spPr>
        <a:xfrm flipV="1">
          <a:off x="3971925" y="33056513"/>
          <a:ext cx="952500" cy="571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171</xdr:row>
      <xdr:rowOff>92393</xdr:rowOff>
    </xdr:from>
    <xdr:to>
      <xdr:col>4</xdr:col>
      <xdr:colOff>758112</xdr:colOff>
      <xdr:row>172</xdr:row>
      <xdr:rowOff>3811</xdr:rowOff>
    </xdr:to>
    <xdr:cxnSp macro="">
      <xdr:nvCxnSpPr>
        <xdr:cNvPr id="29" name="Straight Arrow Connector 28">
          <a:extLst>
            <a:ext uri="{FF2B5EF4-FFF2-40B4-BE49-F238E27FC236}">
              <a16:creationId xmlns:a16="http://schemas.microsoft.com/office/drawing/2014/main" id="{9ADDA327-490D-4D1F-9BA7-077F72729B28}"/>
            </a:ext>
          </a:extLst>
        </xdr:cNvPr>
        <xdr:cNvCxnSpPr>
          <a:stCxn id="15" idx="3"/>
          <a:endCxn id="17" idx="1"/>
        </xdr:cNvCxnSpPr>
      </xdr:nvCxnSpPr>
      <xdr:spPr>
        <a:xfrm flipV="1">
          <a:off x="3971925" y="33534668"/>
          <a:ext cx="758112" cy="10191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765809</xdr:colOff>
      <xdr:row>168</xdr:row>
      <xdr:rowOff>80963</xdr:rowOff>
    </xdr:to>
    <xdr:cxnSp macro="">
      <xdr:nvCxnSpPr>
        <xdr:cNvPr id="30" name="Straight Arrow Connector 29">
          <a:extLst>
            <a:ext uri="{FF2B5EF4-FFF2-40B4-BE49-F238E27FC236}">
              <a16:creationId xmlns:a16="http://schemas.microsoft.com/office/drawing/2014/main" id="{EEFC767D-80A9-43A6-BEB3-FC921680BF70}"/>
            </a:ext>
          </a:extLst>
        </xdr:cNvPr>
        <xdr:cNvCxnSpPr>
          <a:stCxn id="31" idx="3"/>
          <a:endCxn id="14" idx="1"/>
        </xdr:cNvCxnSpPr>
      </xdr:nvCxnSpPr>
      <xdr:spPr>
        <a:xfrm>
          <a:off x="2266951" y="32942213"/>
          <a:ext cx="746758" cy="95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9525</xdr:colOff>
      <xdr:row>167</xdr:row>
      <xdr:rowOff>85725</xdr:rowOff>
    </xdr:from>
    <xdr:to>
      <xdr:col>2</xdr:col>
      <xdr:colOff>19051</xdr:colOff>
      <xdr:row>169</xdr:row>
      <xdr:rowOff>49657</xdr:rowOff>
    </xdr:to>
    <xdr:sp macro="" textlink="">
      <xdr:nvSpPr>
        <xdr:cNvPr id="31" name="Rectangle 30">
          <a:extLst>
            <a:ext uri="{FF2B5EF4-FFF2-40B4-BE49-F238E27FC236}">
              <a16:creationId xmlns:a16="http://schemas.microsoft.com/office/drawing/2014/main" id="{543E8F9C-9522-42D8-A3D7-81FD2390252A}"/>
            </a:ext>
          </a:extLst>
        </xdr:cNvPr>
        <xdr:cNvSpPr/>
      </xdr:nvSpPr>
      <xdr:spPr>
        <a:xfrm>
          <a:off x="771525" y="32766000"/>
          <a:ext cx="1495426" cy="344932"/>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Regional LNG</a:t>
          </a:r>
        </a:p>
      </xdr:txBody>
    </xdr:sp>
    <xdr:clientData/>
  </xdr:twoCellAnchor>
  <xdr:twoCellAnchor>
    <xdr:from>
      <xdr:col>2</xdr:col>
      <xdr:colOff>57151</xdr:colOff>
      <xdr:row>172</xdr:row>
      <xdr:rowOff>2858</xdr:rowOff>
    </xdr:from>
    <xdr:to>
      <xdr:col>2</xdr:col>
      <xdr:colOff>746890</xdr:colOff>
      <xdr:row>172</xdr:row>
      <xdr:rowOff>2858</xdr:rowOff>
    </xdr:to>
    <xdr:cxnSp macro="">
      <xdr:nvCxnSpPr>
        <xdr:cNvPr id="32" name="Straight Arrow Connector 31">
          <a:extLst>
            <a:ext uri="{FF2B5EF4-FFF2-40B4-BE49-F238E27FC236}">
              <a16:creationId xmlns:a16="http://schemas.microsoft.com/office/drawing/2014/main" id="{4C6B604D-1D07-42E5-949D-462B7B3B0D83}"/>
            </a:ext>
          </a:extLst>
        </xdr:cNvPr>
        <xdr:cNvCxnSpPr>
          <a:stCxn id="33" idx="3"/>
          <a:endCxn id="15" idx="1"/>
        </xdr:cNvCxnSpPr>
      </xdr:nvCxnSpPr>
      <xdr:spPr>
        <a:xfrm>
          <a:off x="2305051" y="33635633"/>
          <a:ext cx="689739"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47625</xdr:colOff>
      <xdr:row>171</xdr:row>
      <xdr:rowOff>9525</xdr:rowOff>
    </xdr:from>
    <xdr:to>
      <xdr:col>2</xdr:col>
      <xdr:colOff>57151</xdr:colOff>
      <xdr:row>172</xdr:row>
      <xdr:rowOff>163954</xdr:rowOff>
    </xdr:to>
    <xdr:sp macro="" textlink="">
      <xdr:nvSpPr>
        <xdr:cNvPr id="33" name="Rectangle 32">
          <a:extLst>
            <a:ext uri="{FF2B5EF4-FFF2-40B4-BE49-F238E27FC236}">
              <a16:creationId xmlns:a16="http://schemas.microsoft.com/office/drawing/2014/main" id="{B12160FE-5064-409E-96DC-7A1C22A94DD5}"/>
            </a:ext>
          </a:extLst>
        </xdr:cNvPr>
        <xdr:cNvSpPr/>
      </xdr:nvSpPr>
      <xdr:spPr>
        <a:xfrm>
          <a:off x="809625" y="33451800"/>
          <a:ext cx="1495426" cy="344929"/>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International</a:t>
          </a:r>
          <a:r>
            <a:rPr lang="en-ZA" sz="1100" baseline="0"/>
            <a:t> </a:t>
          </a:r>
          <a:r>
            <a:rPr lang="en-ZA" sz="1100"/>
            <a:t>LNG</a:t>
          </a:r>
        </a:p>
      </xdr:txBody>
    </xdr:sp>
    <xdr:clientData/>
  </xdr:twoCellAnchor>
  <xdr:twoCellAnchor>
    <xdr:from>
      <xdr:col>2</xdr:col>
      <xdr:colOff>57151</xdr:colOff>
      <xdr:row>168</xdr:row>
      <xdr:rowOff>80963</xdr:rowOff>
    </xdr:from>
    <xdr:to>
      <xdr:col>2</xdr:col>
      <xdr:colOff>758189</xdr:colOff>
      <xdr:row>172</xdr:row>
      <xdr:rowOff>2858</xdr:rowOff>
    </xdr:to>
    <xdr:cxnSp macro="">
      <xdr:nvCxnSpPr>
        <xdr:cNvPr id="34" name="Straight Arrow Connector 33">
          <a:extLst>
            <a:ext uri="{FF2B5EF4-FFF2-40B4-BE49-F238E27FC236}">
              <a16:creationId xmlns:a16="http://schemas.microsoft.com/office/drawing/2014/main" id="{C1FF314E-D93B-4920-8F3C-2CDF030122BB}"/>
            </a:ext>
          </a:extLst>
        </xdr:cNvPr>
        <xdr:cNvCxnSpPr>
          <a:stCxn id="33" idx="3"/>
          <a:endCxn id="14" idx="1"/>
        </xdr:cNvCxnSpPr>
      </xdr:nvCxnSpPr>
      <xdr:spPr>
        <a:xfrm flipV="1">
          <a:off x="2305051" y="32951738"/>
          <a:ext cx="701038" cy="68389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19051</xdr:colOff>
      <xdr:row>168</xdr:row>
      <xdr:rowOff>71438</xdr:rowOff>
    </xdr:from>
    <xdr:to>
      <xdr:col>2</xdr:col>
      <xdr:colOff>746883</xdr:colOff>
      <xdr:row>172</xdr:row>
      <xdr:rowOff>2858</xdr:rowOff>
    </xdr:to>
    <xdr:cxnSp macro="">
      <xdr:nvCxnSpPr>
        <xdr:cNvPr id="35" name="Straight Arrow Connector 34">
          <a:extLst>
            <a:ext uri="{FF2B5EF4-FFF2-40B4-BE49-F238E27FC236}">
              <a16:creationId xmlns:a16="http://schemas.microsoft.com/office/drawing/2014/main" id="{8947D53E-80B1-4FF8-9D80-9C762D0A1AE0}"/>
            </a:ext>
          </a:extLst>
        </xdr:cNvPr>
        <xdr:cNvCxnSpPr>
          <a:stCxn id="31" idx="3"/>
          <a:endCxn id="15" idx="1"/>
        </xdr:cNvCxnSpPr>
      </xdr:nvCxnSpPr>
      <xdr:spPr>
        <a:xfrm>
          <a:off x="2266951" y="32942213"/>
          <a:ext cx="727832" cy="6934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66676</xdr:colOff>
      <xdr:row>177</xdr:row>
      <xdr:rowOff>82868</xdr:rowOff>
    </xdr:from>
    <xdr:to>
      <xdr:col>2</xdr:col>
      <xdr:colOff>756415</xdr:colOff>
      <xdr:row>177</xdr:row>
      <xdr:rowOff>82868</xdr:rowOff>
    </xdr:to>
    <xdr:cxnSp macro="">
      <xdr:nvCxnSpPr>
        <xdr:cNvPr id="36" name="Straight Arrow Connector 35">
          <a:extLst>
            <a:ext uri="{FF2B5EF4-FFF2-40B4-BE49-F238E27FC236}">
              <a16:creationId xmlns:a16="http://schemas.microsoft.com/office/drawing/2014/main" id="{BD4166BF-57EE-43B0-B017-5532DEBBE09C}"/>
            </a:ext>
          </a:extLst>
        </xdr:cNvPr>
        <xdr:cNvCxnSpPr>
          <a:stCxn id="37" idx="3"/>
        </xdr:cNvCxnSpPr>
      </xdr:nvCxnSpPr>
      <xdr:spPr>
        <a:xfrm>
          <a:off x="2314576" y="34668143"/>
          <a:ext cx="689739"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176</xdr:row>
      <xdr:rowOff>97155</xdr:rowOff>
    </xdr:from>
    <xdr:to>
      <xdr:col>2</xdr:col>
      <xdr:colOff>66676</xdr:colOff>
      <xdr:row>178</xdr:row>
      <xdr:rowOff>76243</xdr:rowOff>
    </xdr:to>
    <xdr:sp macro="" textlink="">
      <xdr:nvSpPr>
        <xdr:cNvPr id="37" name="Rectangle 36">
          <a:extLst>
            <a:ext uri="{FF2B5EF4-FFF2-40B4-BE49-F238E27FC236}">
              <a16:creationId xmlns:a16="http://schemas.microsoft.com/office/drawing/2014/main" id="{86F98470-EDC7-41F7-93DA-2CD7858F7C9F}"/>
            </a:ext>
          </a:extLst>
        </xdr:cNvPr>
        <xdr:cNvSpPr/>
      </xdr:nvSpPr>
      <xdr:spPr>
        <a:xfrm>
          <a:off x="819150" y="34491930"/>
          <a:ext cx="1495426" cy="360088"/>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lIns="36000" tIns="0" rIns="36000" bIns="0" rtlCol="0" anchor="ctr"/>
        <a:lstStyle/>
        <a:p>
          <a:pPr algn="ctr"/>
          <a:r>
            <a:rPr lang="en-ZA" sz="1100"/>
            <a:t>Ibhubesi</a:t>
          </a:r>
          <a:r>
            <a:rPr lang="en-ZA" sz="1100" baseline="0"/>
            <a:t> Fields</a:t>
          </a:r>
          <a:endParaRPr lang="en-ZA" sz="1100"/>
        </a:p>
      </xdr:txBody>
    </xdr:sp>
    <xdr:clientData/>
  </xdr:twoCellAnchor>
  <xdr:twoCellAnchor>
    <xdr:from>
      <xdr:col>4</xdr:col>
      <xdr:colOff>746760</xdr:colOff>
      <xdr:row>175</xdr:row>
      <xdr:rowOff>28575</xdr:rowOff>
    </xdr:from>
    <xdr:to>
      <xdr:col>6</xdr:col>
      <xdr:colOff>718186</xdr:colOff>
      <xdr:row>177</xdr:row>
      <xdr:rowOff>0</xdr:rowOff>
    </xdr:to>
    <xdr:sp macro="" textlink="">
      <xdr:nvSpPr>
        <xdr:cNvPr id="38" name="Rectangle 37">
          <a:extLst>
            <a:ext uri="{FF2B5EF4-FFF2-40B4-BE49-F238E27FC236}">
              <a16:creationId xmlns:a16="http://schemas.microsoft.com/office/drawing/2014/main" id="{1BA41EDD-650C-410D-B0C3-793B54DEE76F}"/>
            </a:ext>
          </a:extLst>
        </xdr:cNvPr>
        <xdr:cNvSpPr/>
      </xdr:nvSpPr>
      <xdr:spPr>
        <a:xfrm>
          <a:off x="4718685" y="34232850"/>
          <a:ext cx="1943101"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Ankerlig OCGT</a:t>
          </a:r>
        </a:p>
      </xdr:txBody>
    </xdr:sp>
    <xdr:clientData/>
  </xdr:twoCellAnchor>
  <xdr:twoCellAnchor>
    <xdr:from>
      <xdr:col>4</xdr:col>
      <xdr:colOff>720090</xdr:colOff>
      <xdr:row>177</xdr:row>
      <xdr:rowOff>125730</xdr:rowOff>
    </xdr:from>
    <xdr:to>
      <xdr:col>6</xdr:col>
      <xdr:colOff>691516</xdr:colOff>
      <xdr:row>179</xdr:row>
      <xdr:rowOff>97155</xdr:rowOff>
    </xdr:to>
    <xdr:sp macro="" textlink="">
      <xdr:nvSpPr>
        <xdr:cNvPr id="39" name="Rectangle 38">
          <a:extLst>
            <a:ext uri="{FF2B5EF4-FFF2-40B4-BE49-F238E27FC236}">
              <a16:creationId xmlns:a16="http://schemas.microsoft.com/office/drawing/2014/main" id="{A3DC11FC-F596-487C-AE89-DBEBDBDA2881}"/>
            </a:ext>
          </a:extLst>
        </xdr:cNvPr>
        <xdr:cNvSpPr/>
      </xdr:nvSpPr>
      <xdr:spPr>
        <a:xfrm>
          <a:off x="4692015" y="34711005"/>
          <a:ext cx="1943101" cy="352425"/>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Ankerlig CCGT</a:t>
          </a:r>
        </a:p>
      </xdr:txBody>
    </xdr:sp>
    <xdr:clientData/>
  </xdr:twoCellAnchor>
  <xdr:twoCellAnchor>
    <xdr:from>
      <xdr:col>6</xdr:col>
      <xdr:colOff>691516</xdr:colOff>
      <xdr:row>178</xdr:row>
      <xdr:rowOff>106680</xdr:rowOff>
    </xdr:from>
    <xdr:to>
      <xdr:col>7</xdr:col>
      <xdr:colOff>483896</xdr:colOff>
      <xdr:row>178</xdr:row>
      <xdr:rowOff>116206</xdr:rowOff>
    </xdr:to>
    <xdr:cxnSp macro="">
      <xdr:nvCxnSpPr>
        <xdr:cNvPr id="40" name="Straight Arrow Connector 39">
          <a:extLst>
            <a:ext uri="{FF2B5EF4-FFF2-40B4-BE49-F238E27FC236}">
              <a16:creationId xmlns:a16="http://schemas.microsoft.com/office/drawing/2014/main" id="{D251ADE5-A4A7-41FB-8EAF-D5C1D9DAD07A}"/>
            </a:ext>
          </a:extLst>
        </xdr:cNvPr>
        <xdr:cNvCxnSpPr>
          <a:stCxn id="39" idx="3"/>
        </xdr:cNvCxnSpPr>
      </xdr:nvCxnSpPr>
      <xdr:spPr>
        <a:xfrm flipV="1">
          <a:off x="6635116" y="34882455"/>
          <a:ext cx="706780" cy="9526"/>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718186</xdr:colOff>
      <xdr:row>176</xdr:row>
      <xdr:rowOff>6350</xdr:rowOff>
    </xdr:from>
    <xdr:to>
      <xdr:col>7</xdr:col>
      <xdr:colOff>501066</xdr:colOff>
      <xdr:row>176</xdr:row>
      <xdr:rowOff>10319</xdr:rowOff>
    </xdr:to>
    <xdr:cxnSp macro="">
      <xdr:nvCxnSpPr>
        <xdr:cNvPr id="41" name="Straight Arrow Connector 40">
          <a:extLst>
            <a:ext uri="{FF2B5EF4-FFF2-40B4-BE49-F238E27FC236}">
              <a16:creationId xmlns:a16="http://schemas.microsoft.com/office/drawing/2014/main" id="{69CDDAAE-0F6C-460E-9D78-27780FD7E85E}"/>
            </a:ext>
          </a:extLst>
        </xdr:cNvPr>
        <xdr:cNvCxnSpPr>
          <a:stCxn id="38" idx="3"/>
        </xdr:cNvCxnSpPr>
      </xdr:nvCxnSpPr>
      <xdr:spPr>
        <a:xfrm flipV="1">
          <a:off x="6661786" y="34401125"/>
          <a:ext cx="697280" cy="396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176</xdr:row>
      <xdr:rowOff>6668</xdr:rowOff>
    </xdr:from>
    <xdr:to>
      <xdr:col>4</xdr:col>
      <xdr:colOff>746760</xdr:colOff>
      <xdr:row>177</xdr:row>
      <xdr:rowOff>71561</xdr:rowOff>
    </xdr:to>
    <xdr:cxnSp macro="">
      <xdr:nvCxnSpPr>
        <xdr:cNvPr id="42" name="Straight Arrow Connector 41">
          <a:extLst>
            <a:ext uri="{FF2B5EF4-FFF2-40B4-BE49-F238E27FC236}">
              <a16:creationId xmlns:a16="http://schemas.microsoft.com/office/drawing/2014/main" id="{0F02671C-C20F-4E13-B83C-5F4170961A8E}"/>
            </a:ext>
          </a:extLst>
        </xdr:cNvPr>
        <xdr:cNvCxnSpPr>
          <a:stCxn id="6" idx="3"/>
          <a:endCxn id="38" idx="1"/>
        </xdr:cNvCxnSpPr>
      </xdr:nvCxnSpPr>
      <xdr:spPr>
        <a:xfrm flipV="1">
          <a:off x="3971925" y="34401443"/>
          <a:ext cx="746760" cy="25539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0</xdr:colOff>
      <xdr:row>177</xdr:row>
      <xdr:rowOff>71438</xdr:rowOff>
    </xdr:from>
    <xdr:to>
      <xdr:col>4</xdr:col>
      <xdr:colOff>720008</xdr:colOff>
      <xdr:row>178</xdr:row>
      <xdr:rowOff>119063</xdr:rowOff>
    </xdr:to>
    <xdr:cxnSp macro="">
      <xdr:nvCxnSpPr>
        <xdr:cNvPr id="43" name="Straight Arrow Connector 42">
          <a:extLst>
            <a:ext uri="{FF2B5EF4-FFF2-40B4-BE49-F238E27FC236}">
              <a16:creationId xmlns:a16="http://schemas.microsoft.com/office/drawing/2014/main" id="{A2CCF8F0-2CC1-4745-83E7-EEAA06ABFC69}"/>
            </a:ext>
          </a:extLst>
        </xdr:cNvPr>
        <xdr:cNvCxnSpPr>
          <a:stCxn id="6" idx="3"/>
          <a:endCxn id="39" idx="1"/>
        </xdr:cNvCxnSpPr>
      </xdr:nvCxnSpPr>
      <xdr:spPr>
        <a:xfrm>
          <a:off x="3971925" y="34656713"/>
          <a:ext cx="720008" cy="2381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737235</xdr:colOff>
      <xdr:row>160</xdr:row>
      <xdr:rowOff>87630</xdr:rowOff>
    </xdr:from>
    <xdr:to>
      <xdr:col>6</xdr:col>
      <xdr:colOff>708661</xdr:colOff>
      <xdr:row>162</xdr:row>
      <xdr:rowOff>59055</xdr:rowOff>
    </xdr:to>
    <xdr:sp macro="" textlink="">
      <xdr:nvSpPr>
        <xdr:cNvPr id="44" name="Rectangle 43">
          <a:extLst>
            <a:ext uri="{FF2B5EF4-FFF2-40B4-BE49-F238E27FC236}">
              <a16:creationId xmlns:a16="http://schemas.microsoft.com/office/drawing/2014/main" id="{B5D0A035-0E93-4621-9C56-6F9FE8DA7E60}"/>
            </a:ext>
          </a:extLst>
        </xdr:cNvPr>
        <xdr:cNvSpPr/>
      </xdr:nvSpPr>
      <xdr:spPr>
        <a:xfrm>
          <a:off x="4709160" y="31434405"/>
          <a:ext cx="1943101" cy="35242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ZA" sz="1100"/>
            <a:t>Shale OCGT</a:t>
          </a:r>
        </a:p>
      </xdr:txBody>
    </xdr:sp>
    <xdr:clientData/>
  </xdr:twoCellAnchor>
  <xdr:twoCellAnchor>
    <xdr:from>
      <xdr:col>4</xdr:col>
      <xdr:colOff>737235</xdr:colOff>
      <xdr:row>163</xdr:row>
      <xdr:rowOff>9525</xdr:rowOff>
    </xdr:from>
    <xdr:to>
      <xdr:col>6</xdr:col>
      <xdr:colOff>708661</xdr:colOff>
      <xdr:row>164</xdr:row>
      <xdr:rowOff>163954</xdr:rowOff>
    </xdr:to>
    <xdr:sp macro="" textlink="">
      <xdr:nvSpPr>
        <xdr:cNvPr id="45" name="Rectangle 44">
          <a:extLst>
            <a:ext uri="{FF2B5EF4-FFF2-40B4-BE49-F238E27FC236}">
              <a16:creationId xmlns:a16="http://schemas.microsoft.com/office/drawing/2014/main" id="{515036BB-700C-4810-9C49-EFA4729F22F7}"/>
            </a:ext>
          </a:extLst>
        </xdr:cNvPr>
        <xdr:cNvSpPr/>
      </xdr:nvSpPr>
      <xdr:spPr>
        <a:xfrm>
          <a:off x="4709160" y="31927800"/>
          <a:ext cx="1943101" cy="344929"/>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ZA" sz="1100"/>
            <a:t>Shale CCGT</a:t>
          </a:r>
        </a:p>
      </xdr:txBody>
    </xdr:sp>
    <xdr:clientData/>
  </xdr:twoCellAnchor>
  <xdr:twoCellAnchor>
    <xdr:from>
      <xdr:col>6</xdr:col>
      <xdr:colOff>708661</xdr:colOff>
      <xdr:row>163</xdr:row>
      <xdr:rowOff>173355</xdr:rowOff>
    </xdr:from>
    <xdr:to>
      <xdr:col>7</xdr:col>
      <xdr:colOff>501041</xdr:colOff>
      <xdr:row>163</xdr:row>
      <xdr:rowOff>178118</xdr:rowOff>
    </xdr:to>
    <xdr:cxnSp macro="">
      <xdr:nvCxnSpPr>
        <xdr:cNvPr id="46" name="Straight Arrow Connector 45">
          <a:extLst>
            <a:ext uri="{FF2B5EF4-FFF2-40B4-BE49-F238E27FC236}">
              <a16:creationId xmlns:a16="http://schemas.microsoft.com/office/drawing/2014/main" id="{C980EF65-4B1C-44F3-A9F5-D38983FC69FA}"/>
            </a:ext>
          </a:extLst>
        </xdr:cNvPr>
        <xdr:cNvCxnSpPr>
          <a:stCxn id="45" idx="3"/>
        </xdr:cNvCxnSpPr>
      </xdr:nvCxnSpPr>
      <xdr:spPr>
        <a:xfrm flipV="1">
          <a:off x="6652261" y="32091630"/>
          <a:ext cx="706780" cy="4763"/>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708661</xdr:colOff>
      <xdr:row>161</xdr:row>
      <xdr:rowOff>73025</xdr:rowOff>
    </xdr:from>
    <xdr:to>
      <xdr:col>7</xdr:col>
      <xdr:colOff>483971</xdr:colOff>
      <xdr:row>161</xdr:row>
      <xdr:rowOff>80963</xdr:rowOff>
    </xdr:to>
    <xdr:cxnSp macro="">
      <xdr:nvCxnSpPr>
        <xdr:cNvPr id="47" name="Straight Arrow Connector 46">
          <a:extLst>
            <a:ext uri="{FF2B5EF4-FFF2-40B4-BE49-F238E27FC236}">
              <a16:creationId xmlns:a16="http://schemas.microsoft.com/office/drawing/2014/main" id="{6E7D52A7-CE4F-4F87-93A9-01663C41741C}"/>
            </a:ext>
          </a:extLst>
        </xdr:cNvPr>
        <xdr:cNvCxnSpPr>
          <a:stCxn id="44" idx="3"/>
        </xdr:cNvCxnSpPr>
      </xdr:nvCxnSpPr>
      <xdr:spPr>
        <a:xfrm flipV="1">
          <a:off x="6652261" y="31610300"/>
          <a:ext cx="689710" cy="7938"/>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0</xdr:colOff>
      <xdr:row>21</xdr:row>
      <xdr:rowOff>0</xdr:rowOff>
    </xdr:from>
    <xdr:to>
      <xdr:col>30</xdr:col>
      <xdr:colOff>84952</xdr:colOff>
      <xdr:row>31</xdr:row>
      <xdr:rowOff>180714</xdr:rowOff>
    </xdr:to>
    <xdr:pic>
      <xdr:nvPicPr>
        <xdr:cNvPr id="2" name="Picture 1">
          <a:extLst>
            <a:ext uri="{FF2B5EF4-FFF2-40B4-BE49-F238E27FC236}">
              <a16:creationId xmlns:a16="http://schemas.microsoft.com/office/drawing/2014/main" id="{35FF33B0-7963-4C07-B2EC-8AF6DCC2FA3E}"/>
            </a:ext>
          </a:extLst>
        </xdr:cNvPr>
        <xdr:cNvPicPr>
          <a:picLocks noChangeAspect="1"/>
        </xdr:cNvPicPr>
      </xdr:nvPicPr>
      <xdr:blipFill>
        <a:blip xmlns:r="http://schemas.openxmlformats.org/officeDocument/2006/relationships" r:embed="rId1"/>
        <a:stretch>
          <a:fillRect/>
        </a:stretch>
      </xdr:blipFill>
      <xdr:spPr>
        <a:xfrm>
          <a:off x="14420850" y="4000500"/>
          <a:ext cx="6180952" cy="2085714"/>
        </a:xfrm>
        <a:prstGeom prst="rect">
          <a:avLst/>
        </a:prstGeom>
      </xdr:spPr>
    </xdr:pic>
    <xdr:clientData/>
  </xdr:twoCellAnchor>
  <xdr:twoCellAnchor editAs="oneCell">
    <xdr:from>
      <xdr:col>20</xdr:col>
      <xdr:colOff>0</xdr:colOff>
      <xdr:row>50</xdr:row>
      <xdr:rowOff>0</xdr:rowOff>
    </xdr:from>
    <xdr:to>
      <xdr:col>31</xdr:col>
      <xdr:colOff>608686</xdr:colOff>
      <xdr:row>88</xdr:row>
      <xdr:rowOff>84809</xdr:rowOff>
    </xdr:to>
    <xdr:pic>
      <xdr:nvPicPr>
        <xdr:cNvPr id="3" name="Picture 2">
          <a:extLst>
            <a:ext uri="{FF2B5EF4-FFF2-40B4-BE49-F238E27FC236}">
              <a16:creationId xmlns:a16="http://schemas.microsoft.com/office/drawing/2014/main" id="{B9776284-E6EB-47EE-AE4B-E3C3B0DE69B6}"/>
            </a:ext>
          </a:extLst>
        </xdr:cNvPr>
        <xdr:cNvPicPr>
          <a:picLocks noChangeAspect="1"/>
        </xdr:cNvPicPr>
      </xdr:nvPicPr>
      <xdr:blipFill>
        <a:blip xmlns:r="http://schemas.openxmlformats.org/officeDocument/2006/relationships" r:embed="rId2"/>
        <a:stretch>
          <a:fillRect/>
        </a:stretch>
      </xdr:blipFill>
      <xdr:spPr>
        <a:xfrm>
          <a:off x="14420850" y="9525000"/>
          <a:ext cx="7314286" cy="732380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6">
          <cell r="B6" t="str">
            <v>UPS</v>
          </cell>
        </row>
        <row r="128">
          <cell r="B128" t="str">
            <v>UGASGIB-N</v>
          </cell>
        </row>
        <row r="131">
          <cell r="B131" t="str">
            <v>UGASGRM-N</v>
          </cell>
        </row>
        <row r="137">
          <cell r="B137" t="str">
            <v>UGASGIH-N</v>
          </cell>
        </row>
        <row r="140">
          <cell r="B140" t="str">
            <v>ULGTGRL-N</v>
          </cell>
        </row>
        <row r="143">
          <cell r="B143" t="str">
            <v>ULGTGRLFSRU-N</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text>
  </threadedComment>
  <threadedComment ref="G60" dT="2021-03-24T15:36:11.21" personId="{E500B1BD-2FF0-4DFA-88F6-72D20CDE0583}" id="{236D160B-E3F3-4CAB-BD5D-E1A4522413EE}">
    <text>from SUTCoal sheet in EB2017 google sheet. This includes transport costs.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K87" dT="2021-07-26T15:05:55.74" personId="{E500B1BD-2FF0-4DFA-88F6-72D20CDE0583}" id="{6A82080C-3A46-4F98-A8BB-1FF2F957BEF2}">
    <text>.56 added to avoid zzs</text>
  </threadedComment>
</ThreadedComments>
</file>

<file path=xl/threadedComments/threadedComment2.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45140.658187847221</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45140.658187847221</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tabColor theme="5"/>
    <pageSetUpPr fitToPage="1"/>
  </sheetPr>
  <dimension ref="A2:D130"/>
  <sheetViews>
    <sheetView workbookViewId="0">
      <selection activeCell="C49" sqref="C49:C57"/>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2">
        <v>1E-8</v>
      </c>
    </row>
    <row r="3" spans="1:4" ht="18" x14ac:dyDescent="0.25">
      <c r="B3" s="33" t="s">
        <v>134</v>
      </c>
    </row>
    <row r="4" spans="1:4" x14ac:dyDescent="0.2">
      <c r="B4" s="29" t="s">
        <v>135</v>
      </c>
      <c r="C4" s="29" t="s">
        <v>136</v>
      </c>
    </row>
    <row r="5" spans="1:4" x14ac:dyDescent="0.2">
      <c r="A5" s="28">
        <v>1</v>
      </c>
      <c r="B5" s="28" t="s">
        <v>145</v>
      </c>
      <c r="C5" s="28" t="s">
        <v>146</v>
      </c>
    </row>
    <row r="6" spans="1:4" x14ac:dyDescent="0.2">
      <c r="A6" s="28">
        <f t="shared" ref="A6:A45" si="0">A5+1</f>
        <v>2</v>
      </c>
      <c r="B6" s="28" t="s">
        <v>147</v>
      </c>
      <c r="C6" s="28" t="s">
        <v>148</v>
      </c>
    </row>
    <row r="7" spans="1:4" x14ac:dyDescent="0.2">
      <c r="A7" s="28">
        <f t="shared" si="0"/>
        <v>3</v>
      </c>
      <c r="B7" s="28" t="s">
        <v>149</v>
      </c>
      <c r="C7" s="28" t="s">
        <v>150</v>
      </c>
    </row>
    <row r="8" spans="1:4" x14ac:dyDescent="0.2">
      <c r="A8" s="28">
        <f t="shared" si="0"/>
        <v>4</v>
      </c>
      <c r="B8" s="28" t="s">
        <v>151</v>
      </c>
      <c r="C8" s="28" t="s">
        <v>152</v>
      </c>
    </row>
    <row r="9" spans="1:4" x14ac:dyDescent="0.2">
      <c r="A9" s="28">
        <f t="shared" si="0"/>
        <v>5</v>
      </c>
      <c r="B9" s="28" t="s">
        <v>153</v>
      </c>
      <c r="C9" s="28" t="s">
        <v>154</v>
      </c>
    </row>
    <row r="10" spans="1:4" x14ac:dyDescent="0.2">
      <c r="A10" s="28">
        <f t="shared" si="0"/>
        <v>6</v>
      </c>
      <c r="B10" s="28" t="s">
        <v>155</v>
      </c>
      <c r="C10" s="28" t="s">
        <v>156</v>
      </c>
    </row>
    <row r="11" spans="1:4" x14ac:dyDescent="0.2">
      <c r="A11" s="28">
        <f t="shared" si="0"/>
        <v>7</v>
      </c>
      <c r="B11" s="28" t="s">
        <v>157</v>
      </c>
      <c r="C11" s="28" t="s">
        <v>158</v>
      </c>
    </row>
    <row r="12" spans="1:4" x14ac:dyDescent="0.2">
      <c r="A12" s="28">
        <f t="shared" si="0"/>
        <v>8</v>
      </c>
      <c r="B12" s="28" t="s">
        <v>159</v>
      </c>
      <c r="C12" s="28" t="s">
        <v>160</v>
      </c>
    </row>
    <row r="13" spans="1:4" ht="15" x14ac:dyDescent="0.25">
      <c r="A13" s="28">
        <f t="shared" si="0"/>
        <v>9</v>
      </c>
      <c r="B13" t="s">
        <v>161</v>
      </c>
      <c r="C13" t="s">
        <v>162</v>
      </c>
    </row>
    <row r="14" spans="1:4" ht="15" x14ac:dyDescent="0.25">
      <c r="A14" s="28">
        <f t="shared" si="0"/>
        <v>10</v>
      </c>
      <c r="B14" t="s">
        <v>163</v>
      </c>
      <c r="C14" t="s">
        <v>164</v>
      </c>
    </row>
    <row r="15" spans="1:4" customFormat="1" ht="15" x14ac:dyDescent="0.25">
      <c r="A15">
        <f t="shared" si="0"/>
        <v>11</v>
      </c>
      <c r="B15" t="s">
        <v>165</v>
      </c>
      <c r="C15" t="s">
        <v>166</v>
      </c>
    </row>
    <row r="16" spans="1:4" customFormat="1" ht="15" x14ac:dyDescent="0.25">
      <c r="A16">
        <f t="shared" si="0"/>
        <v>12</v>
      </c>
      <c r="B16" t="s">
        <v>167</v>
      </c>
      <c r="C16" t="s">
        <v>168</v>
      </c>
    </row>
    <row r="17" spans="1:3" customFormat="1" ht="15" x14ac:dyDescent="0.25">
      <c r="A17">
        <f t="shared" si="0"/>
        <v>13</v>
      </c>
      <c r="B17" t="s">
        <v>169</v>
      </c>
      <c r="C17" t="s">
        <v>170</v>
      </c>
    </row>
    <row r="18" spans="1:3" customFormat="1" ht="15" x14ac:dyDescent="0.25">
      <c r="A18">
        <f t="shared" si="0"/>
        <v>14</v>
      </c>
      <c r="B18" t="s">
        <v>171</v>
      </c>
      <c r="C18" t="s">
        <v>172</v>
      </c>
    </row>
    <row r="19" spans="1:3" customFormat="1" ht="15" x14ac:dyDescent="0.25">
      <c r="A19">
        <f t="shared" si="0"/>
        <v>15</v>
      </c>
      <c r="B19" t="s">
        <v>173</v>
      </c>
      <c r="C19" t="s">
        <v>174</v>
      </c>
    </row>
    <row r="20" spans="1:3" customFormat="1" ht="15" x14ac:dyDescent="0.25">
      <c r="A20">
        <f t="shared" si="0"/>
        <v>16</v>
      </c>
      <c r="B20" t="s">
        <v>175</v>
      </c>
      <c r="C20" t="s">
        <v>176</v>
      </c>
    </row>
    <row r="21" spans="1:3" x14ac:dyDescent="0.2">
      <c r="A21" s="28">
        <f t="shared" si="0"/>
        <v>17</v>
      </c>
      <c r="B21" s="28" t="s">
        <v>177</v>
      </c>
      <c r="C21" s="28" t="s">
        <v>178</v>
      </c>
    </row>
    <row r="22" spans="1:3" x14ac:dyDescent="0.2">
      <c r="A22" s="28">
        <f t="shared" si="0"/>
        <v>18</v>
      </c>
      <c r="B22" s="28" t="s">
        <v>179</v>
      </c>
      <c r="C22" s="28" t="s">
        <v>180</v>
      </c>
    </row>
    <row r="23" spans="1:3" x14ac:dyDescent="0.2">
      <c r="A23" s="28">
        <f t="shared" si="0"/>
        <v>19</v>
      </c>
      <c r="B23" s="28" t="s">
        <v>181</v>
      </c>
      <c r="C23" s="28" t="s">
        <v>182</v>
      </c>
    </row>
    <row r="24" spans="1:3" x14ac:dyDescent="0.2">
      <c r="A24" s="28">
        <f t="shared" si="0"/>
        <v>20</v>
      </c>
      <c r="B24" s="28" t="s">
        <v>183</v>
      </c>
      <c r="C24" s="28" t="s">
        <v>184</v>
      </c>
    </row>
    <row r="25" spans="1:3" x14ac:dyDescent="0.2">
      <c r="A25" s="28">
        <f t="shared" si="0"/>
        <v>21</v>
      </c>
      <c r="B25" s="28" t="s">
        <v>185</v>
      </c>
      <c r="C25" s="28" t="s">
        <v>186</v>
      </c>
    </row>
    <row r="26" spans="1:3" x14ac:dyDescent="0.2">
      <c r="A26" s="28">
        <f t="shared" si="0"/>
        <v>22</v>
      </c>
      <c r="B26" s="28" t="s">
        <v>187</v>
      </c>
      <c r="C26" s="28" t="s">
        <v>188</v>
      </c>
    </row>
    <row r="27" spans="1:3" x14ac:dyDescent="0.2">
      <c r="A27" s="28">
        <f t="shared" si="0"/>
        <v>23</v>
      </c>
      <c r="B27" s="28" t="s">
        <v>189</v>
      </c>
      <c r="C27" s="28" t="s">
        <v>190</v>
      </c>
    </row>
    <row r="28" spans="1:3" x14ac:dyDescent="0.2">
      <c r="A28" s="28">
        <f t="shared" si="0"/>
        <v>24</v>
      </c>
      <c r="B28" s="28" t="s">
        <v>191</v>
      </c>
      <c r="C28" s="28" t="s">
        <v>192</v>
      </c>
    </row>
    <row r="29" spans="1:3" x14ac:dyDescent="0.2">
      <c r="A29" s="28">
        <f t="shared" si="0"/>
        <v>25</v>
      </c>
      <c r="B29" s="28" t="s">
        <v>193</v>
      </c>
      <c r="C29" s="28" t="s">
        <v>194</v>
      </c>
    </row>
    <row r="30" spans="1:3" x14ac:dyDescent="0.2">
      <c r="A30" s="28">
        <f t="shared" si="0"/>
        <v>26</v>
      </c>
      <c r="B30" s="28" t="s">
        <v>195</v>
      </c>
      <c r="C30" s="28" t="s">
        <v>196</v>
      </c>
    </row>
    <row r="31" spans="1:3" x14ac:dyDescent="0.2">
      <c r="A31" s="28">
        <f t="shared" si="0"/>
        <v>27</v>
      </c>
      <c r="B31" s="28" t="s">
        <v>197</v>
      </c>
      <c r="C31" s="28" t="s">
        <v>198</v>
      </c>
    </row>
    <row r="32" spans="1:3" s="34" customFormat="1" x14ac:dyDescent="0.2">
      <c r="A32" s="28">
        <f>A31+1</f>
        <v>28</v>
      </c>
      <c r="B32" s="34" t="s">
        <v>199</v>
      </c>
      <c r="C32" s="34" t="s">
        <v>200</v>
      </c>
    </row>
    <row r="33" spans="1:4" x14ac:dyDescent="0.2">
      <c r="A33" s="28">
        <f>A32+1</f>
        <v>29</v>
      </c>
      <c r="B33" s="28" t="s">
        <v>201</v>
      </c>
      <c r="C33" s="28" t="s">
        <v>202</v>
      </c>
    </row>
    <row r="34" spans="1:4" x14ac:dyDescent="0.2">
      <c r="A34" s="28">
        <f t="shared" si="0"/>
        <v>30</v>
      </c>
      <c r="B34" s="35" t="s">
        <v>203</v>
      </c>
      <c r="C34" s="28" t="s">
        <v>204</v>
      </c>
    </row>
    <row r="35" spans="1:4" x14ac:dyDescent="0.2">
      <c r="A35" s="28">
        <f t="shared" si="0"/>
        <v>31</v>
      </c>
      <c r="B35" s="28" t="s">
        <v>205</v>
      </c>
      <c r="C35" s="28" t="s">
        <v>206</v>
      </c>
    </row>
    <row r="36" spans="1:4" x14ac:dyDescent="0.2">
      <c r="A36" s="28">
        <f t="shared" si="0"/>
        <v>32</v>
      </c>
      <c r="B36" s="28" t="s">
        <v>207</v>
      </c>
      <c r="C36" s="28" t="s">
        <v>208</v>
      </c>
    </row>
    <row r="37" spans="1:4" x14ac:dyDescent="0.2">
      <c r="A37" s="28">
        <f t="shared" si="0"/>
        <v>33</v>
      </c>
      <c r="B37" s="28" t="s">
        <v>209</v>
      </c>
      <c r="C37" s="28" t="s">
        <v>210</v>
      </c>
    </row>
    <row r="38" spans="1:4" x14ac:dyDescent="0.2">
      <c r="A38" s="28">
        <f t="shared" si="0"/>
        <v>34</v>
      </c>
      <c r="B38" s="28" t="s">
        <v>211</v>
      </c>
      <c r="C38" s="28" t="s">
        <v>212</v>
      </c>
    </row>
    <row r="39" spans="1:4" x14ac:dyDescent="0.2">
      <c r="A39" s="28">
        <f t="shared" si="0"/>
        <v>35</v>
      </c>
      <c r="B39" s="28" t="s">
        <v>213</v>
      </c>
      <c r="C39" s="28" t="s">
        <v>214</v>
      </c>
    </row>
    <row r="40" spans="1:4" x14ac:dyDescent="0.2">
      <c r="A40" s="28">
        <f t="shared" si="0"/>
        <v>36</v>
      </c>
      <c r="B40" s="28" t="s">
        <v>215</v>
      </c>
      <c r="C40" s="28" t="s">
        <v>216</v>
      </c>
    </row>
    <row r="41" spans="1:4" x14ac:dyDescent="0.2">
      <c r="A41" s="28">
        <f t="shared" si="0"/>
        <v>37</v>
      </c>
      <c r="B41" s="28" t="s">
        <v>217</v>
      </c>
      <c r="C41" s="28" t="s">
        <v>218</v>
      </c>
    </row>
    <row r="42" spans="1:4" x14ac:dyDescent="0.2">
      <c r="A42" s="28">
        <f t="shared" si="0"/>
        <v>38</v>
      </c>
      <c r="B42" s="28" t="s">
        <v>219</v>
      </c>
      <c r="C42" s="28" t="s">
        <v>220</v>
      </c>
    </row>
    <row r="43" spans="1:4" x14ac:dyDescent="0.2">
      <c r="A43" s="28">
        <f t="shared" si="0"/>
        <v>39</v>
      </c>
      <c r="B43" s="28" t="s">
        <v>221</v>
      </c>
      <c r="C43" s="28" t="s">
        <v>222</v>
      </c>
    </row>
    <row r="44" spans="1:4" x14ac:dyDescent="0.2">
      <c r="A44" s="28">
        <f t="shared" si="0"/>
        <v>40</v>
      </c>
      <c r="B44" s="28" t="s">
        <v>223</v>
      </c>
      <c r="C44" s="28" t="s">
        <v>224</v>
      </c>
    </row>
    <row r="45" spans="1:4" x14ac:dyDescent="0.2">
      <c r="A45" s="28">
        <f t="shared" si="0"/>
        <v>41</v>
      </c>
      <c r="B45" s="28" t="s">
        <v>225</v>
      </c>
    </row>
    <row r="47" spans="1:4" x14ac:dyDescent="0.2">
      <c r="D47" s="30"/>
    </row>
    <row r="48" spans="1:4" ht="15" x14ac:dyDescent="0.25">
      <c r="B48" s="26" t="s">
        <v>226</v>
      </c>
      <c r="C48" s="26" t="s">
        <v>227</v>
      </c>
      <c r="D48" s="30"/>
    </row>
    <row r="49" spans="2:4" ht="15" x14ac:dyDescent="0.25">
      <c r="B49" t="s">
        <v>5</v>
      </c>
      <c r="C49" t="s">
        <v>0</v>
      </c>
      <c r="D49" s="30"/>
    </row>
    <row r="50" spans="2:4" ht="15" x14ac:dyDescent="0.25">
      <c r="B50" t="s">
        <v>6</v>
      </c>
      <c r="C50" t="s">
        <v>228</v>
      </c>
      <c r="D50" s="30"/>
    </row>
    <row r="51" spans="2:4" ht="15" x14ac:dyDescent="0.25">
      <c r="B51" t="s">
        <v>7</v>
      </c>
      <c r="C51" t="s">
        <v>1</v>
      </c>
      <c r="D51" s="30"/>
    </row>
    <row r="52" spans="2:4" ht="15" x14ac:dyDescent="0.25">
      <c r="B52" t="s">
        <v>10</v>
      </c>
      <c r="C52" t="s">
        <v>229</v>
      </c>
      <c r="D52" s="30"/>
    </row>
    <row r="53" spans="2:4" ht="15" x14ac:dyDescent="0.25">
      <c r="B53" t="s">
        <v>9</v>
      </c>
      <c r="C53" t="s">
        <v>3</v>
      </c>
      <c r="D53" s="30"/>
    </row>
    <row r="54" spans="2:4" ht="15" x14ac:dyDescent="0.25">
      <c r="B54" t="s">
        <v>8</v>
      </c>
      <c r="C54" t="s">
        <v>2</v>
      </c>
      <c r="D54" s="30"/>
    </row>
    <row r="55" spans="2:4" ht="15" x14ac:dyDescent="0.25">
      <c r="B55" t="s">
        <v>11</v>
      </c>
      <c r="C55" t="s">
        <v>230</v>
      </c>
      <c r="D55" s="30"/>
    </row>
    <row r="56" spans="2:4" ht="15" x14ac:dyDescent="0.25">
      <c r="B56"/>
      <c r="C56"/>
      <c r="D56" s="30"/>
    </row>
    <row r="57" spans="2:4" ht="15" x14ac:dyDescent="0.25">
      <c r="B57"/>
      <c r="C57"/>
      <c r="D57" s="30"/>
    </row>
    <row r="58" spans="2:4" x14ac:dyDescent="0.2">
      <c r="D58" s="30"/>
    </row>
    <row r="59" spans="2:4" x14ac:dyDescent="0.2">
      <c r="D59" s="30"/>
    </row>
    <row r="60" spans="2:4" x14ac:dyDescent="0.2">
      <c r="D60" s="30"/>
    </row>
    <row r="61" spans="2:4" x14ac:dyDescent="0.2">
      <c r="D61" s="30"/>
    </row>
    <row r="62" spans="2:4" x14ac:dyDescent="0.2">
      <c r="D62" s="30"/>
    </row>
    <row r="63" spans="2:4" x14ac:dyDescent="0.2">
      <c r="D63" s="30"/>
    </row>
    <row r="64" spans="2:4" x14ac:dyDescent="0.2">
      <c r="D64" s="30"/>
    </row>
    <row r="65" spans="1:4" x14ac:dyDescent="0.2">
      <c r="D65" s="30"/>
    </row>
    <row r="66" spans="1:4" x14ac:dyDescent="0.2">
      <c r="D66" s="30"/>
    </row>
    <row r="67" spans="1:4" x14ac:dyDescent="0.2">
      <c r="C67" s="30" t="s">
        <v>231</v>
      </c>
    </row>
    <row r="68" spans="1:4" x14ac:dyDescent="0.2">
      <c r="C68" s="30">
        <f t="shared" ref="C68:C107" si="1">COUNTIF($C$5:$C$44,C5)</f>
        <v>1</v>
      </c>
    </row>
    <row r="69" spans="1:4" x14ac:dyDescent="0.2">
      <c r="C69" s="30">
        <f t="shared" si="1"/>
        <v>1</v>
      </c>
    </row>
    <row r="70" spans="1:4" x14ac:dyDescent="0.2">
      <c r="C70" s="30">
        <f t="shared" si="1"/>
        <v>1</v>
      </c>
    </row>
    <row r="71" spans="1:4" x14ac:dyDescent="0.2">
      <c r="C71" s="30">
        <f t="shared" si="1"/>
        <v>1</v>
      </c>
    </row>
    <row r="72" spans="1:4" x14ac:dyDescent="0.2">
      <c r="C72" s="30">
        <f t="shared" si="1"/>
        <v>1</v>
      </c>
    </row>
    <row r="73" spans="1:4" x14ac:dyDescent="0.2">
      <c r="C73" s="30">
        <f t="shared" si="1"/>
        <v>1</v>
      </c>
    </row>
    <row r="74" spans="1:4" x14ac:dyDescent="0.2">
      <c r="C74" s="30">
        <f t="shared" si="1"/>
        <v>1</v>
      </c>
    </row>
    <row r="75" spans="1:4" x14ac:dyDescent="0.2">
      <c r="C75" s="30">
        <f t="shared" si="1"/>
        <v>1</v>
      </c>
    </row>
    <row r="76" spans="1:4" x14ac:dyDescent="0.2">
      <c r="C76" s="30">
        <f t="shared" si="1"/>
        <v>1</v>
      </c>
    </row>
    <row r="77" spans="1:4" x14ac:dyDescent="0.2">
      <c r="C77" s="30">
        <f t="shared" si="1"/>
        <v>1</v>
      </c>
    </row>
    <row r="78" spans="1:4" x14ac:dyDescent="0.2">
      <c r="C78" s="30">
        <f t="shared" si="1"/>
        <v>1</v>
      </c>
    </row>
    <row r="79" spans="1:4" x14ac:dyDescent="0.2">
      <c r="A79" s="28">
        <v>1</v>
      </c>
      <c r="C79" s="30">
        <f t="shared" si="1"/>
        <v>1</v>
      </c>
    </row>
    <row r="80" spans="1:4" x14ac:dyDescent="0.2">
      <c r="A80" s="28">
        <v>2</v>
      </c>
      <c r="C80" s="30">
        <f t="shared" si="1"/>
        <v>1</v>
      </c>
    </row>
    <row r="81" spans="1:3" x14ac:dyDescent="0.2">
      <c r="A81" s="28">
        <v>3</v>
      </c>
      <c r="C81" s="30">
        <f t="shared" si="1"/>
        <v>1</v>
      </c>
    </row>
    <row r="82" spans="1:3" x14ac:dyDescent="0.2">
      <c r="A82" s="28">
        <v>4</v>
      </c>
      <c r="C82" s="30">
        <f t="shared" si="1"/>
        <v>1</v>
      </c>
    </row>
    <row r="83" spans="1:3" x14ac:dyDescent="0.2">
      <c r="A83" s="28">
        <v>5</v>
      </c>
      <c r="C83" s="30">
        <f t="shared" si="1"/>
        <v>1</v>
      </c>
    </row>
    <row r="84" spans="1:3" x14ac:dyDescent="0.2">
      <c r="A84" s="28">
        <v>6</v>
      </c>
      <c r="C84" s="30">
        <f t="shared" si="1"/>
        <v>1</v>
      </c>
    </row>
    <row r="85" spans="1:3" x14ac:dyDescent="0.2">
      <c r="A85" s="28">
        <v>7</v>
      </c>
      <c r="C85" s="30">
        <f t="shared" si="1"/>
        <v>1</v>
      </c>
    </row>
    <row r="86" spans="1:3" x14ac:dyDescent="0.2">
      <c r="A86" s="28">
        <v>8</v>
      </c>
      <c r="C86" s="30">
        <f t="shared" si="1"/>
        <v>1</v>
      </c>
    </row>
    <row r="87" spans="1:3" x14ac:dyDescent="0.2">
      <c r="A87" s="28">
        <v>9</v>
      </c>
      <c r="C87" s="30">
        <f t="shared" si="1"/>
        <v>1</v>
      </c>
    </row>
    <row r="88" spans="1:3" x14ac:dyDescent="0.2">
      <c r="A88" s="28">
        <v>10</v>
      </c>
      <c r="C88" s="30">
        <f t="shared" si="1"/>
        <v>1</v>
      </c>
    </row>
    <row r="89" spans="1:3" x14ac:dyDescent="0.2">
      <c r="A89" s="28">
        <v>11</v>
      </c>
      <c r="C89" s="30">
        <f t="shared" si="1"/>
        <v>1</v>
      </c>
    </row>
    <row r="90" spans="1:3" x14ac:dyDescent="0.2">
      <c r="A90" s="28">
        <v>12</v>
      </c>
      <c r="C90" s="30">
        <f t="shared" si="1"/>
        <v>1</v>
      </c>
    </row>
    <row r="91" spans="1:3" x14ac:dyDescent="0.2">
      <c r="A91" s="28">
        <v>13</v>
      </c>
      <c r="C91" s="30">
        <f t="shared" si="1"/>
        <v>1</v>
      </c>
    </row>
    <row r="92" spans="1:3" x14ac:dyDescent="0.2">
      <c r="A92" s="28">
        <v>14</v>
      </c>
      <c r="C92" s="30">
        <f t="shared" si="1"/>
        <v>1</v>
      </c>
    </row>
    <row r="93" spans="1:3" x14ac:dyDescent="0.2">
      <c r="A93" s="28">
        <v>15</v>
      </c>
      <c r="C93" s="30">
        <f t="shared" si="1"/>
        <v>1</v>
      </c>
    </row>
    <row r="94" spans="1:3" x14ac:dyDescent="0.2">
      <c r="A94" s="28">
        <v>16</v>
      </c>
      <c r="C94" s="30">
        <f t="shared" si="1"/>
        <v>1</v>
      </c>
    </row>
    <row r="95" spans="1:3" x14ac:dyDescent="0.2">
      <c r="A95" s="28">
        <v>17</v>
      </c>
      <c r="C95" s="30">
        <f t="shared" si="1"/>
        <v>1</v>
      </c>
    </row>
    <row r="96" spans="1:3" x14ac:dyDescent="0.2">
      <c r="A96" s="28">
        <v>18</v>
      </c>
      <c r="C96" s="30">
        <f t="shared" si="1"/>
        <v>1</v>
      </c>
    </row>
    <row r="97" spans="1:3" x14ac:dyDescent="0.2">
      <c r="A97" s="28">
        <v>19</v>
      </c>
      <c r="C97" s="30">
        <f t="shared" si="1"/>
        <v>1</v>
      </c>
    </row>
    <row r="98" spans="1:3" x14ac:dyDescent="0.2">
      <c r="A98" s="28">
        <v>20</v>
      </c>
      <c r="C98" s="30">
        <f t="shared" si="1"/>
        <v>1</v>
      </c>
    </row>
    <row r="99" spans="1:3" x14ac:dyDescent="0.2">
      <c r="A99" s="28">
        <v>21</v>
      </c>
      <c r="C99" s="30">
        <f t="shared" si="1"/>
        <v>1</v>
      </c>
    </row>
    <row r="100" spans="1:3" x14ac:dyDescent="0.2">
      <c r="A100" s="28">
        <v>22</v>
      </c>
      <c r="C100" s="30">
        <f t="shared" si="1"/>
        <v>1</v>
      </c>
    </row>
    <row r="101" spans="1:3" ht="15" x14ac:dyDescent="0.25">
      <c r="B101"/>
      <c r="C101" s="30">
        <f t="shared" si="1"/>
        <v>1</v>
      </c>
    </row>
    <row r="102" spans="1:3" ht="15" x14ac:dyDescent="0.25">
      <c r="B102"/>
      <c r="C102" s="30">
        <f t="shared" si="1"/>
        <v>1</v>
      </c>
    </row>
    <row r="103" spans="1:3" ht="15" x14ac:dyDescent="0.25">
      <c r="B103"/>
      <c r="C103" s="30">
        <f t="shared" si="1"/>
        <v>1</v>
      </c>
    </row>
    <row r="104" spans="1:3" ht="15" x14ac:dyDescent="0.25">
      <c r="B104"/>
      <c r="C104" s="30">
        <f t="shared" si="1"/>
        <v>1</v>
      </c>
    </row>
    <row r="105" spans="1:3" ht="15" x14ac:dyDescent="0.25">
      <c r="B105"/>
      <c r="C105" s="30">
        <f t="shared" si="1"/>
        <v>1</v>
      </c>
    </row>
    <row r="106" spans="1:3" ht="15" x14ac:dyDescent="0.25">
      <c r="B106"/>
      <c r="C106" s="30">
        <f t="shared" si="1"/>
        <v>1</v>
      </c>
    </row>
    <row r="107" spans="1:3" ht="15" x14ac:dyDescent="0.25">
      <c r="B107"/>
      <c r="C107" s="30">
        <f t="shared" si="1"/>
        <v>1</v>
      </c>
    </row>
    <row r="108" spans="1:3" ht="15" x14ac:dyDescent="0.25">
      <c r="B108"/>
      <c r="C108" s="30"/>
    </row>
    <row r="109" spans="1:3" ht="15" x14ac:dyDescent="0.25">
      <c r="B109"/>
      <c r="C109" s="30"/>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row>
    <row r="119" spans="2:4" ht="15" x14ac:dyDescent="0.25">
      <c r="B119"/>
    </row>
    <row r="120" spans="2:4" x14ac:dyDescent="0.2">
      <c r="B120" s="29"/>
      <c r="C120" s="29"/>
      <c r="D120" s="29"/>
    </row>
    <row r="121" spans="2:4" ht="15" x14ac:dyDescent="0.25">
      <c r="B121"/>
      <c r="C121"/>
    </row>
    <row r="123" spans="2:4" ht="15" x14ac:dyDescent="0.25">
      <c r="B123" s="36"/>
      <c r="C123"/>
    </row>
    <row r="127" spans="2:4" ht="15" x14ac:dyDescent="0.25">
      <c r="B127"/>
    </row>
    <row r="128" spans="2:4" ht="15" x14ac:dyDescent="0.25">
      <c r="B128"/>
    </row>
    <row r="129" spans="2:2" ht="15" x14ac:dyDescent="0.25">
      <c r="B129"/>
    </row>
    <row r="130" spans="2:2" ht="15" x14ac:dyDescent="0.25">
      <c r="B130"/>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tabColor theme="4"/>
  </sheetPr>
  <dimension ref="A1:L62"/>
  <sheetViews>
    <sheetView topLeftCell="A31" workbookViewId="0">
      <selection activeCell="F61" sqref="F61:G62"/>
    </sheetView>
  </sheetViews>
  <sheetFormatPr defaultColWidth="11.42578125" defaultRowHeight="11.25" x14ac:dyDescent="0.2"/>
  <cols>
    <col min="1" max="1" width="12.42578125" style="455" customWidth="1"/>
    <col min="2" max="2" width="14.28515625" style="455" customWidth="1"/>
    <col min="3" max="3" width="27.42578125" style="455" customWidth="1"/>
    <col min="4" max="4" width="10.28515625" style="455" customWidth="1"/>
    <col min="5" max="5" width="28.7109375" style="455" customWidth="1"/>
    <col min="6" max="10" width="11.42578125" style="455"/>
    <col min="11" max="11" width="19.85546875" style="455" customWidth="1"/>
    <col min="12" max="16384" width="11.42578125" style="455"/>
  </cols>
  <sheetData>
    <row r="1" spans="1:12" ht="18" thickBot="1" x14ac:dyDescent="0.35">
      <c r="A1" s="305"/>
      <c r="B1" s="181" t="s">
        <v>1278</v>
      </c>
      <c r="C1" s="181"/>
      <c r="D1" s="181"/>
      <c r="E1" s="181"/>
    </row>
    <row r="2" spans="1:12" ht="12" thickTop="1" x14ac:dyDescent="0.2"/>
    <row r="3" spans="1:12" ht="15" x14ac:dyDescent="0.25">
      <c r="B3" s="458" t="s">
        <v>660</v>
      </c>
      <c r="C3" s="459"/>
      <c r="D3" s="459"/>
      <c r="E3" s="459"/>
      <c r="F3" s="459"/>
      <c r="G3" s="459"/>
      <c r="H3" s="186"/>
      <c r="I3" s="186"/>
    </row>
    <row r="4" spans="1:12" ht="15" x14ac:dyDescent="0.25">
      <c r="B4" s="460" t="s">
        <v>344</v>
      </c>
      <c r="C4" s="460" t="s">
        <v>343</v>
      </c>
      <c r="D4" s="460" t="s">
        <v>671</v>
      </c>
      <c r="E4" s="460" t="s">
        <v>672</v>
      </c>
      <c r="F4" s="460" t="s">
        <v>673</v>
      </c>
      <c r="G4" s="460" t="s">
        <v>674</v>
      </c>
      <c r="H4" s="186"/>
      <c r="I4" s="186"/>
    </row>
    <row r="5" spans="1:12" x14ac:dyDescent="0.2">
      <c r="A5" s="455" t="s">
        <v>364</v>
      </c>
      <c r="B5" s="305" t="s">
        <v>1168</v>
      </c>
      <c r="C5" s="305"/>
      <c r="D5" s="305"/>
      <c r="E5" s="305"/>
      <c r="F5" s="305"/>
      <c r="H5" s="186"/>
    </row>
    <row r="6" spans="1:12" ht="15" x14ac:dyDescent="0.25">
      <c r="B6" s="455" t="s">
        <v>1170</v>
      </c>
      <c r="C6" s="455" t="s">
        <v>1169</v>
      </c>
      <c r="D6" t="s">
        <v>241</v>
      </c>
      <c r="E6" t="s">
        <v>1161</v>
      </c>
      <c r="F6" s="186" t="s">
        <v>677</v>
      </c>
      <c r="G6" s="186" t="s">
        <v>1186</v>
      </c>
      <c r="H6" s="186"/>
      <c r="K6" s="456"/>
      <c r="L6" s="456"/>
    </row>
    <row r="7" spans="1:12" ht="15" x14ac:dyDescent="0.25">
      <c r="A7" s="455" t="s">
        <v>364</v>
      </c>
      <c r="B7" s="305" t="s">
        <v>1168</v>
      </c>
      <c r="C7" s="305"/>
      <c r="D7" t="str">
        <f>LEFT(L7,2)</f>
        <v/>
      </c>
      <c r="E7" t="str">
        <f>RIGHT(L7,2)</f>
        <v/>
      </c>
      <c r="F7" s="186"/>
      <c r="G7" s="186"/>
      <c r="H7" s="186"/>
      <c r="K7" s="305"/>
      <c r="L7" s="305"/>
    </row>
    <row r="8" spans="1:12" ht="15" x14ac:dyDescent="0.25">
      <c r="B8" s="455" t="s">
        <v>1167</v>
      </c>
      <c r="C8" s="455" t="s">
        <v>1166</v>
      </c>
      <c r="D8" t="str">
        <f>LEFT(L8,2)</f>
        <v/>
      </c>
      <c r="E8" t="s">
        <v>448</v>
      </c>
      <c r="F8" s="186" t="s">
        <v>377</v>
      </c>
      <c r="G8" s="186" t="s">
        <v>1186</v>
      </c>
      <c r="H8" s="186"/>
      <c r="K8" s="456"/>
      <c r="L8" s="456"/>
    </row>
    <row r="9" spans="1:12" ht="15" x14ac:dyDescent="0.25">
      <c r="A9" s="455" t="s">
        <v>364</v>
      </c>
      <c r="B9" s="305" t="str">
        <f>SUP!A59</f>
        <v>* Indegenous Production of Primary Energy - Fossil</v>
      </c>
      <c r="C9" s="305"/>
      <c r="D9" t="str">
        <f>LEFT(L9,2)</f>
        <v/>
      </c>
      <c r="E9" t="str">
        <f>RIGHT(L9,2)</f>
        <v/>
      </c>
      <c r="F9" s="186"/>
      <c r="G9" s="186"/>
      <c r="H9" s="186"/>
      <c r="K9" s="305"/>
      <c r="L9" s="305"/>
    </row>
    <row r="10" spans="1:12" ht="15" x14ac:dyDescent="0.25">
      <c r="B10" s="455" t="s">
        <v>1165</v>
      </c>
      <c r="C10" s="455" t="s">
        <v>1164</v>
      </c>
      <c r="D10" t="s">
        <v>241</v>
      </c>
      <c r="E10" t="s">
        <v>448</v>
      </c>
      <c r="F10" s="186" t="s">
        <v>377</v>
      </c>
      <c r="G10" s="186" t="s">
        <v>1186</v>
      </c>
      <c r="H10" s="186"/>
      <c r="K10" s="456"/>
      <c r="L10" s="456"/>
    </row>
    <row r="11" spans="1:12" ht="15" x14ac:dyDescent="0.25">
      <c r="B11" s="455" t="s">
        <v>1163</v>
      </c>
      <c r="C11" s="455" t="s">
        <v>1162</v>
      </c>
      <c r="D11" t="s">
        <v>241</v>
      </c>
      <c r="E11" t="s">
        <v>448</v>
      </c>
      <c r="F11" s="186" t="s">
        <v>377</v>
      </c>
      <c r="G11" s="186" t="s">
        <v>1186</v>
      </c>
      <c r="H11" s="186"/>
      <c r="K11" s="456"/>
      <c r="L11" s="456"/>
    </row>
    <row r="12" spans="1:12" ht="15" x14ac:dyDescent="0.25">
      <c r="A12" s="455" t="str">
        <f>IF(LEFT(SUP!A60,2)="\I","*","")</f>
        <v/>
      </c>
      <c r="B12" s="455" t="str">
        <f>IF(A12="*","",SUP!B60)</f>
        <v>MINCOA</v>
      </c>
      <c r="C12" s="455" t="str">
        <f>IF(A12="*","",SUP!A60)</f>
        <v>Extraction of Coal</v>
      </c>
      <c r="D12" t="s">
        <v>241</v>
      </c>
      <c r="E12" t="s">
        <v>448</v>
      </c>
      <c r="F12" s="186" t="s">
        <v>377</v>
      </c>
      <c r="G12" s="186" t="s">
        <v>1186</v>
      </c>
      <c r="H12" s="186"/>
      <c r="K12" s="456"/>
      <c r="L12" s="456"/>
    </row>
    <row r="13" spans="1:12" ht="15" x14ac:dyDescent="0.25">
      <c r="A13" s="455" t="str">
        <f>IF(LEFT(SUP!A61,2)="\I","*","")</f>
        <v/>
      </c>
      <c r="B13" s="455" t="str">
        <f>IF(A13="*","",SUP!B61)</f>
        <v>MINCLE</v>
      </c>
      <c r="C13" s="455" t="str">
        <f>IF(A13="*","",SUP!A61)</f>
        <v>Extraction of Coal low grade</v>
      </c>
      <c r="D13" t="s">
        <v>241</v>
      </c>
      <c r="E13" t="s">
        <v>448</v>
      </c>
      <c r="F13" s="186" t="s">
        <v>377</v>
      </c>
      <c r="G13" s="186" t="s">
        <v>1186</v>
      </c>
      <c r="H13" s="186"/>
      <c r="K13" s="456"/>
      <c r="L13" s="456"/>
    </row>
    <row r="14" spans="1:12" ht="15" x14ac:dyDescent="0.25">
      <c r="A14" s="455" t="str">
        <f>IF(LEFT(SUP!A62,2)="\I","*","")</f>
        <v/>
      </c>
      <c r="B14" s="455" t="str">
        <f>IF(A14="*","",SUP!B62)</f>
        <v>MINCLD</v>
      </c>
      <c r="C14" s="455" t="str">
        <f>IF(A14="*","",SUP!A62)</f>
        <v>Extraction of Coal Discard</v>
      </c>
      <c r="D14" t="s">
        <v>241</v>
      </c>
      <c r="E14" t="s">
        <v>448</v>
      </c>
      <c r="F14" s="186" t="s">
        <v>377</v>
      </c>
      <c r="G14" s="186" t="s">
        <v>1186</v>
      </c>
      <c r="H14" s="186"/>
      <c r="K14" s="456"/>
      <c r="L14" s="456"/>
    </row>
    <row r="15" spans="1:12" ht="15" x14ac:dyDescent="0.25">
      <c r="A15" s="455" t="str">
        <f>IF(LEFT(SUP!A63,2)="\I","*","")</f>
        <v/>
      </c>
      <c r="B15" s="455" t="str">
        <f>IF(A15="*","",SUP!B63)</f>
        <v>MINOCR</v>
      </c>
      <c r="C15" s="455" t="str">
        <f>IF(A15="*","",SUP!A63)</f>
        <v>Extraction of Oil Crude</v>
      </c>
      <c r="D15" t="s">
        <v>241</v>
      </c>
      <c r="E15" t="s">
        <v>448</v>
      </c>
      <c r="F15" s="186" t="s">
        <v>377</v>
      </c>
      <c r="G15" s="186" t="s">
        <v>1186</v>
      </c>
      <c r="H15" s="186"/>
      <c r="K15" s="456"/>
      <c r="L15" s="456"/>
    </row>
    <row r="16" spans="1:12" ht="15" x14ac:dyDescent="0.25">
      <c r="A16" s="455" t="s">
        <v>259</v>
      </c>
      <c r="B16" s="455" t="str">
        <f>IF(A16="*","",SUP!B64)</f>
        <v>MINGIC</v>
      </c>
      <c r="C16" s="455" t="str">
        <f>IF(A16="*","",SUP!A64)</f>
        <v>Extraction of Coastal Gas</v>
      </c>
      <c r="D16" t="s">
        <v>241</v>
      </c>
      <c r="E16" t="s">
        <v>448</v>
      </c>
      <c r="F16" s="186" t="s">
        <v>377</v>
      </c>
      <c r="G16" s="186" t="s">
        <v>1186</v>
      </c>
      <c r="H16" s="186"/>
      <c r="K16" s="456"/>
      <c r="L16" s="456"/>
    </row>
    <row r="17" spans="1:12" ht="15" x14ac:dyDescent="0.25">
      <c r="A17" s="455" t="s">
        <v>259</v>
      </c>
      <c r="B17" s="455" t="str">
        <f>IF(A17="*","",SUP!B65)</f>
        <v>MINGIB</v>
      </c>
      <c r="C17" s="455" t="str">
        <f>IF(A17="*","",SUP!A65)</f>
        <v>Extraction of Gas Indigenous Ibhubezi</v>
      </c>
      <c r="D17" t="s">
        <v>241</v>
      </c>
      <c r="E17" t="s">
        <v>448</v>
      </c>
      <c r="F17" s="186" t="s">
        <v>377</v>
      </c>
      <c r="G17" s="186" t="s">
        <v>1186</v>
      </c>
      <c r="H17" s="186"/>
      <c r="K17" s="456"/>
      <c r="L17" s="456"/>
    </row>
    <row r="18" spans="1:12" ht="15" x14ac:dyDescent="0.25">
      <c r="A18" s="455" t="s">
        <v>259</v>
      </c>
      <c r="B18" s="455" t="str">
        <f>IF(A18="*","",SUP!B66)</f>
        <v>MINGAS</v>
      </c>
      <c r="C18" s="455" t="str">
        <f>IF(A18="*","",SUP!A66)</f>
        <v>Extraction of Gas Indigenous Coal Bed Methane</v>
      </c>
      <c r="D18" t="s">
        <v>241</v>
      </c>
      <c r="E18" t="s">
        <v>448</v>
      </c>
      <c r="F18" s="186" t="s">
        <v>377</v>
      </c>
      <c r="G18" s="186" t="s">
        <v>1186</v>
      </c>
      <c r="H18" s="186"/>
      <c r="K18" s="456"/>
      <c r="L18" s="456"/>
    </row>
    <row r="19" spans="1:12" ht="15" x14ac:dyDescent="0.25">
      <c r="A19" s="455" t="s">
        <v>259</v>
      </c>
      <c r="B19" s="455" t="str">
        <f>IF(A19="*","",SUP!B67)</f>
        <v>MINGIH</v>
      </c>
      <c r="C19" s="455" t="str">
        <f>IF(A19="*","",SUP!A67)</f>
        <v>Extraction of Gas Indigenous Shale</v>
      </c>
      <c r="D19" t="s">
        <v>241</v>
      </c>
      <c r="E19" t="s">
        <v>448</v>
      </c>
      <c r="F19" s="186" t="s">
        <v>377</v>
      </c>
      <c r="G19" s="186" t="s">
        <v>1186</v>
      </c>
      <c r="H19" s="186"/>
      <c r="K19" s="456"/>
      <c r="L19" s="456"/>
    </row>
    <row r="20" spans="1:12" ht="15" x14ac:dyDescent="0.25">
      <c r="A20" s="455" t="s">
        <v>364</v>
      </c>
      <c r="B20" s="455" t="str">
        <f>IF(A20="*","",SUP!B68)</f>
        <v/>
      </c>
      <c r="C20" s="455" t="str">
        <f>IF(A20="*","",SUP!A68)</f>
        <v/>
      </c>
      <c r="D20"/>
      <c r="E20"/>
      <c r="F20" s="186"/>
      <c r="G20" s="186"/>
      <c r="H20" s="186"/>
      <c r="K20" s="456"/>
      <c r="L20" s="456"/>
    </row>
    <row r="21" spans="1:12" ht="15" x14ac:dyDescent="0.25">
      <c r="A21" s="455" t="s">
        <v>259</v>
      </c>
      <c r="B21" s="455" t="str">
        <f>IF(A21="*","",SUP!B69)</f>
        <v>MINBIG</v>
      </c>
      <c r="C21" s="455" t="str">
        <f>IF(A21="*","",SUP!A69)</f>
        <v>Extraction of Biogas</v>
      </c>
      <c r="D21" t="s">
        <v>241</v>
      </c>
      <c r="E21" t="s">
        <v>448</v>
      </c>
      <c r="F21" s="186" t="s">
        <v>377</v>
      </c>
      <c r="G21" s="186" t="s">
        <v>1186</v>
      </c>
      <c r="H21" s="186"/>
      <c r="K21" s="456"/>
      <c r="L21" s="456"/>
    </row>
    <row r="22" spans="1:12" ht="15" x14ac:dyDescent="0.25">
      <c r="A22" s="455" t="s">
        <v>259</v>
      </c>
      <c r="B22" s="455" t="str">
        <f>IF(A22="*","",SUP!B70)</f>
        <v>MINBIB</v>
      </c>
      <c r="C22" s="455" t="str">
        <f>IF(A22="*","",SUP!A70)</f>
        <v>Extraction of Biomass bagasse</v>
      </c>
      <c r="D22" t="s">
        <v>241</v>
      </c>
      <c r="E22" t="s">
        <v>448</v>
      </c>
      <c r="F22" s="186" t="s">
        <v>377</v>
      </c>
      <c r="G22" s="186" t="s">
        <v>1186</v>
      </c>
      <c r="H22" s="186"/>
      <c r="K22" s="456"/>
      <c r="L22" s="456"/>
    </row>
    <row r="23" spans="1:12" ht="15" x14ac:dyDescent="0.25">
      <c r="A23" s="455" t="s">
        <v>259</v>
      </c>
      <c r="B23" s="455" t="str">
        <f>IF(A23="*","",SUP!B71)</f>
        <v>MINBIO</v>
      </c>
      <c r="C23" s="455" t="str">
        <f>IF(A23="*","",SUP!A71)</f>
        <v>Extraction of Biomass Other</v>
      </c>
      <c r="D23" t="s">
        <v>241</v>
      </c>
      <c r="E23" t="s">
        <v>448</v>
      </c>
      <c r="F23" s="186" t="s">
        <v>377</v>
      </c>
      <c r="G23" s="186" t="s">
        <v>1186</v>
      </c>
      <c r="H23" s="186"/>
      <c r="K23" s="456"/>
      <c r="L23" s="456"/>
    </row>
    <row r="24" spans="1:12" ht="15" x14ac:dyDescent="0.25">
      <c r="A24" s="455" t="s">
        <v>259</v>
      </c>
      <c r="B24" s="455" t="str">
        <f>IF(A24="*","",SUP!B72)</f>
        <v>MINBIW</v>
      </c>
      <c r="C24" s="455" t="str">
        <f>IF(A24="*","",SUP!A72)</f>
        <v>Extraction of Biomass Wood</v>
      </c>
      <c r="D24" t="s">
        <v>241</v>
      </c>
      <c r="E24" t="s">
        <v>448</v>
      </c>
      <c r="F24" s="186" t="s">
        <v>377</v>
      </c>
      <c r="G24" s="186" t="s">
        <v>1186</v>
      </c>
      <c r="H24" s="186"/>
      <c r="K24" s="456"/>
      <c r="L24" s="456"/>
    </row>
    <row r="25" spans="1:12" ht="15" x14ac:dyDescent="0.25">
      <c r="A25" s="455" t="s">
        <v>259</v>
      </c>
      <c r="B25" s="455" t="str">
        <f>IF(A25="*","",SUP!B73)</f>
        <v>MINWAS</v>
      </c>
      <c r="C25" s="455" t="str">
        <f>IF(A25="*","",SUP!A73)</f>
        <v>Extraction of Waste</v>
      </c>
      <c r="D25" t="s">
        <v>241</v>
      </c>
      <c r="E25" t="s">
        <v>448</v>
      </c>
      <c r="F25" s="186" t="s">
        <v>377</v>
      </c>
      <c r="G25" s="186" t="s">
        <v>1186</v>
      </c>
      <c r="H25" s="186"/>
      <c r="K25" s="456"/>
      <c r="L25" s="456"/>
    </row>
    <row r="26" spans="1:12" ht="15" x14ac:dyDescent="0.25">
      <c r="A26" s="455" t="s">
        <v>259</v>
      </c>
      <c r="B26" s="455" t="str">
        <f>IF(A26="*","",SUP!B74)</f>
        <v>MINHYD</v>
      </c>
      <c r="C26" s="455" t="str">
        <f>IF(A26="*","",SUP!A74)</f>
        <v>Extraction of Hydro</v>
      </c>
      <c r="D26" t="s">
        <v>241</v>
      </c>
      <c r="E26" t="s">
        <v>448</v>
      </c>
      <c r="F26" s="186" t="s">
        <v>377</v>
      </c>
      <c r="G26" s="186" t="s">
        <v>1186</v>
      </c>
      <c r="H26" s="186"/>
      <c r="K26" s="456"/>
      <c r="L26" s="456"/>
    </row>
    <row r="27" spans="1:12" ht="15" x14ac:dyDescent="0.25">
      <c r="A27" s="455" t="s">
        <v>259</v>
      </c>
      <c r="B27" s="455" t="str">
        <f>IF(A27="*","",SUP!B75)</f>
        <v>MINSOL</v>
      </c>
      <c r="C27" s="455" t="str">
        <f>IF(A27="*","",SUP!A75)</f>
        <v>Extraction of Solar</v>
      </c>
      <c r="D27" t="s">
        <v>241</v>
      </c>
      <c r="E27" t="s">
        <v>448</v>
      </c>
      <c r="F27" s="186" t="s">
        <v>377</v>
      </c>
      <c r="G27" s="186" t="s">
        <v>1186</v>
      </c>
      <c r="H27" s="186"/>
      <c r="K27" s="456"/>
      <c r="L27" s="456"/>
    </row>
    <row r="28" spans="1:12" ht="15" x14ac:dyDescent="0.25">
      <c r="A28" s="455" t="s">
        <v>259</v>
      </c>
      <c r="B28" s="455" t="str">
        <f>IF(A28="*","",SUP!B76)</f>
        <v>MINWND</v>
      </c>
      <c r="C28" s="455" t="str">
        <f>IF(A28="*","",SUP!A76)</f>
        <v>Extraction of Wind</v>
      </c>
      <c r="D28" t="s">
        <v>241</v>
      </c>
      <c r="E28" t="s">
        <v>448</v>
      </c>
      <c r="F28" s="186" t="s">
        <v>377</v>
      </c>
      <c r="G28" s="186" t="s">
        <v>1186</v>
      </c>
      <c r="H28" s="186"/>
      <c r="K28" s="456"/>
      <c r="L28" s="456"/>
    </row>
    <row r="29" spans="1:12" ht="15" x14ac:dyDescent="0.25">
      <c r="A29" s="455" t="s">
        <v>364</v>
      </c>
      <c r="B29" s="305" t="s">
        <v>1316</v>
      </c>
      <c r="C29" s="455" t="str">
        <f>IF(A29="*","",SUP!A77)</f>
        <v/>
      </c>
      <c r="D29"/>
      <c r="E29"/>
      <c r="F29" s="186"/>
      <c r="G29" s="186"/>
      <c r="H29" s="186"/>
      <c r="K29" s="456"/>
      <c r="L29" s="456"/>
    </row>
    <row r="30" spans="1:12" ht="15" x14ac:dyDescent="0.25">
      <c r="A30" s="455" t="s">
        <v>259</v>
      </c>
      <c r="B30" s="455" t="str">
        <f>IF(A30="*","",SUP!B78)</f>
        <v>IMPCOK</v>
      </c>
      <c r="C30" s="455" t="str">
        <f>IF(A30="*","",SUP!A78)</f>
        <v>Imports of Coal Coking</v>
      </c>
      <c r="D30" t="s">
        <v>241</v>
      </c>
      <c r="E30" t="s">
        <v>448</v>
      </c>
      <c r="F30" s="186" t="s">
        <v>377</v>
      </c>
      <c r="G30" s="186" t="s">
        <v>325</v>
      </c>
      <c r="H30" s="186"/>
      <c r="K30" s="456"/>
      <c r="L30" s="456"/>
    </row>
    <row r="31" spans="1:12" ht="15" x14ac:dyDescent="0.25">
      <c r="A31" s="455" t="s">
        <v>259</v>
      </c>
      <c r="B31" s="455" t="str">
        <f>IF(A31="*","",SUP!B79)</f>
        <v>IMPGRL</v>
      </c>
      <c r="C31" s="455" t="str">
        <f>IF(A31="*","",SUP!A79)</f>
        <v>Imports of Gas Regional LNG</v>
      </c>
      <c r="D31" t="s">
        <v>241</v>
      </c>
      <c r="E31" t="s">
        <v>448</v>
      </c>
      <c r="F31" s="186" t="s">
        <v>377</v>
      </c>
      <c r="G31" s="186" t="s">
        <v>325</v>
      </c>
      <c r="H31" s="186"/>
      <c r="K31" s="456"/>
      <c r="L31" s="456"/>
    </row>
    <row r="32" spans="1:12" ht="15" x14ac:dyDescent="0.25">
      <c r="A32" s="455" t="s">
        <v>259</v>
      </c>
      <c r="B32" s="455" t="str">
        <f>IF(A32="*","",SUP!B80)</f>
        <v>IMPGWL</v>
      </c>
      <c r="C32" s="455" t="str">
        <f>IF(A32="*","",SUP!A80)</f>
        <v>Imports of Gas International LNG</v>
      </c>
      <c r="D32" t="s">
        <v>241</v>
      </c>
      <c r="E32" t="s">
        <v>448</v>
      </c>
      <c r="F32" s="186" t="s">
        <v>377</v>
      </c>
      <c r="G32" s="186" t="s">
        <v>325</v>
      </c>
      <c r="H32" s="186"/>
      <c r="K32" s="456"/>
      <c r="L32" s="456"/>
    </row>
    <row r="33" spans="1:12" ht="15" x14ac:dyDescent="0.25">
      <c r="A33" s="455" t="s">
        <v>259</v>
      </c>
      <c r="B33" s="455" t="str">
        <f>IF(A33="*","",SUP!B81)</f>
        <v>IMPNUC</v>
      </c>
      <c r="C33" s="455" t="str">
        <f>IF(A33="*","",SUP!A81)</f>
        <v>Imports of Nuclear</v>
      </c>
      <c r="D33" t="s">
        <v>241</v>
      </c>
      <c r="E33" t="s">
        <v>448</v>
      </c>
      <c r="F33" s="186" t="s">
        <v>377</v>
      </c>
      <c r="G33" s="186" t="s">
        <v>325</v>
      </c>
      <c r="H33" s="186"/>
      <c r="K33" s="456"/>
      <c r="L33" s="456"/>
    </row>
    <row r="34" spans="1:12" ht="15" x14ac:dyDescent="0.25">
      <c r="A34" s="455" t="s">
        <v>259</v>
      </c>
      <c r="B34" s="455" t="str">
        <f>IF(A34="*","",SUP!B82)</f>
        <v>IMPOAG</v>
      </c>
      <c r="C34" s="455" t="str">
        <f>IF(A34="*","",SUP!A82)</f>
        <v>Imports of Oil Av Gasoline</v>
      </c>
      <c r="D34" t="s">
        <v>241</v>
      </c>
      <c r="E34" t="s">
        <v>448</v>
      </c>
      <c r="F34" s="186" t="s">
        <v>377</v>
      </c>
      <c r="G34" s="186" t="s">
        <v>325</v>
      </c>
      <c r="H34" s="186"/>
      <c r="K34" s="456"/>
      <c r="L34" s="456"/>
    </row>
    <row r="35" spans="1:12" ht="15" x14ac:dyDescent="0.25">
      <c r="A35" s="455" t="s">
        <v>259</v>
      </c>
      <c r="B35" s="455" t="str">
        <f>IF(A35="*","",SUP!B83)</f>
        <v>IMPOCR</v>
      </c>
      <c r="C35" s="455" t="str">
        <f>IF(A35="*","",SUP!A83)</f>
        <v>Imports of Oil Crude</v>
      </c>
      <c r="D35" t="s">
        <v>241</v>
      </c>
      <c r="E35" t="s">
        <v>448</v>
      </c>
      <c r="F35" s="186" t="s">
        <v>377</v>
      </c>
      <c r="G35" s="186" t="s">
        <v>325</v>
      </c>
      <c r="H35" s="186"/>
      <c r="K35" s="456"/>
      <c r="L35" s="456"/>
    </row>
    <row r="36" spans="1:12" ht="15" x14ac:dyDescent="0.25">
      <c r="A36" s="455" t="s">
        <v>259</v>
      </c>
      <c r="B36" s="455" t="str">
        <f>IF(A36="*","",SUP!B84)</f>
        <v>IMPODS</v>
      </c>
      <c r="C36" s="455" t="str">
        <f>IF(A36="*","",SUP!A84)</f>
        <v>Imports of Oil Diesel</v>
      </c>
      <c r="D36" t="s">
        <v>241</v>
      </c>
      <c r="E36" t="s">
        <v>448</v>
      </c>
      <c r="F36" s="186" t="s">
        <v>377</v>
      </c>
      <c r="G36" s="186" t="s">
        <v>325</v>
      </c>
      <c r="H36" s="186"/>
      <c r="K36" s="456"/>
      <c r="L36" s="456"/>
    </row>
    <row r="37" spans="1:12" ht="15" x14ac:dyDescent="0.25">
      <c r="A37" s="455" t="s">
        <v>259</v>
      </c>
      <c r="B37" s="455" t="str">
        <f>IF(A37="*","",SUP!B85)</f>
        <v>IMPOGS</v>
      </c>
      <c r="C37" s="455" t="str">
        <f>IF(A37="*","",SUP!A85)</f>
        <v>Imports of Oil Gasoline</v>
      </c>
      <c r="D37" t="s">
        <v>241</v>
      </c>
      <c r="E37" t="s">
        <v>448</v>
      </c>
      <c r="F37" s="186" t="s">
        <v>377</v>
      </c>
      <c r="G37" s="186" t="s">
        <v>325</v>
      </c>
      <c r="H37" s="186"/>
      <c r="K37" s="456"/>
      <c r="L37" s="456"/>
    </row>
    <row r="38" spans="1:12" ht="15" x14ac:dyDescent="0.25">
      <c r="A38" s="455" t="s">
        <v>259</v>
      </c>
      <c r="B38" s="455" t="str">
        <f>IF(A38="*","",SUP!B86)</f>
        <v>IMPOHF</v>
      </c>
      <c r="C38" s="455" t="str">
        <f>IF(A38="*","",SUP!A86)</f>
        <v>Imports of Oil HFO</v>
      </c>
      <c r="D38" t="s">
        <v>241</v>
      </c>
      <c r="E38" t="s">
        <v>448</v>
      </c>
      <c r="F38" s="186" t="s">
        <v>377</v>
      </c>
      <c r="G38" s="186" t="s">
        <v>325</v>
      </c>
      <c r="H38" s="186"/>
      <c r="K38" s="456"/>
      <c r="L38" s="456"/>
    </row>
    <row r="39" spans="1:12" ht="15" x14ac:dyDescent="0.25">
      <c r="A39" s="455" t="s">
        <v>259</v>
      </c>
      <c r="B39" s="455" t="str">
        <f>IF(A39="*","",SUP!B87)</f>
        <v>IMPOLP</v>
      </c>
      <c r="C39" s="455" t="str">
        <f>IF(A39="*","",SUP!A87)</f>
        <v>Imports of Oil LPG</v>
      </c>
      <c r="D39" t="s">
        <v>241</v>
      </c>
      <c r="E39" t="s">
        <v>448</v>
      </c>
      <c r="F39" s="186" t="s">
        <v>377</v>
      </c>
      <c r="G39" s="186" t="s">
        <v>325</v>
      </c>
      <c r="H39" s="186"/>
      <c r="K39" s="456"/>
      <c r="L39" s="456"/>
    </row>
    <row r="40" spans="1:12" ht="15" x14ac:dyDescent="0.25">
      <c r="A40" s="455" t="s">
        <v>259</v>
      </c>
      <c r="B40" s="455" t="str">
        <f>IF(A40="*","",SUP!B88)</f>
        <v>IMPOKE</v>
      </c>
      <c r="C40" s="455" t="str">
        <f>IF(A40="*","",SUP!A88)</f>
        <v>Imports of Oil Kerosene</v>
      </c>
      <c r="D40" t="s">
        <v>241</v>
      </c>
      <c r="E40" t="s">
        <v>448</v>
      </c>
      <c r="F40" s="186" t="s">
        <v>377</v>
      </c>
      <c r="G40" s="186" t="s">
        <v>325</v>
      </c>
      <c r="H40" s="186"/>
      <c r="K40" s="456"/>
      <c r="L40" s="456"/>
    </row>
    <row r="41" spans="1:12" ht="15" x14ac:dyDescent="0.25">
      <c r="A41" s="455" t="s">
        <v>259</v>
      </c>
      <c r="B41" s="455" t="str">
        <f>IF(A41="*","",SUP!B89)</f>
        <v>IMPBID</v>
      </c>
      <c r="C41" s="455" t="str">
        <f>IF(A41="*","",SUP!A89)</f>
        <v>Imports of Biodiesel</v>
      </c>
      <c r="D41" t="s">
        <v>241</v>
      </c>
      <c r="E41" t="s">
        <v>448</v>
      </c>
      <c r="F41" s="186" t="s">
        <v>377</v>
      </c>
      <c r="G41" s="186" t="s">
        <v>325</v>
      </c>
      <c r="H41" s="186"/>
      <c r="K41" s="456"/>
      <c r="L41" s="456"/>
    </row>
    <row r="42" spans="1:12" ht="15" x14ac:dyDescent="0.25">
      <c r="A42" s="455" t="s">
        <v>259</v>
      </c>
      <c r="B42" s="455" t="str">
        <f>IF(A42="*","",SUP!B90)</f>
        <v>IMPBIE</v>
      </c>
      <c r="C42" s="455" t="str">
        <f>IF(A42="*","",SUP!A90)</f>
        <v>Imports of Bioethanol</v>
      </c>
      <c r="D42" t="s">
        <v>241</v>
      </c>
      <c r="E42" t="s">
        <v>448</v>
      </c>
      <c r="F42" s="186" t="s">
        <v>377</v>
      </c>
      <c r="G42" s="186" t="s">
        <v>325</v>
      </c>
      <c r="H42" s="186"/>
      <c r="K42" s="456"/>
      <c r="L42" s="456"/>
    </row>
    <row r="43" spans="1:12" ht="15" x14ac:dyDescent="0.25">
      <c r="A43" s="455" t="s">
        <v>364</v>
      </c>
      <c r="B43" s="455" t="str">
        <f>IF(A43="*","",SUP!B91)</f>
        <v/>
      </c>
      <c r="C43" s="455" t="str">
        <f>IF(A43="*","",SUP!A91)</f>
        <v/>
      </c>
      <c r="D43"/>
      <c r="E43"/>
      <c r="F43" s="186"/>
      <c r="G43" s="186"/>
      <c r="H43" s="186"/>
      <c r="K43" s="456"/>
      <c r="L43" s="456"/>
    </row>
    <row r="44" spans="1:12" ht="15" x14ac:dyDescent="0.25">
      <c r="A44" s="455" t="s">
        <v>259</v>
      </c>
      <c r="B44" s="455" t="str">
        <f>IF(A44="*","",SUP!B92)</f>
        <v>MIRGRS</v>
      </c>
      <c r="C44" s="455" t="str">
        <f>IF(A44="*","",SUP!A92)</f>
        <v>Extraction of Gas Southern Mozambique</v>
      </c>
      <c r="D44" t="s">
        <v>241</v>
      </c>
      <c r="E44" t="s">
        <v>448</v>
      </c>
      <c r="F44" s="186" t="s">
        <v>377</v>
      </c>
      <c r="G44" s="186" t="s">
        <v>1186</v>
      </c>
      <c r="H44" s="186"/>
      <c r="K44" s="456"/>
      <c r="L44" s="456"/>
    </row>
    <row r="45" spans="1:12" ht="15" x14ac:dyDescent="0.25">
      <c r="A45" s="455" t="s">
        <v>259</v>
      </c>
      <c r="B45" s="455" t="str">
        <f>IF(A45="*","",SUP!B93)</f>
        <v>MIRGRM</v>
      </c>
      <c r="C45" s="455" t="str">
        <f>IF(A45="*","",SUP!A93)</f>
        <v>Extraction of Gas Northern Mozambique</v>
      </c>
      <c r="D45" t="s">
        <v>241</v>
      </c>
      <c r="E45" t="s">
        <v>448</v>
      </c>
      <c r="F45" s="186" t="s">
        <v>377</v>
      </c>
      <c r="G45" s="186" t="s">
        <v>1186</v>
      </c>
      <c r="H45" s="186"/>
      <c r="K45" s="456"/>
      <c r="L45" s="456"/>
    </row>
    <row r="46" spans="1:12" ht="15" x14ac:dyDescent="0.25">
      <c r="A46" s="455" t="s">
        <v>364</v>
      </c>
      <c r="B46" s="305" t="s">
        <v>1317</v>
      </c>
      <c r="C46" s="455" t="str">
        <f>IF(A46="*","",SUP!A94)</f>
        <v/>
      </c>
      <c r="D46"/>
      <c r="E46"/>
      <c r="F46" s="186"/>
      <c r="G46" s="186"/>
      <c r="H46" s="186"/>
      <c r="K46" s="456"/>
      <c r="L46" s="456"/>
    </row>
    <row r="47" spans="1:12" ht="15" x14ac:dyDescent="0.25">
      <c r="A47" s="455" t="s">
        <v>259</v>
      </c>
      <c r="B47" s="455" t="str">
        <f>IF(A47="*","",SUP!B95)</f>
        <v>PEXCOA</v>
      </c>
      <c r="C47" s="455" t="str">
        <f>IF(A47="*","",SUP!A95)</f>
        <v>Exports of Coal</v>
      </c>
      <c r="D47" t="s">
        <v>241</v>
      </c>
      <c r="E47" t="s">
        <v>448</v>
      </c>
      <c r="F47" s="186" t="s">
        <v>377</v>
      </c>
      <c r="G47" s="186" t="s">
        <v>327</v>
      </c>
      <c r="H47" s="186"/>
      <c r="K47" s="456"/>
      <c r="L47" s="456"/>
    </row>
    <row r="48" spans="1:12" ht="15" x14ac:dyDescent="0.25">
      <c r="A48" s="455" t="s">
        <v>259</v>
      </c>
      <c r="B48" s="455" t="str">
        <f>IF(A48="*","",SUP!B96)</f>
        <v>PEXCOK</v>
      </c>
      <c r="C48" s="455" t="str">
        <f>IF(A48="*","",SUP!A96)</f>
        <v>Exports of Coal Coking</v>
      </c>
      <c r="D48" t="s">
        <v>241</v>
      </c>
      <c r="E48" t="s">
        <v>448</v>
      </c>
      <c r="F48" s="186" t="s">
        <v>377</v>
      </c>
      <c r="G48" s="186" t="s">
        <v>327</v>
      </c>
      <c r="H48" s="186"/>
      <c r="K48" s="456"/>
      <c r="L48" s="456"/>
    </row>
    <row r="49" spans="1:12" ht="15" x14ac:dyDescent="0.25">
      <c r="A49" s="455" t="s">
        <v>259</v>
      </c>
      <c r="B49" s="455" t="str">
        <f>IF(A49="*","",SUP!B97)</f>
        <v>PEXOAG</v>
      </c>
      <c r="C49" s="455" t="str">
        <f>IF(A49="*","",SUP!A97)</f>
        <v>Exports of Oil Av Gasoline</v>
      </c>
      <c r="D49" t="s">
        <v>241</v>
      </c>
      <c r="E49" t="s">
        <v>448</v>
      </c>
      <c r="F49" s="186" t="s">
        <v>377</v>
      </c>
      <c r="G49" s="186" t="s">
        <v>327</v>
      </c>
      <c r="H49" s="186"/>
      <c r="K49" s="456"/>
      <c r="L49" s="456"/>
    </row>
    <row r="50" spans="1:12" ht="15" x14ac:dyDescent="0.25">
      <c r="A50" s="455" t="s">
        <v>259</v>
      </c>
      <c r="B50" s="455" t="str">
        <f>IF(A50="*","",SUP!B98)</f>
        <v>PEXOCR</v>
      </c>
      <c r="C50" s="455" t="str">
        <f>IF(A50="*","",SUP!A98)</f>
        <v>Exports of Oil Crude</v>
      </c>
      <c r="D50" t="s">
        <v>241</v>
      </c>
      <c r="E50" t="s">
        <v>448</v>
      </c>
      <c r="F50" s="186" t="s">
        <v>377</v>
      </c>
      <c r="G50" s="186" t="s">
        <v>327</v>
      </c>
      <c r="H50" s="186"/>
      <c r="K50" s="456"/>
      <c r="L50" s="456"/>
    </row>
    <row r="51" spans="1:12" ht="15" x14ac:dyDescent="0.25">
      <c r="A51" s="455" t="s">
        <v>259</v>
      </c>
      <c r="B51" s="455" t="str">
        <f>IF(A51="*","",SUP!B99)</f>
        <v>PEXODS</v>
      </c>
      <c r="C51" s="455" t="str">
        <f>IF(A51="*","",SUP!A99)</f>
        <v>Exports of Oil Diesel</v>
      </c>
      <c r="D51" t="s">
        <v>241</v>
      </c>
      <c r="E51" t="s">
        <v>448</v>
      </c>
      <c r="F51" s="186" t="s">
        <v>377</v>
      </c>
      <c r="G51" s="186" t="s">
        <v>327</v>
      </c>
      <c r="H51" s="186"/>
      <c r="K51" s="456"/>
      <c r="L51" s="456"/>
    </row>
    <row r="52" spans="1:12" ht="15" x14ac:dyDescent="0.25">
      <c r="A52" s="455" t="s">
        <v>259</v>
      </c>
      <c r="B52" s="455" t="str">
        <f>IF(A52="*","",SUP!B100)</f>
        <v>PEXOGS</v>
      </c>
      <c r="C52" s="455" t="str">
        <f>IF(A52="*","",SUP!A100)</f>
        <v>Exports of Oil Gasoline</v>
      </c>
      <c r="D52" t="s">
        <v>241</v>
      </c>
      <c r="E52" t="s">
        <v>448</v>
      </c>
      <c r="F52" s="186" t="s">
        <v>377</v>
      </c>
      <c r="G52" s="186" t="s">
        <v>327</v>
      </c>
      <c r="H52" s="186"/>
      <c r="K52" s="456"/>
      <c r="L52" s="456"/>
    </row>
    <row r="53" spans="1:12" ht="15" x14ac:dyDescent="0.25">
      <c r="A53" s="455" t="s">
        <v>259</v>
      </c>
      <c r="B53" s="455" t="str">
        <f>IF(A53="*","",SUP!B101)</f>
        <v>PEXOHF</v>
      </c>
      <c r="C53" s="455" t="str">
        <f>IF(A53="*","",SUP!A101)</f>
        <v>Exports of Oil HFO</v>
      </c>
      <c r="D53" t="s">
        <v>241</v>
      </c>
      <c r="E53" t="s">
        <v>448</v>
      </c>
      <c r="F53" s="186" t="s">
        <v>377</v>
      </c>
      <c r="G53" s="186" t="s">
        <v>327</v>
      </c>
      <c r="H53" s="186"/>
      <c r="K53" s="456"/>
      <c r="L53" s="456"/>
    </row>
    <row r="54" spans="1:12" ht="15" x14ac:dyDescent="0.25">
      <c r="A54" s="455" t="s">
        <v>259</v>
      </c>
      <c r="B54" s="455" t="str">
        <f>IF(A54="*","",SUP!B102)</f>
        <v>PEXOKE</v>
      </c>
      <c r="C54" s="455" t="str">
        <f>IF(A54="*","",SUP!A102)</f>
        <v>Exports of Oil Kerosene</v>
      </c>
      <c r="D54" t="s">
        <v>241</v>
      </c>
      <c r="E54" t="s">
        <v>448</v>
      </c>
      <c r="F54" s="186" t="s">
        <v>377</v>
      </c>
      <c r="G54" s="186" t="s">
        <v>327</v>
      </c>
      <c r="H54" s="186"/>
      <c r="K54" s="456"/>
      <c r="L54" s="456"/>
    </row>
    <row r="55" spans="1:12" x14ac:dyDescent="0.2">
      <c r="A55" s="455" t="s">
        <v>364</v>
      </c>
      <c r="B55" s="305" t="s">
        <v>1318</v>
      </c>
      <c r="D55" s="456"/>
      <c r="E55" s="456"/>
    </row>
    <row r="56" spans="1:12" ht="15" x14ac:dyDescent="0.25">
      <c r="B56" s="455" t="s">
        <v>1307</v>
      </c>
      <c r="C56" s="455" t="s">
        <v>1306</v>
      </c>
      <c r="D56" t="s">
        <v>241</v>
      </c>
      <c r="E56" t="s">
        <v>448</v>
      </c>
      <c r="F56" s="186" t="s">
        <v>377</v>
      </c>
      <c r="G56" s="455" t="s">
        <v>676</v>
      </c>
    </row>
    <row r="57" spans="1:12" ht="15" x14ac:dyDescent="0.25">
      <c r="B57" s="455" t="s">
        <v>1309</v>
      </c>
      <c r="C57" s="455" t="s">
        <v>1308</v>
      </c>
      <c r="D57" t="s">
        <v>241</v>
      </c>
      <c r="E57" t="s">
        <v>448</v>
      </c>
      <c r="F57" s="186" t="s">
        <v>377</v>
      </c>
      <c r="G57" s="455" t="s">
        <v>676</v>
      </c>
    </row>
    <row r="58" spans="1:12" ht="15" x14ac:dyDescent="0.25">
      <c r="B58" s="455" t="s">
        <v>1299</v>
      </c>
      <c r="C58" s="455" t="s">
        <v>1298</v>
      </c>
      <c r="D58" t="s">
        <v>241</v>
      </c>
      <c r="E58" t="s">
        <v>448</v>
      </c>
      <c r="F58" s="186" t="s">
        <v>377</v>
      </c>
      <c r="G58" s="455" t="s">
        <v>676</v>
      </c>
    </row>
    <row r="59" spans="1:12" ht="15" x14ac:dyDescent="0.25">
      <c r="B59" s="455" t="s">
        <v>1301</v>
      </c>
      <c r="C59" s="455" t="s">
        <v>1300</v>
      </c>
      <c r="D59" t="s">
        <v>241</v>
      </c>
      <c r="E59" t="s">
        <v>448</v>
      </c>
      <c r="F59" s="186" t="s">
        <v>377</v>
      </c>
      <c r="G59" s="455" t="s">
        <v>676</v>
      </c>
    </row>
    <row r="60" spans="1:12" ht="15" x14ac:dyDescent="0.25">
      <c r="B60" s="455" t="s">
        <v>1303</v>
      </c>
      <c r="C60" s="455" t="s">
        <v>1302</v>
      </c>
      <c r="D60" t="s">
        <v>241</v>
      </c>
      <c r="E60" t="s">
        <v>448</v>
      </c>
      <c r="F60" s="186" t="s">
        <v>377</v>
      </c>
      <c r="G60" s="455" t="s">
        <v>676</v>
      </c>
    </row>
    <row r="61" spans="1:12" ht="15" x14ac:dyDescent="0.25">
      <c r="B61" s="455" t="s">
        <v>1304</v>
      </c>
      <c r="C61" s="455" t="s">
        <v>950</v>
      </c>
      <c r="D61" t="s">
        <v>241</v>
      </c>
      <c r="E61" t="s">
        <v>448</v>
      </c>
      <c r="F61" s="477" t="s">
        <v>677</v>
      </c>
      <c r="G61" s="477" t="s">
        <v>1319</v>
      </c>
    </row>
    <row r="62" spans="1:12" ht="15" x14ac:dyDescent="0.25">
      <c r="B62" s="455" t="s">
        <v>1305</v>
      </c>
      <c r="C62" s="455" t="s">
        <v>1001</v>
      </c>
      <c r="D62" t="s">
        <v>241</v>
      </c>
      <c r="E62" t="s">
        <v>448</v>
      </c>
      <c r="F62" s="477" t="s">
        <v>677</v>
      </c>
      <c r="G62" s="477" t="s">
        <v>1319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tabColor theme="4"/>
  </sheetPr>
  <dimension ref="A1:O130"/>
  <sheetViews>
    <sheetView topLeftCell="A9" workbookViewId="0">
      <selection activeCell="B59" sqref="B59"/>
    </sheetView>
  </sheetViews>
  <sheetFormatPr defaultColWidth="11.42578125" defaultRowHeight="11.25" x14ac:dyDescent="0.2"/>
  <cols>
    <col min="1" max="1" width="12.42578125" style="455" customWidth="1"/>
    <col min="2" max="2" width="11" style="455" customWidth="1"/>
    <col min="3" max="3" width="41" style="455" customWidth="1"/>
    <col min="4" max="4" width="10.28515625" style="455" customWidth="1"/>
    <col min="5" max="5" width="28.7109375" style="455" customWidth="1"/>
    <col min="6" max="16384" width="11.42578125" style="455"/>
  </cols>
  <sheetData>
    <row r="1" spans="1:15" ht="18" thickBot="1" x14ac:dyDescent="0.35">
      <c r="A1" s="305"/>
      <c r="B1" s="181" t="s">
        <v>1277</v>
      </c>
      <c r="C1" s="181"/>
      <c r="D1" s="181"/>
      <c r="E1" s="181"/>
    </row>
    <row r="2" spans="1:15" ht="12" thickTop="1" x14ac:dyDescent="0.2"/>
    <row r="3" spans="1:15" ht="15" x14ac:dyDescent="0.25">
      <c r="B3" s="310" t="s">
        <v>659</v>
      </c>
      <c r="C3" s="310"/>
      <c r="D3" s="310"/>
      <c r="E3" s="310"/>
      <c r="F3" s="310"/>
      <c r="G3" s="310"/>
      <c r="H3" s="310"/>
    </row>
    <row r="4" spans="1:15" ht="15" x14ac:dyDescent="0.25">
      <c r="B4" s="310" t="s">
        <v>595</v>
      </c>
      <c r="C4" s="310" t="s">
        <v>667</v>
      </c>
      <c r="D4" s="310" t="s">
        <v>668</v>
      </c>
      <c r="E4" s="310" t="s">
        <v>669</v>
      </c>
      <c r="F4" s="310" t="s">
        <v>670</v>
      </c>
      <c r="G4" s="310" t="s">
        <v>1181</v>
      </c>
      <c r="H4" s="310" t="s">
        <v>1180</v>
      </c>
    </row>
    <row r="5" spans="1:15" x14ac:dyDescent="0.2">
      <c r="B5" s="455" t="s">
        <v>1179</v>
      </c>
      <c r="C5" s="455" t="s">
        <v>1178</v>
      </c>
      <c r="D5" s="456" t="s">
        <v>241</v>
      </c>
      <c r="E5" s="456" t="s">
        <v>1171</v>
      </c>
      <c r="F5" s="455" t="s">
        <v>377</v>
      </c>
    </row>
    <row r="6" spans="1:15" x14ac:dyDescent="0.2">
      <c r="B6" s="455" t="s">
        <v>1279</v>
      </c>
      <c r="D6" s="456"/>
      <c r="E6" s="456"/>
    </row>
    <row r="7" spans="1:15" x14ac:dyDescent="0.2">
      <c r="B7" s="455" t="str">
        <f>NameConv!C5</f>
        <v>BIG</v>
      </c>
      <c r="C7" s="455" t="str">
        <f>NameConv!B5</f>
        <v>Biogas</v>
      </c>
      <c r="D7" s="456" t="s">
        <v>241</v>
      </c>
      <c r="E7" s="456" t="s">
        <v>1171</v>
      </c>
      <c r="F7" s="455" t="s">
        <v>377</v>
      </c>
      <c r="K7" s="182"/>
      <c r="L7" s="182"/>
      <c r="M7" s="182"/>
      <c r="N7" s="182"/>
      <c r="O7" s="182"/>
    </row>
    <row r="8" spans="1:15" x14ac:dyDescent="0.2">
      <c r="B8" s="455" t="str">
        <f>NameConv!C6</f>
        <v>BIE</v>
      </c>
      <c r="C8" s="455" t="str">
        <f>NameConv!B6</f>
        <v>Bioethanol</v>
      </c>
      <c r="D8" s="456" t="s">
        <v>241</v>
      </c>
      <c r="E8" s="456" t="s">
        <v>1171</v>
      </c>
      <c r="F8" s="455" t="s">
        <v>377</v>
      </c>
      <c r="K8" s="182"/>
      <c r="L8" s="182"/>
      <c r="M8" s="182"/>
      <c r="N8" s="182"/>
      <c r="O8" s="182"/>
    </row>
    <row r="9" spans="1:15" x14ac:dyDescent="0.2">
      <c r="B9" s="455" t="str">
        <f>NameConv!C7</f>
        <v>BID</v>
      </c>
      <c r="C9" s="455" t="str">
        <f>NameConv!B7</f>
        <v>Biodiesel</v>
      </c>
      <c r="D9" s="456" t="s">
        <v>241</v>
      </c>
      <c r="E9" s="456" t="s">
        <v>1171</v>
      </c>
      <c r="F9" s="455" t="s">
        <v>377</v>
      </c>
      <c r="K9" s="182"/>
      <c r="L9" s="182"/>
      <c r="M9" s="182"/>
      <c r="N9" s="182"/>
      <c r="O9" s="182"/>
    </row>
    <row r="10" spans="1:15" x14ac:dyDescent="0.2">
      <c r="B10" s="455" t="str">
        <f>NameConv!C8</f>
        <v>BIB</v>
      </c>
      <c r="C10" s="455" t="str">
        <f>NameConv!B8</f>
        <v>Biomass bagasse</v>
      </c>
      <c r="D10" s="456" t="s">
        <v>241</v>
      </c>
      <c r="E10" s="456" t="s">
        <v>1171</v>
      </c>
      <c r="F10" s="455" t="s">
        <v>377</v>
      </c>
      <c r="K10" s="182"/>
      <c r="L10" s="182"/>
      <c r="M10" s="182"/>
      <c r="N10" s="182"/>
      <c r="O10" s="182"/>
    </row>
    <row r="11" spans="1:15" x14ac:dyDescent="0.2">
      <c r="B11" s="455" t="str">
        <f>NameConv!C9</f>
        <v>BIO</v>
      </c>
      <c r="C11" s="455" t="str">
        <f>NameConv!B9</f>
        <v>Biomass Other</v>
      </c>
      <c r="D11" s="456" t="s">
        <v>241</v>
      </c>
      <c r="E11" s="456" t="s">
        <v>1171</v>
      </c>
      <c r="F11" s="455" t="s">
        <v>377</v>
      </c>
      <c r="K11" s="182"/>
      <c r="L11" s="182"/>
      <c r="M11" s="182"/>
      <c r="N11" s="182"/>
      <c r="O11" s="182"/>
    </row>
    <row r="12" spans="1:15" x14ac:dyDescent="0.2">
      <c r="B12" s="455" t="str">
        <f>NameConv!C10</f>
        <v>BIW</v>
      </c>
      <c r="C12" s="455" t="str">
        <f>NameConv!B10</f>
        <v>Biomass Wood</v>
      </c>
      <c r="D12" s="456" t="s">
        <v>241</v>
      </c>
      <c r="E12" s="456" t="s">
        <v>1171</v>
      </c>
      <c r="F12" s="455" t="s">
        <v>377</v>
      </c>
      <c r="K12" s="182"/>
      <c r="L12" s="182"/>
      <c r="M12" s="182"/>
      <c r="N12" s="182"/>
      <c r="O12" s="182"/>
    </row>
    <row r="13" spans="1:15" x14ac:dyDescent="0.2">
      <c r="B13" s="455" t="str">
        <f>NameConv!C11</f>
        <v>COA</v>
      </c>
      <c r="C13" s="455" t="str">
        <f>NameConv!B11</f>
        <v>Coal</v>
      </c>
      <c r="D13" s="456" t="s">
        <v>241</v>
      </c>
      <c r="E13" s="456" t="s">
        <v>1171</v>
      </c>
      <c r="F13" s="455" t="s">
        <v>377</v>
      </c>
      <c r="K13" s="182"/>
      <c r="L13" s="182"/>
      <c r="M13" s="182"/>
      <c r="N13" s="182"/>
      <c r="O13" s="182"/>
    </row>
    <row r="14" spans="1:15" x14ac:dyDescent="0.2">
      <c r="B14" s="455" t="str">
        <f>NameConv!C12</f>
        <v>COK</v>
      </c>
      <c r="C14" s="455" t="str">
        <f>NameConv!B12</f>
        <v>Coal Coking</v>
      </c>
      <c r="D14" s="456" t="s">
        <v>241</v>
      </c>
      <c r="E14" s="456" t="s">
        <v>1171</v>
      </c>
      <c r="F14" s="455" t="s">
        <v>377</v>
      </c>
      <c r="K14" s="182"/>
      <c r="L14" s="182"/>
      <c r="M14" s="182"/>
      <c r="N14" s="182"/>
      <c r="O14" s="182"/>
    </row>
    <row r="15" spans="1:15" x14ac:dyDescent="0.2">
      <c r="B15" s="455" t="str">
        <f>NameConv!C13</f>
        <v>CLD</v>
      </c>
      <c r="C15" s="455" t="str">
        <f>NameConv!B13</f>
        <v>Coal Discard</v>
      </c>
      <c r="D15" s="456" t="s">
        <v>241</v>
      </c>
      <c r="E15" s="456" t="s">
        <v>1171</v>
      </c>
      <c r="F15" s="455" t="s">
        <v>377</v>
      </c>
      <c r="K15" s="182"/>
      <c r="L15" s="182"/>
      <c r="M15" s="182"/>
      <c r="N15" s="182"/>
      <c r="O15" s="182"/>
    </row>
    <row r="16" spans="1:15" x14ac:dyDescent="0.2">
      <c r="B16" s="455" t="str">
        <f>NameConv!C14</f>
        <v>CLE</v>
      </c>
      <c r="C16" s="455" t="str">
        <f>NameConv!B14</f>
        <v>Coal low grade</v>
      </c>
      <c r="D16" s="456" t="s">
        <v>241</v>
      </c>
      <c r="E16" s="456" t="s">
        <v>1171</v>
      </c>
      <c r="F16" s="455" t="s">
        <v>377</v>
      </c>
      <c r="K16" s="182"/>
      <c r="L16" s="182"/>
      <c r="M16" s="182"/>
      <c r="N16" s="182"/>
      <c r="O16" s="182"/>
    </row>
    <row r="17" spans="2:15" x14ac:dyDescent="0.2">
      <c r="B17" s="455" t="str">
        <f>NameConv!C15</f>
        <v>CRB</v>
      </c>
      <c r="C17" s="455" t="str">
        <f>NameConv!B15</f>
        <v>Coal for plants in Botswana</v>
      </c>
      <c r="D17" s="456" t="s">
        <v>241</v>
      </c>
      <c r="E17" s="456" t="s">
        <v>1171</v>
      </c>
      <c r="F17" s="455" t="s">
        <v>377</v>
      </c>
      <c r="K17" s="182"/>
      <c r="L17" s="182"/>
      <c r="M17" s="182"/>
      <c r="N17" s="182"/>
      <c r="O17" s="182"/>
    </row>
    <row r="18" spans="2:15" x14ac:dyDescent="0.2">
      <c r="B18" s="455" t="str">
        <f>NameConv!C16</f>
        <v>ELC</v>
      </c>
      <c r="C18" s="455" t="str">
        <f>NameConv!B16</f>
        <v>Electricity</v>
      </c>
      <c r="D18" s="456" t="s">
        <v>241</v>
      </c>
      <c r="E18" s="456" t="s">
        <v>1171</v>
      </c>
      <c r="F18" s="455" t="s">
        <v>677</v>
      </c>
      <c r="H18" s="455" t="s">
        <v>168</v>
      </c>
      <c r="K18" s="182"/>
      <c r="L18" s="182"/>
      <c r="M18" s="182"/>
      <c r="N18" s="182"/>
      <c r="O18" s="182"/>
    </row>
    <row r="19" spans="2:15" x14ac:dyDescent="0.2">
      <c r="B19" s="455" t="str">
        <f>NameConv!C17</f>
        <v>ELCC</v>
      </c>
      <c r="C19" s="455" t="str">
        <f>NameConv!B17</f>
        <v>Electricity Upstream Transmission</v>
      </c>
      <c r="D19" s="456" t="s">
        <v>241</v>
      </c>
      <c r="E19" s="456" t="s">
        <v>1171</v>
      </c>
      <c r="F19" s="455" t="s">
        <v>677</v>
      </c>
      <c r="G19" s="455" t="s">
        <v>377</v>
      </c>
      <c r="H19" s="455" t="s">
        <v>168</v>
      </c>
      <c r="K19" s="182"/>
      <c r="L19" s="182"/>
      <c r="M19" s="182"/>
      <c r="N19" s="182"/>
      <c r="O19" s="182"/>
    </row>
    <row r="20" spans="2:15" x14ac:dyDescent="0.2">
      <c r="B20" s="455" t="str">
        <f>NameConv!C18</f>
        <v>GAS</v>
      </c>
      <c r="C20" s="455" t="str">
        <f>NameConv!B18</f>
        <v>Gas South Africa</v>
      </c>
      <c r="D20" s="456" t="s">
        <v>241</v>
      </c>
      <c r="E20" s="456" t="s">
        <v>1171</v>
      </c>
      <c r="F20" s="455" t="s">
        <v>377</v>
      </c>
      <c r="K20" s="182"/>
      <c r="L20" s="182"/>
      <c r="M20" s="182"/>
      <c r="N20" s="182"/>
      <c r="O20" s="182"/>
    </row>
    <row r="21" spans="2:15" x14ac:dyDescent="0.2">
      <c r="B21" s="455" t="str">
        <f>NameConv!C19</f>
        <v>GRS</v>
      </c>
      <c r="C21" s="455" t="str">
        <f>NameConv!B19</f>
        <v>Gas Southern Mozambique</v>
      </c>
      <c r="D21" s="456" t="s">
        <v>241</v>
      </c>
      <c r="E21" s="456" t="s">
        <v>1171</v>
      </c>
      <c r="F21" s="455" t="s">
        <v>377</v>
      </c>
      <c r="K21" s="182"/>
      <c r="L21" s="182"/>
      <c r="M21" s="182"/>
      <c r="N21" s="182"/>
      <c r="O21" s="182"/>
    </row>
    <row r="22" spans="2:15" x14ac:dyDescent="0.2">
      <c r="B22" s="455" t="str">
        <f>NameConv!C20</f>
        <v>GRN</v>
      </c>
      <c r="C22" s="455" t="str">
        <f>NameConv!B20</f>
        <v>Gas Namibia</v>
      </c>
      <c r="D22" s="456" t="s">
        <v>241</v>
      </c>
      <c r="E22" s="456" t="s">
        <v>1171</v>
      </c>
      <c r="F22" s="455" t="s">
        <v>377</v>
      </c>
      <c r="K22" s="182"/>
      <c r="L22" s="182"/>
      <c r="M22" s="182"/>
      <c r="N22" s="182"/>
      <c r="O22" s="182"/>
    </row>
    <row r="23" spans="2:15" x14ac:dyDescent="0.2">
      <c r="B23" s="455" t="str">
        <f>NameConv!C21</f>
        <v>GRL</v>
      </c>
      <c r="C23" s="455" t="str">
        <f>NameConv!B21</f>
        <v>Gas Regional LNG</v>
      </c>
      <c r="D23" s="456" t="s">
        <v>241</v>
      </c>
      <c r="E23" s="456" t="s">
        <v>1171</v>
      </c>
      <c r="F23" s="455" t="s">
        <v>377</v>
      </c>
      <c r="K23" s="182"/>
      <c r="L23" s="182"/>
      <c r="M23" s="182"/>
      <c r="N23" s="182"/>
      <c r="O23" s="182"/>
    </row>
    <row r="24" spans="2:15" x14ac:dyDescent="0.2">
      <c r="B24" s="455" t="str">
        <f>NameConv!C22</f>
        <v>GWL</v>
      </c>
      <c r="C24" s="455" t="str">
        <f>NameConv!B22</f>
        <v>Gas International LNG</v>
      </c>
      <c r="D24" s="456" t="s">
        <v>241</v>
      </c>
      <c r="E24" s="456" t="s">
        <v>1171</v>
      </c>
      <c r="F24" s="455" t="s">
        <v>377</v>
      </c>
      <c r="K24" s="182"/>
      <c r="L24" s="182"/>
      <c r="M24" s="182"/>
      <c r="N24" s="182"/>
      <c r="O24" s="182"/>
    </row>
    <row r="25" spans="2:15" x14ac:dyDescent="0.2">
      <c r="B25" s="455" t="str">
        <f>NameConv!C23</f>
        <v>GRM</v>
      </c>
      <c r="C25" s="455" t="str">
        <f>NameConv!B23</f>
        <v>Gas Northern Mozambique</v>
      </c>
      <c r="D25" s="456" t="s">
        <v>241</v>
      </c>
      <c r="E25" s="456" t="s">
        <v>1171</v>
      </c>
      <c r="F25" s="455" t="s">
        <v>377</v>
      </c>
      <c r="K25" s="182"/>
      <c r="L25" s="182"/>
      <c r="M25" s="182"/>
      <c r="N25" s="182"/>
      <c r="O25" s="182"/>
    </row>
    <row r="26" spans="2:15" x14ac:dyDescent="0.2">
      <c r="B26" s="455" t="str">
        <f>NameConv!C24</f>
        <v>GIB</v>
      </c>
      <c r="C26" s="455" t="str">
        <f>NameConv!B24</f>
        <v>Gas Indigenous Ibhubezi</v>
      </c>
      <c r="D26" s="456" t="s">
        <v>241</v>
      </c>
      <c r="E26" s="456" t="s">
        <v>1171</v>
      </c>
      <c r="F26" s="455" t="s">
        <v>377</v>
      </c>
      <c r="K26" s="182"/>
      <c r="L26" s="182"/>
      <c r="M26" s="182"/>
      <c r="N26" s="182"/>
      <c r="O26" s="182"/>
    </row>
    <row r="27" spans="2:15" x14ac:dyDescent="0.2">
      <c r="B27" s="455" t="str">
        <f>NameConv!C25</f>
        <v>GIH</v>
      </c>
      <c r="C27" s="455" t="str">
        <f>NameConv!B25</f>
        <v>Gas Indigenous Shale</v>
      </c>
      <c r="D27" s="456" t="s">
        <v>241</v>
      </c>
      <c r="E27" s="456" t="s">
        <v>1171</v>
      </c>
      <c r="F27" s="455" t="s">
        <v>377</v>
      </c>
      <c r="K27" s="182"/>
      <c r="L27" s="182"/>
      <c r="M27" s="182"/>
      <c r="N27" s="182"/>
      <c r="O27" s="182"/>
    </row>
    <row r="28" spans="2:15" x14ac:dyDescent="0.2">
      <c r="B28" s="455" t="str">
        <f>NameConv!C26</f>
        <v>GIC</v>
      </c>
      <c r="C28" s="455" t="str">
        <f>NameConv!B26</f>
        <v>Coastal Gas</v>
      </c>
      <c r="D28" s="456" t="s">
        <v>241</v>
      </c>
      <c r="E28" s="456" t="s">
        <v>1171</v>
      </c>
      <c r="F28" s="455" t="s">
        <v>377</v>
      </c>
      <c r="K28" s="182"/>
      <c r="L28" s="182"/>
      <c r="M28" s="182"/>
      <c r="N28" s="182"/>
      <c r="O28" s="182"/>
    </row>
    <row r="29" spans="2:15" x14ac:dyDescent="0.2">
      <c r="B29" s="455" t="str">
        <f>NameConv!C27</f>
        <v>GIM</v>
      </c>
      <c r="C29" s="455" t="str">
        <f>NameConv!B27</f>
        <v>Gas Methane Rich</v>
      </c>
      <c r="D29" s="456" t="s">
        <v>241</v>
      </c>
      <c r="E29" s="456" t="s">
        <v>1171</v>
      </c>
      <c r="F29" s="455" t="s">
        <v>377</v>
      </c>
      <c r="K29" s="182"/>
      <c r="L29" s="182"/>
      <c r="M29" s="182"/>
      <c r="N29" s="182"/>
      <c r="O29" s="182"/>
    </row>
    <row r="30" spans="2:15" x14ac:dyDescent="0.2">
      <c r="B30" s="455" t="str">
        <f>NameConv!C28</f>
        <v>HET</v>
      </c>
      <c r="C30" s="455" t="str">
        <f>NameConv!B28</f>
        <v>Heat-Steam</v>
      </c>
      <c r="D30" s="456" t="s">
        <v>241</v>
      </c>
      <c r="E30" s="456" t="s">
        <v>1171</v>
      </c>
      <c r="F30" s="455" t="s">
        <v>377</v>
      </c>
      <c r="K30" s="182"/>
      <c r="L30" s="182"/>
      <c r="M30" s="182"/>
      <c r="N30" s="182"/>
      <c r="O30" s="182"/>
    </row>
    <row r="31" spans="2:15" x14ac:dyDescent="0.2">
      <c r="B31" s="455" t="str">
        <f>NameConv!C29</f>
        <v>HEE</v>
      </c>
      <c r="C31" s="455" t="str">
        <f>NameConv!B29</f>
        <v>Heat-Steam Existing</v>
      </c>
      <c r="D31" s="456" t="s">
        <v>241</v>
      </c>
      <c r="E31" s="456" t="s">
        <v>1171</v>
      </c>
      <c r="F31" s="455" t="s">
        <v>377</v>
      </c>
      <c r="K31" s="182"/>
      <c r="L31" s="182"/>
      <c r="M31" s="182"/>
      <c r="N31" s="182"/>
      <c r="O31" s="182"/>
    </row>
    <row r="32" spans="2:15" x14ac:dyDescent="0.2">
      <c r="B32" s="455" t="str">
        <f>NameConv!C30</f>
        <v>HEN</v>
      </c>
      <c r="C32" s="455" t="str">
        <f>NameConv!B30</f>
        <v>Heat-Steam New</v>
      </c>
      <c r="D32" s="456" t="s">
        <v>241</v>
      </c>
      <c r="E32" s="456" t="s">
        <v>1171</v>
      </c>
      <c r="F32" s="455" t="s">
        <v>377</v>
      </c>
      <c r="K32" s="182"/>
      <c r="L32" s="182"/>
      <c r="M32" s="182"/>
      <c r="N32" s="182"/>
      <c r="O32" s="182"/>
    </row>
    <row r="33" spans="2:15" x14ac:dyDescent="0.2">
      <c r="B33" s="455" t="str">
        <f>NameConv!C31</f>
        <v>HYD</v>
      </c>
      <c r="C33" s="455" t="str">
        <f>NameConv!B31</f>
        <v>Hydro</v>
      </c>
      <c r="D33" s="456" t="s">
        <v>241</v>
      </c>
      <c r="E33" s="456" t="s">
        <v>1171</v>
      </c>
      <c r="F33" s="455" t="s">
        <v>377</v>
      </c>
      <c r="K33" s="182"/>
      <c r="L33" s="182"/>
      <c r="M33" s="182"/>
      <c r="N33" s="182"/>
      <c r="O33" s="182"/>
    </row>
    <row r="34" spans="2:15" x14ac:dyDescent="0.2">
      <c r="B34" s="455" t="str">
        <f>NameConv!C32</f>
        <v>HGN</v>
      </c>
      <c r="C34" s="455" t="str">
        <f>NameConv!B32</f>
        <v>Hydrogen</v>
      </c>
      <c r="D34" s="456" t="s">
        <v>241</v>
      </c>
      <c r="E34" s="456" t="s">
        <v>1171</v>
      </c>
      <c r="F34" s="455" t="s">
        <v>377</v>
      </c>
      <c r="K34" s="182"/>
      <c r="L34" s="182"/>
      <c r="M34" s="182"/>
      <c r="N34" s="182"/>
      <c r="O34" s="182"/>
    </row>
    <row r="35" spans="2:15" x14ac:dyDescent="0.2">
      <c r="B35" s="455" t="str">
        <f>NameConv!C33</f>
        <v>NUC</v>
      </c>
      <c r="C35" s="455" t="str">
        <f>NameConv!B33</f>
        <v>Nuclear</v>
      </c>
      <c r="D35" s="456" t="s">
        <v>241</v>
      </c>
      <c r="E35" s="456" t="s">
        <v>1171</v>
      </c>
      <c r="F35" s="455" t="s">
        <v>377</v>
      </c>
      <c r="K35" s="182"/>
      <c r="L35" s="182"/>
      <c r="M35" s="182"/>
      <c r="N35" s="182"/>
      <c r="O35" s="182"/>
    </row>
    <row r="36" spans="2:15" x14ac:dyDescent="0.2">
      <c r="B36" s="455" t="str">
        <f>NameConv!C34</f>
        <v>OAG</v>
      </c>
      <c r="C36" s="455" t="str">
        <f>NameConv!B34</f>
        <v>Oil Av Gasoline</v>
      </c>
      <c r="D36" s="456" t="s">
        <v>241</v>
      </c>
      <c r="E36" s="456" t="s">
        <v>1171</v>
      </c>
      <c r="F36" s="455" t="s">
        <v>377</v>
      </c>
      <c r="K36" s="182"/>
      <c r="L36" s="182"/>
      <c r="M36" s="182"/>
      <c r="N36" s="182"/>
      <c r="O36" s="182"/>
    </row>
    <row r="37" spans="2:15" x14ac:dyDescent="0.2">
      <c r="B37" s="455" t="str">
        <f>NameConv!C35</f>
        <v>OCR</v>
      </c>
      <c r="C37" s="455" t="str">
        <f>NameConv!B35</f>
        <v>Oil Crude</v>
      </c>
      <c r="D37" s="456" t="s">
        <v>241</v>
      </c>
      <c r="E37" s="456" t="s">
        <v>1171</v>
      </c>
      <c r="F37" s="455" t="s">
        <v>377</v>
      </c>
      <c r="K37" s="182"/>
      <c r="L37" s="182"/>
      <c r="M37" s="182"/>
      <c r="N37" s="182"/>
      <c r="O37" s="182"/>
    </row>
    <row r="38" spans="2:15" x14ac:dyDescent="0.2">
      <c r="B38" s="455" t="str">
        <f>NameConv!C36</f>
        <v>ODS</v>
      </c>
      <c r="C38" s="455" t="str">
        <f>NameConv!B36</f>
        <v>Oil Diesel</v>
      </c>
      <c r="D38" s="456" t="s">
        <v>241</v>
      </c>
      <c r="E38" s="456" t="s">
        <v>1171</v>
      </c>
      <c r="F38" s="455" t="s">
        <v>377</v>
      </c>
      <c r="K38" s="182"/>
      <c r="L38" s="182"/>
      <c r="M38" s="182"/>
      <c r="N38" s="182"/>
      <c r="O38" s="182"/>
    </row>
    <row r="39" spans="2:15" x14ac:dyDescent="0.2">
      <c r="B39" s="455" t="str">
        <f>NameConv!C37</f>
        <v>OGS</v>
      </c>
      <c r="C39" s="455" t="str">
        <f>NameConv!B37</f>
        <v>Oil Gasoline</v>
      </c>
      <c r="D39" s="456" t="s">
        <v>241</v>
      </c>
      <c r="E39" s="456" t="s">
        <v>1171</v>
      </c>
      <c r="F39" s="455" t="s">
        <v>377</v>
      </c>
      <c r="K39" s="182"/>
      <c r="L39" s="182"/>
      <c r="M39" s="182"/>
      <c r="N39" s="182"/>
      <c r="O39" s="182"/>
    </row>
    <row r="40" spans="2:15" x14ac:dyDescent="0.2">
      <c r="B40" s="455" t="str">
        <f>NameConv!C38</f>
        <v>OHF</v>
      </c>
      <c r="C40" s="455" t="str">
        <f>NameConv!B38</f>
        <v>Oil HFO</v>
      </c>
      <c r="D40" s="456" t="s">
        <v>241</v>
      </c>
      <c r="E40" s="456" t="s">
        <v>1171</v>
      </c>
      <c r="F40" s="455" t="s">
        <v>377</v>
      </c>
      <c r="K40" s="182"/>
      <c r="L40" s="182"/>
      <c r="M40" s="182"/>
      <c r="N40" s="182"/>
      <c r="O40" s="182"/>
    </row>
    <row r="41" spans="2:15" x14ac:dyDescent="0.2">
      <c r="B41" s="455" t="str">
        <f>NameConv!C39</f>
        <v>OKE</v>
      </c>
      <c r="C41" s="455" t="str">
        <f>NameConv!B39</f>
        <v>Oil Kerosene</v>
      </c>
      <c r="D41" s="456" t="s">
        <v>241</v>
      </c>
      <c r="E41" s="456" t="s">
        <v>1171</v>
      </c>
      <c r="F41" s="455" t="s">
        <v>377</v>
      </c>
      <c r="K41" s="182"/>
      <c r="L41" s="182"/>
      <c r="M41" s="182"/>
      <c r="N41" s="182"/>
      <c r="O41" s="182"/>
    </row>
    <row r="42" spans="2:15" x14ac:dyDescent="0.2">
      <c r="B42" s="455" t="str">
        <f>NameConv!C40</f>
        <v>OLP</v>
      </c>
      <c r="C42" s="455" t="str">
        <f>NameConv!B40</f>
        <v>Oil LPG</v>
      </c>
      <c r="D42" s="456" t="s">
        <v>241</v>
      </c>
      <c r="E42" s="456" t="s">
        <v>1171</v>
      </c>
      <c r="F42" s="455" t="s">
        <v>377</v>
      </c>
      <c r="K42" s="182"/>
      <c r="L42" s="182"/>
      <c r="M42" s="182"/>
      <c r="N42" s="182"/>
      <c r="O42" s="182"/>
    </row>
    <row r="43" spans="2:15" x14ac:dyDescent="0.2">
      <c r="B43" s="455" t="str">
        <f>NameConv!C41</f>
        <v>OTH</v>
      </c>
      <c r="C43" s="455" t="str">
        <f>NameConv!B41</f>
        <v>Oil Other</v>
      </c>
      <c r="D43" s="456" t="s">
        <v>241</v>
      </c>
      <c r="E43" s="456" t="s">
        <v>1171</v>
      </c>
      <c r="F43" s="455" t="s">
        <v>377</v>
      </c>
      <c r="K43" s="182"/>
      <c r="L43" s="182"/>
      <c r="M43" s="182"/>
      <c r="N43" s="182"/>
      <c r="O43" s="182"/>
    </row>
    <row r="44" spans="2:15" x14ac:dyDescent="0.2">
      <c r="B44" s="455" t="str">
        <f>NameConv!C42</f>
        <v>SOL</v>
      </c>
      <c r="C44" s="455" t="str">
        <f>NameConv!B42</f>
        <v>Solar</v>
      </c>
      <c r="D44" s="456" t="s">
        <v>241</v>
      </c>
      <c r="E44" s="456" t="s">
        <v>1171</v>
      </c>
      <c r="F44" s="455" t="s">
        <v>377</v>
      </c>
      <c r="K44" s="182"/>
      <c r="L44" s="182"/>
      <c r="M44" s="182"/>
      <c r="N44" s="182"/>
      <c r="O44" s="182"/>
    </row>
    <row r="45" spans="2:15" x14ac:dyDescent="0.2">
      <c r="B45" s="455" t="str">
        <f>NameConv!C43</f>
        <v>WND</v>
      </c>
      <c r="C45" s="455" t="str">
        <f>NameConv!B43</f>
        <v>Wind</v>
      </c>
      <c r="D45" s="456" t="s">
        <v>241</v>
      </c>
      <c r="E45" s="456" t="s">
        <v>1171</v>
      </c>
      <c r="F45" s="455" t="s">
        <v>377</v>
      </c>
      <c r="K45" s="182"/>
      <c r="L45" s="182"/>
      <c r="M45" s="182"/>
      <c r="N45" s="182"/>
      <c r="O45" s="182"/>
    </row>
    <row r="46" spans="2:15" x14ac:dyDescent="0.2">
      <c r="B46" s="455" t="str">
        <f>NameConv!C44</f>
        <v>WAS</v>
      </c>
      <c r="C46" s="455" t="str">
        <f>NameConv!B44</f>
        <v>Waste</v>
      </c>
      <c r="D46" s="456" t="s">
        <v>241</v>
      </c>
      <c r="E46" s="456" t="s">
        <v>1171</v>
      </c>
      <c r="F46" s="455" t="s">
        <v>377</v>
      </c>
      <c r="K46" s="182"/>
      <c r="L46" s="182"/>
      <c r="M46" s="182"/>
      <c r="N46" s="182"/>
      <c r="O46" s="182"/>
    </row>
    <row r="47" spans="2:15" x14ac:dyDescent="0.2">
      <c r="B47" s="455" t="s">
        <v>1177</v>
      </c>
      <c r="C47" s="455" t="s">
        <v>1176</v>
      </c>
      <c r="D47" s="456" t="s">
        <v>1175</v>
      </c>
      <c r="E47" s="456" t="s">
        <v>1174</v>
      </c>
      <c r="F47" s="455" t="s">
        <v>377</v>
      </c>
    </row>
    <row r="48" spans="2:15" x14ac:dyDescent="0.2">
      <c r="B48" s="455" t="s">
        <v>1173</v>
      </c>
      <c r="C48" s="455" t="s">
        <v>1172</v>
      </c>
      <c r="D48" s="456" t="s">
        <v>241</v>
      </c>
      <c r="E48" s="456" t="s">
        <v>1171</v>
      </c>
      <c r="F48" s="455" t="s">
        <v>377</v>
      </c>
    </row>
    <row r="49" spans="2:6" x14ac:dyDescent="0.2">
      <c r="B49" s="455" t="s">
        <v>1274</v>
      </c>
    </row>
    <row r="50" spans="2:6" x14ac:dyDescent="0.2">
      <c r="B50" s="455" t="s">
        <v>598</v>
      </c>
      <c r="C50" s="455" t="s">
        <v>1280</v>
      </c>
      <c r="D50" s="456" t="s">
        <v>1175</v>
      </c>
      <c r="E50" s="456" t="s">
        <v>1174</v>
      </c>
      <c r="F50" s="455" t="s">
        <v>377</v>
      </c>
    </row>
    <row r="51" spans="2:6" x14ac:dyDescent="0.2">
      <c r="B51" s="455" t="s">
        <v>137</v>
      </c>
      <c r="C51" s="455" t="s">
        <v>1281</v>
      </c>
      <c r="D51" s="456" t="s">
        <v>1175</v>
      </c>
      <c r="E51" s="456" t="s">
        <v>1174</v>
      </c>
      <c r="F51" s="455" t="s">
        <v>377</v>
      </c>
    </row>
    <row r="52" spans="2:6" x14ac:dyDescent="0.2">
      <c r="B52" s="455" t="s">
        <v>138</v>
      </c>
      <c r="C52" s="455" t="s">
        <v>1282</v>
      </c>
      <c r="D52" s="456" t="s">
        <v>1175</v>
      </c>
      <c r="E52" s="456" t="s">
        <v>1174</v>
      </c>
      <c r="F52" s="455" t="s">
        <v>377</v>
      </c>
    </row>
    <row r="53" spans="2:6" x14ac:dyDescent="0.2">
      <c r="B53" s="455" t="s">
        <v>139</v>
      </c>
      <c r="C53" s="455" t="s">
        <v>1283</v>
      </c>
      <c r="D53" s="456" t="s">
        <v>1175</v>
      </c>
      <c r="E53" s="456" t="s">
        <v>1174</v>
      </c>
      <c r="F53" s="455" t="s">
        <v>377</v>
      </c>
    </row>
    <row r="54" spans="2:6" x14ac:dyDescent="0.2">
      <c r="B54" s="455" t="s">
        <v>140</v>
      </c>
      <c r="C54" s="455" t="s">
        <v>1284</v>
      </c>
      <c r="D54" s="456" t="s">
        <v>1175</v>
      </c>
      <c r="E54" s="456" t="s">
        <v>1174</v>
      </c>
      <c r="F54" s="455" t="s">
        <v>377</v>
      </c>
    </row>
    <row r="55" spans="2:6" x14ac:dyDescent="0.2">
      <c r="B55" s="455" t="s">
        <v>141</v>
      </c>
      <c r="C55" s="455" t="s">
        <v>1285</v>
      </c>
      <c r="D55" s="456" t="s">
        <v>1175</v>
      </c>
      <c r="E55" s="456" t="s">
        <v>1174</v>
      </c>
      <c r="F55" s="455" t="s">
        <v>377</v>
      </c>
    </row>
    <row r="56" spans="2:6" x14ac:dyDescent="0.2">
      <c r="B56" s="455" t="s">
        <v>142</v>
      </c>
      <c r="C56" s="455" t="s">
        <v>1286</v>
      </c>
      <c r="D56" s="456" t="s">
        <v>1175</v>
      </c>
      <c r="E56" s="456" t="s">
        <v>1174</v>
      </c>
      <c r="F56" s="455" t="s">
        <v>377</v>
      </c>
    </row>
    <row r="57" spans="2:6" x14ac:dyDescent="0.2">
      <c r="B57" s="455" t="s">
        <v>143</v>
      </c>
      <c r="C57" s="455" t="s">
        <v>1287</v>
      </c>
      <c r="D57" s="456" t="s">
        <v>1175</v>
      </c>
      <c r="E57" s="456" t="s">
        <v>1174</v>
      </c>
      <c r="F57" s="455" t="s">
        <v>377</v>
      </c>
    </row>
    <row r="58" spans="2:6" x14ac:dyDescent="0.2">
      <c r="B58" s="455" t="s">
        <v>1288</v>
      </c>
    </row>
    <row r="59" spans="2:6" x14ac:dyDescent="0.2">
      <c r="B59" s="455" t="s">
        <v>621</v>
      </c>
      <c r="C59" s="455" t="s">
        <v>1269</v>
      </c>
      <c r="D59" s="456" t="s">
        <v>1175</v>
      </c>
      <c r="E59" s="456" t="s">
        <v>1174</v>
      </c>
      <c r="F59" s="455" t="s">
        <v>377</v>
      </c>
    </row>
    <row r="60" spans="2:6" x14ac:dyDescent="0.2">
      <c r="B60" s="455" t="s">
        <v>609</v>
      </c>
      <c r="C60" s="455" t="s">
        <v>1269</v>
      </c>
      <c r="D60" s="456" t="s">
        <v>1175</v>
      </c>
      <c r="E60" s="456" t="s">
        <v>1174</v>
      </c>
      <c r="F60" s="455" t="s">
        <v>377</v>
      </c>
    </row>
    <row r="61" spans="2:6" x14ac:dyDescent="0.2">
      <c r="B61" s="455" t="s">
        <v>1275</v>
      </c>
      <c r="D61" s="456"/>
      <c r="E61" s="456"/>
    </row>
    <row r="62" spans="2:6" x14ac:dyDescent="0.2">
      <c r="B62" s="455" t="s">
        <v>610</v>
      </c>
      <c r="C62" s="455" t="s">
        <v>1270</v>
      </c>
      <c r="D62" s="456" t="s">
        <v>1175</v>
      </c>
      <c r="E62" s="456" t="s">
        <v>1174</v>
      </c>
      <c r="F62" s="455" t="s">
        <v>377</v>
      </c>
    </row>
    <row r="63" spans="2:6" x14ac:dyDescent="0.2">
      <c r="B63" s="455" t="s">
        <v>611</v>
      </c>
      <c r="C63" s="455" t="s">
        <v>1271</v>
      </c>
      <c r="D63" s="456" t="s">
        <v>1175</v>
      </c>
      <c r="E63" s="456" t="s">
        <v>1174</v>
      </c>
      <c r="F63" s="455" t="s">
        <v>377</v>
      </c>
    </row>
    <row r="64" spans="2:6" x14ac:dyDescent="0.2">
      <c r="B64" s="455" t="s">
        <v>612</v>
      </c>
      <c r="C64" s="455" t="s">
        <v>1272</v>
      </c>
      <c r="D64" s="456" t="s">
        <v>1175</v>
      </c>
      <c r="E64" s="456" t="s">
        <v>1174</v>
      </c>
      <c r="F64" s="455" t="s">
        <v>377</v>
      </c>
    </row>
    <row r="65" spans="2:6" x14ac:dyDescent="0.2">
      <c r="B65" s="455" t="s">
        <v>613</v>
      </c>
      <c r="C65" s="455" t="s">
        <v>1273</v>
      </c>
      <c r="D65" s="456" t="s">
        <v>1175</v>
      </c>
      <c r="E65" s="456" t="s">
        <v>1174</v>
      </c>
      <c r="F65" s="455" t="s">
        <v>377</v>
      </c>
    </row>
    <row r="66" spans="2:6" x14ac:dyDescent="0.2">
      <c r="B66" s="455" t="s">
        <v>1276</v>
      </c>
    </row>
    <row r="67" spans="2:6" x14ac:dyDescent="0.2">
      <c r="B67" s="455" t="s">
        <v>602</v>
      </c>
      <c r="C67" s="455" t="s">
        <v>1190</v>
      </c>
      <c r="D67" s="456" t="s">
        <v>1175</v>
      </c>
      <c r="E67" s="456" t="s">
        <v>1174</v>
      </c>
      <c r="F67" s="455" t="s">
        <v>377</v>
      </c>
    </row>
    <row r="68" spans="2:6" x14ac:dyDescent="0.2">
      <c r="B68" s="455" t="s">
        <v>614</v>
      </c>
      <c r="C68" s="455" t="s">
        <v>1191</v>
      </c>
      <c r="D68" s="456" t="s">
        <v>1175</v>
      </c>
      <c r="E68" s="456" t="s">
        <v>1174</v>
      </c>
      <c r="F68" s="455" t="s">
        <v>377</v>
      </c>
    </row>
    <row r="69" spans="2:6" x14ac:dyDescent="0.2">
      <c r="B69" s="455" t="s">
        <v>622</v>
      </c>
      <c r="C69" s="455" t="s">
        <v>1192</v>
      </c>
      <c r="D69" s="456" t="s">
        <v>1175</v>
      </c>
      <c r="E69" s="456" t="s">
        <v>1174</v>
      </c>
      <c r="F69" s="455" t="s">
        <v>377</v>
      </c>
    </row>
    <row r="70" spans="2:6" x14ac:dyDescent="0.2">
      <c r="B70" s="455" t="s">
        <v>629</v>
      </c>
      <c r="C70" s="455" t="s">
        <v>1193</v>
      </c>
      <c r="D70" s="456" t="s">
        <v>1175</v>
      </c>
      <c r="E70" s="456" t="s">
        <v>1174</v>
      </c>
      <c r="F70" s="455" t="s">
        <v>377</v>
      </c>
    </row>
    <row r="71" spans="2:6" x14ac:dyDescent="0.2">
      <c r="B71" s="455" t="s">
        <v>636</v>
      </c>
      <c r="C71" s="455" t="s">
        <v>1194</v>
      </c>
      <c r="D71" s="456" t="s">
        <v>1175</v>
      </c>
      <c r="E71" s="456" t="s">
        <v>1174</v>
      </c>
      <c r="F71" s="455" t="s">
        <v>377</v>
      </c>
    </row>
    <row r="72" spans="2:6" x14ac:dyDescent="0.2">
      <c r="B72" s="455" t="s">
        <v>643</v>
      </c>
      <c r="C72" s="455" t="s">
        <v>1195</v>
      </c>
      <c r="D72" s="456" t="s">
        <v>1175</v>
      </c>
      <c r="E72" s="456" t="s">
        <v>1174</v>
      </c>
      <c r="F72" s="455" t="s">
        <v>377</v>
      </c>
    </row>
    <row r="73" spans="2:6" x14ac:dyDescent="0.2">
      <c r="B73" s="455" t="s">
        <v>650</v>
      </c>
      <c r="C73" s="455" t="s">
        <v>1196</v>
      </c>
      <c r="D73" s="456" t="s">
        <v>1175</v>
      </c>
      <c r="E73" s="456" t="s">
        <v>1174</v>
      </c>
      <c r="F73" s="455" t="s">
        <v>377</v>
      </c>
    </row>
    <row r="74" spans="2:6" x14ac:dyDescent="0.2">
      <c r="B74" s="455" t="s">
        <v>1197</v>
      </c>
      <c r="C74" s="455" t="s">
        <v>1198</v>
      </c>
      <c r="D74" s="456" t="s">
        <v>1175</v>
      </c>
      <c r="E74" s="456" t="s">
        <v>1174</v>
      </c>
      <c r="F74" s="455" t="s">
        <v>377</v>
      </c>
    </row>
    <row r="75" spans="2:6" x14ac:dyDescent="0.2">
      <c r="B75" s="455" t="s">
        <v>603</v>
      </c>
      <c r="C75" s="455" t="s">
        <v>1199</v>
      </c>
      <c r="D75" s="456" t="s">
        <v>1175</v>
      </c>
      <c r="E75" s="456" t="s">
        <v>1174</v>
      </c>
      <c r="F75" s="455" t="s">
        <v>377</v>
      </c>
    </row>
    <row r="76" spans="2:6" x14ac:dyDescent="0.2">
      <c r="B76" s="455" t="s">
        <v>615</v>
      </c>
      <c r="C76" s="455" t="s">
        <v>1200</v>
      </c>
      <c r="D76" s="456" t="s">
        <v>1175</v>
      </c>
      <c r="E76" s="456" t="s">
        <v>1174</v>
      </c>
      <c r="F76" s="455" t="s">
        <v>377</v>
      </c>
    </row>
    <row r="77" spans="2:6" x14ac:dyDescent="0.2">
      <c r="B77" s="455" t="s">
        <v>623</v>
      </c>
      <c r="C77" s="455" t="s">
        <v>1201</v>
      </c>
      <c r="D77" s="456" t="s">
        <v>1175</v>
      </c>
      <c r="E77" s="456" t="s">
        <v>1174</v>
      </c>
      <c r="F77" s="455" t="s">
        <v>377</v>
      </c>
    </row>
    <row r="78" spans="2:6" x14ac:dyDescent="0.2">
      <c r="B78" s="455" t="s">
        <v>630</v>
      </c>
      <c r="C78" s="455" t="s">
        <v>1202</v>
      </c>
      <c r="D78" s="456" t="s">
        <v>1175</v>
      </c>
      <c r="E78" s="456" t="s">
        <v>1174</v>
      </c>
      <c r="F78" s="455" t="s">
        <v>377</v>
      </c>
    </row>
    <row r="79" spans="2:6" x14ac:dyDescent="0.2">
      <c r="B79" s="455" t="s">
        <v>637</v>
      </c>
      <c r="C79" s="455" t="s">
        <v>1203</v>
      </c>
      <c r="D79" s="456" t="s">
        <v>1175</v>
      </c>
      <c r="E79" s="456" t="s">
        <v>1174</v>
      </c>
      <c r="F79" s="455" t="s">
        <v>377</v>
      </c>
    </row>
    <row r="80" spans="2:6" x14ac:dyDescent="0.2">
      <c r="B80" s="455" t="s">
        <v>644</v>
      </c>
      <c r="C80" s="455" t="s">
        <v>1204</v>
      </c>
      <c r="D80" s="456" t="s">
        <v>1175</v>
      </c>
      <c r="E80" s="456" t="s">
        <v>1174</v>
      </c>
      <c r="F80" s="455" t="s">
        <v>377</v>
      </c>
    </row>
    <row r="81" spans="2:6" x14ac:dyDescent="0.2">
      <c r="B81" s="455" t="s">
        <v>651</v>
      </c>
      <c r="C81" s="455" t="s">
        <v>1205</v>
      </c>
      <c r="D81" s="456" t="s">
        <v>1175</v>
      </c>
      <c r="E81" s="456" t="s">
        <v>1174</v>
      </c>
      <c r="F81" s="455" t="s">
        <v>377</v>
      </c>
    </row>
    <row r="82" spans="2:6" x14ac:dyDescent="0.2">
      <c r="B82" s="455" t="s">
        <v>1206</v>
      </c>
      <c r="C82" s="455" t="s">
        <v>1207</v>
      </c>
      <c r="D82" s="456" t="s">
        <v>1175</v>
      </c>
      <c r="E82" s="456" t="s">
        <v>1174</v>
      </c>
      <c r="F82" s="455" t="s">
        <v>377</v>
      </c>
    </row>
    <row r="83" spans="2:6" x14ac:dyDescent="0.2">
      <c r="B83" s="455" t="s">
        <v>604</v>
      </c>
      <c r="C83" s="455" t="s">
        <v>1208</v>
      </c>
      <c r="D83" s="456" t="s">
        <v>1175</v>
      </c>
      <c r="E83" s="456" t="s">
        <v>1174</v>
      </c>
      <c r="F83" s="455" t="s">
        <v>377</v>
      </c>
    </row>
    <row r="84" spans="2:6" x14ac:dyDescent="0.2">
      <c r="B84" s="455" t="s">
        <v>616</v>
      </c>
      <c r="C84" s="455" t="s">
        <v>1209</v>
      </c>
      <c r="D84" s="456" t="s">
        <v>1175</v>
      </c>
      <c r="E84" s="456" t="s">
        <v>1174</v>
      </c>
      <c r="F84" s="455" t="s">
        <v>377</v>
      </c>
    </row>
    <row r="85" spans="2:6" x14ac:dyDescent="0.2">
      <c r="B85" s="455" t="s">
        <v>624</v>
      </c>
      <c r="C85" s="455" t="s">
        <v>1210</v>
      </c>
      <c r="D85" s="456" t="s">
        <v>1175</v>
      </c>
      <c r="E85" s="456" t="s">
        <v>1174</v>
      </c>
      <c r="F85" s="455" t="s">
        <v>377</v>
      </c>
    </row>
    <row r="86" spans="2:6" x14ac:dyDescent="0.2">
      <c r="B86" s="455" t="s">
        <v>631</v>
      </c>
      <c r="C86" s="455" t="s">
        <v>1211</v>
      </c>
      <c r="D86" s="456" t="s">
        <v>1175</v>
      </c>
      <c r="E86" s="456" t="s">
        <v>1174</v>
      </c>
      <c r="F86" s="455" t="s">
        <v>377</v>
      </c>
    </row>
    <row r="87" spans="2:6" x14ac:dyDescent="0.2">
      <c r="B87" s="455" t="s">
        <v>638</v>
      </c>
      <c r="C87" s="455" t="s">
        <v>1212</v>
      </c>
      <c r="D87" s="456" t="s">
        <v>1175</v>
      </c>
      <c r="E87" s="456" t="s">
        <v>1174</v>
      </c>
      <c r="F87" s="455" t="s">
        <v>377</v>
      </c>
    </row>
    <row r="88" spans="2:6" x14ac:dyDescent="0.2">
      <c r="B88" s="455" t="s">
        <v>645</v>
      </c>
      <c r="C88" s="455" t="s">
        <v>1213</v>
      </c>
      <c r="D88" s="456" t="s">
        <v>1175</v>
      </c>
      <c r="E88" s="456" t="s">
        <v>1174</v>
      </c>
      <c r="F88" s="455" t="s">
        <v>377</v>
      </c>
    </row>
    <row r="89" spans="2:6" x14ac:dyDescent="0.2">
      <c r="B89" s="455" t="s">
        <v>652</v>
      </c>
      <c r="C89" s="455" t="s">
        <v>1214</v>
      </c>
      <c r="D89" s="456" t="s">
        <v>1175</v>
      </c>
      <c r="E89" s="456" t="s">
        <v>1174</v>
      </c>
      <c r="F89" s="455" t="s">
        <v>377</v>
      </c>
    </row>
    <row r="90" spans="2:6" x14ac:dyDescent="0.2">
      <c r="B90" s="455" t="s">
        <v>1215</v>
      </c>
      <c r="C90" s="455" t="s">
        <v>1216</v>
      </c>
      <c r="D90" s="456" t="s">
        <v>1175</v>
      </c>
      <c r="E90" s="456" t="s">
        <v>1174</v>
      </c>
      <c r="F90" s="455" t="s">
        <v>377</v>
      </c>
    </row>
    <row r="91" spans="2:6" x14ac:dyDescent="0.2">
      <c r="B91" s="455" t="s">
        <v>607</v>
      </c>
      <c r="C91" s="455" t="s">
        <v>1217</v>
      </c>
      <c r="D91" s="456" t="s">
        <v>1175</v>
      </c>
      <c r="E91" s="456" t="s">
        <v>1174</v>
      </c>
      <c r="F91" s="455" t="s">
        <v>377</v>
      </c>
    </row>
    <row r="92" spans="2:6" x14ac:dyDescent="0.2">
      <c r="B92" s="455" t="s">
        <v>619</v>
      </c>
      <c r="C92" s="455" t="s">
        <v>1218</v>
      </c>
      <c r="D92" s="456" t="s">
        <v>1175</v>
      </c>
      <c r="E92" s="456" t="s">
        <v>1174</v>
      </c>
      <c r="F92" s="455" t="s">
        <v>377</v>
      </c>
    </row>
    <row r="93" spans="2:6" x14ac:dyDescent="0.2">
      <c r="B93" s="455" t="s">
        <v>627</v>
      </c>
      <c r="C93" s="455" t="s">
        <v>1219</v>
      </c>
      <c r="D93" s="456" t="s">
        <v>1175</v>
      </c>
      <c r="E93" s="456" t="s">
        <v>1174</v>
      </c>
      <c r="F93" s="455" t="s">
        <v>377</v>
      </c>
    </row>
    <row r="94" spans="2:6" x14ac:dyDescent="0.2">
      <c r="B94" s="455" t="s">
        <v>634</v>
      </c>
      <c r="C94" s="455" t="s">
        <v>1220</v>
      </c>
      <c r="D94" s="456" t="s">
        <v>1175</v>
      </c>
      <c r="E94" s="456" t="s">
        <v>1174</v>
      </c>
      <c r="F94" s="455" t="s">
        <v>377</v>
      </c>
    </row>
    <row r="95" spans="2:6" x14ac:dyDescent="0.2">
      <c r="B95" s="455" t="s">
        <v>641</v>
      </c>
      <c r="C95" s="455" t="s">
        <v>1221</v>
      </c>
      <c r="D95" s="456" t="s">
        <v>1175</v>
      </c>
      <c r="E95" s="456" t="s">
        <v>1174</v>
      </c>
      <c r="F95" s="455" t="s">
        <v>377</v>
      </c>
    </row>
    <row r="96" spans="2:6" x14ac:dyDescent="0.2">
      <c r="B96" s="455" t="s">
        <v>648</v>
      </c>
      <c r="C96" s="455" t="s">
        <v>1222</v>
      </c>
      <c r="D96" s="456" t="s">
        <v>1175</v>
      </c>
      <c r="E96" s="456" t="s">
        <v>1174</v>
      </c>
      <c r="F96" s="455" t="s">
        <v>377</v>
      </c>
    </row>
    <row r="97" spans="2:6" x14ac:dyDescent="0.2">
      <c r="B97" s="455" t="s">
        <v>655</v>
      </c>
      <c r="C97" s="455" t="s">
        <v>1223</v>
      </c>
      <c r="D97" s="456" t="s">
        <v>1175</v>
      </c>
      <c r="E97" s="456" t="s">
        <v>1174</v>
      </c>
      <c r="F97" s="455" t="s">
        <v>377</v>
      </c>
    </row>
    <row r="98" spans="2:6" x14ac:dyDescent="0.2">
      <c r="B98" s="455" t="s">
        <v>1224</v>
      </c>
      <c r="C98" s="455" t="s">
        <v>1225</v>
      </c>
      <c r="D98" s="456" t="s">
        <v>1175</v>
      </c>
      <c r="E98" s="456" t="s">
        <v>1174</v>
      </c>
      <c r="F98" s="455" t="s">
        <v>377</v>
      </c>
    </row>
    <row r="99" spans="2:6" x14ac:dyDescent="0.2">
      <c r="B99" s="455" t="s">
        <v>606</v>
      </c>
      <c r="C99" s="455" t="s">
        <v>1226</v>
      </c>
      <c r="D99" s="456" t="s">
        <v>1175</v>
      </c>
      <c r="E99" s="456" t="s">
        <v>1174</v>
      </c>
      <c r="F99" s="455" t="s">
        <v>377</v>
      </c>
    </row>
    <row r="100" spans="2:6" x14ac:dyDescent="0.2">
      <c r="B100" s="455" t="s">
        <v>618</v>
      </c>
      <c r="C100" s="455" t="s">
        <v>1227</v>
      </c>
      <c r="D100" s="456" t="s">
        <v>1175</v>
      </c>
      <c r="E100" s="456" t="s">
        <v>1174</v>
      </c>
      <c r="F100" s="455" t="s">
        <v>377</v>
      </c>
    </row>
    <row r="101" spans="2:6" x14ac:dyDescent="0.2">
      <c r="B101" s="455" t="s">
        <v>626</v>
      </c>
      <c r="C101" s="455" t="s">
        <v>1228</v>
      </c>
      <c r="D101" s="456" t="s">
        <v>1175</v>
      </c>
      <c r="E101" s="456" t="s">
        <v>1174</v>
      </c>
      <c r="F101" s="455" t="s">
        <v>377</v>
      </c>
    </row>
    <row r="102" spans="2:6" x14ac:dyDescent="0.2">
      <c r="B102" s="455" t="s">
        <v>633</v>
      </c>
      <c r="C102" s="455" t="s">
        <v>1229</v>
      </c>
      <c r="D102" s="456" t="s">
        <v>1175</v>
      </c>
      <c r="E102" s="456" t="s">
        <v>1174</v>
      </c>
      <c r="F102" s="455" t="s">
        <v>377</v>
      </c>
    </row>
    <row r="103" spans="2:6" x14ac:dyDescent="0.2">
      <c r="B103" s="455" t="s">
        <v>640</v>
      </c>
      <c r="C103" s="455" t="s">
        <v>1230</v>
      </c>
      <c r="D103" s="456" t="s">
        <v>1175</v>
      </c>
      <c r="E103" s="456" t="s">
        <v>1174</v>
      </c>
      <c r="F103" s="455" t="s">
        <v>377</v>
      </c>
    </row>
    <row r="104" spans="2:6" x14ac:dyDescent="0.2">
      <c r="B104" s="455" t="s">
        <v>647</v>
      </c>
      <c r="C104" s="455" t="s">
        <v>1231</v>
      </c>
      <c r="D104" s="456" t="s">
        <v>1175</v>
      </c>
      <c r="E104" s="456" t="s">
        <v>1174</v>
      </c>
      <c r="F104" s="455" t="s">
        <v>377</v>
      </c>
    </row>
    <row r="105" spans="2:6" x14ac:dyDescent="0.2">
      <c r="B105" s="455" t="s">
        <v>654</v>
      </c>
      <c r="C105" s="455" t="s">
        <v>1232</v>
      </c>
      <c r="D105" s="456" t="s">
        <v>1175</v>
      </c>
      <c r="E105" s="456" t="s">
        <v>1174</v>
      </c>
      <c r="F105" s="455" t="s">
        <v>377</v>
      </c>
    </row>
    <row r="106" spans="2:6" x14ac:dyDescent="0.2">
      <c r="B106" s="455" t="s">
        <v>1233</v>
      </c>
      <c r="C106" s="455" t="s">
        <v>1234</v>
      </c>
      <c r="D106" s="456" t="s">
        <v>1175</v>
      </c>
      <c r="E106" s="456" t="s">
        <v>1174</v>
      </c>
      <c r="F106" s="455" t="s">
        <v>377</v>
      </c>
    </row>
    <row r="107" spans="2:6" x14ac:dyDescent="0.2">
      <c r="B107" s="455" t="s">
        <v>605</v>
      </c>
      <c r="C107" s="455" t="s">
        <v>1235</v>
      </c>
      <c r="D107" s="456" t="s">
        <v>1175</v>
      </c>
      <c r="E107" s="456" t="s">
        <v>1174</v>
      </c>
      <c r="F107" s="455" t="s">
        <v>377</v>
      </c>
    </row>
    <row r="108" spans="2:6" x14ac:dyDescent="0.2">
      <c r="B108" s="455" t="s">
        <v>617</v>
      </c>
      <c r="C108" s="455" t="s">
        <v>1236</v>
      </c>
      <c r="D108" s="456" t="s">
        <v>1175</v>
      </c>
      <c r="E108" s="456" t="s">
        <v>1174</v>
      </c>
      <c r="F108" s="455" t="s">
        <v>377</v>
      </c>
    </row>
    <row r="109" spans="2:6" x14ac:dyDescent="0.2">
      <c r="B109" s="455" t="s">
        <v>625</v>
      </c>
      <c r="C109" s="455" t="s">
        <v>1237</v>
      </c>
      <c r="D109" s="456" t="s">
        <v>1175</v>
      </c>
      <c r="E109" s="456" t="s">
        <v>1174</v>
      </c>
      <c r="F109" s="455" t="s">
        <v>377</v>
      </c>
    </row>
    <row r="110" spans="2:6" x14ac:dyDescent="0.2">
      <c r="B110" s="455" t="s">
        <v>632</v>
      </c>
      <c r="C110" s="455" t="s">
        <v>1238</v>
      </c>
      <c r="D110" s="456" t="s">
        <v>1175</v>
      </c>
      <c r="E110" s="456" t="s">
        <v>1174</v>
      </c>
      <c r="F110" s="455" t="s">
        <v>377</v>
      </c>
    </row>
    <row r="111" spans="2:6" x14ac:dyDescent="0.2">
      <c r="B111" s="455" t="s">
        <v>639</v>
      </c>
      <c r="C111" s="455" t="s">
        <v>1239</v>
      </c>
      <c r="D111" s="456" t="s">
        <v>1175</v>
      </c>
      <c r="E111" s="456" t="s">
        <v>1174</v>
      </c>
      <c r="F111" s="455" t="s">
        <v>377</v>
      </c>
    </row>
    <row r="112" spans="2:6" x14ac:dyDescent="0.2">
      <c r="B112" s="455" t="s">
        <v>646</v>
      </c>
      <c r="C112" s="455" t="s">
        <v>1240</v>
      </c>
      <c r="D112" s="456" t="s">
        <v>1175</v>
      </c>
      <c r="E112" s="456" t="s">
        <v>1174</v>
      </c>
      <c r="F112" s="455" t="s">
        <v>377</v>
      </c>
    </row>
    <row r="113" spans="2:6" x14ac:dyDescent="0.2">
      <c r="B113" s="455" t="s">
        <v>653</v>
      </c>
      <c r="C113" s="455" t="s">
        <v>1241</v>
      </c>
      <c r="D113" s="456" t="s">
        <v>1175</v>
      </c>
      <c r="E113" s="456" t="s">
        <v>1174</v>
      </c>
      <c r="F113" s="455" t="s">
        <v>377</v>
      </c>
    </row>
    <row r="114" spans="2:6" x14ac:dyDescent="0.2">
      <c r="B114" s="455" t="s">
        <v>1242</v>
      </c>
      <c r="C114" s="455" t="s">
        <v>1243</v>
      </c>
      <c r="D114" s="456" t="s">
        <v>1175</v>
      </c>
      <c r="E114" s="456" t="s">
        <v>1174</v>
      </c>
      <c r="F114" s="455" t="s">
        <v>377</v>
      </c>
    </row>
    <row r="115" spans="2:6" x14ac:dyDescent="0.2">
      <c r="B115" s="455" t="s">
        <v>1244</v>
      </c>
      <c r="C115" s="455" t="s">
        <v>1245</v>
      </c>
      <c r="D115" s="456" t="s">
        <v>1175</v>
      </c>
      <c r="E115" s="456" t="s">
        <v>1174</v>
      </c>
      <c r="F115" s="455" t="s">
        <v>377</v>
      </c>
    </row>
    <row r="116" spans="2:6" x14ac:dyDescent="0.2">
      <c r="B116" s="455" t="s">
        <v>1246</v>
      </c>
      <c r="C116" s="455" t="s">
        <v>1247</v>
      </c>
      <c r="D116" s="456" t="s">
        <v>1175</v>
      </c>
      <c r="E116" s="456" t="s">
        <v>1174</v>
      </c>
      <c r="F116" s="455" t="s">
        <v>377</v>
      </c>
    </row>
    <row r="117" spans="2:6" x14ac:dyDescent="0.2">
      <c r="B117" s="455" t="s">
        <v>1248</v>
      </c>
      <c r="C117" s="455" t="s">
        <v>1249</v>
      </c>
      <c r="D117" s="456" t="s">
        <v>1175</v>
      </c>
      <c r="E117" s="456" t="s">
        <v>1174</v>
      </c>
      <c r="F117" s="455" t="s">
        <v>377</v>
      </c>
    </row>
    <row r="118" spans="2:6" x14ac:dyDescent="0.2">
      <c r="B118" s="455" t="s">
        <v>1250</v>
      </c>
      <c r="C118" s="455" t="s">
        <v>1251</v>
      </c>
      <c r="D118" s="456" t="s">
        <v>1175</v>
      </c>
      <c r="E118" s="456" t="s">
        <v>1174</v>
      </c>
      <c r="F118" s="455" t="s">
        <v>377</v>
      </c>
    </row>
    <row r="119" spans="2:6" x14ac:dyDescent="0.2">
      <c r="B119" s="455" t="s">
        <v>1252</v>
      </c>
      <c r="C119" s="455" t="s">
        <v>1253</v>
      </c>
      <c r="D119" s="456" t="s">
        <v>1175</v>
      </c>
      <c r="E119" s="456" t="s">
        <v>1174</v>
      </c>
      <c r="F119" s="455" t="s">
        <v>377</v>
      </c>
    </row>
    <row r="120" spans="2:6" x14ac:dyDescent="0.2">
      <c r="B120" s="455" t="s">
        <v>1254</v>
      </c>
      <c r="C120" s="455" t="s">
        <v>1255</v>
      </c>
      <c r="D120" s="456" t="s">
        <v>1175</v>
      </c>
      <c r="E120" s="456" t="s">
        <v>1174</v>
      </c>
      <c r="F120" s="455" t="s">
        <v>377</v>
      </c>
    </row>
    <row r="121" spans="2:6" x14ac:dyDescent="0.2">
      <c r="B121" s="455" t="s">
        <v>1256</v>
      </c>
      <c r="C121" s="455" t="s">
        <v>1257</v>
      </c>
      <c r="D121" s="456" t="s">
        <v>1175</v>
      </c>
      <c r="E121" s="456" t="s">
        <v>1174</v>
      </c>
      <c r="F121" s="455" t="s">
        <v>377</v>
      </c>
    </row>
    <row r="122" spans="2:6" x14ac:dyDescent="0.2">
      <c r="B122" s="455" t="s">
        <v>1258</v>
      </c>
      <c r="C122" s="455" t="s">
        <v>1259</v>
      </c>
      <c r="D122" s="456" t="s">
        <v>1175</v>
      </c>
      <c r="E122" s="456" t="s">
        <v>1174</v>
      </c>
      <c r="F122" s="455" t="s">
        <v>377</v>
      </c>
    </row>
    <row r="123" spans="2:6" x14ac:dyDescent="0.2">
      <c r="B123" s="455" t="s">
        <v>608</v>
      </c>
      <c r="C123" s="455" t="s">
        <v>1260</v>
      </c>
      <c r="D123" s="456" t="s">
        <v>1175</v>
      </c>
      <c r="E123" s="456" t="s">
        <v>1174</v>
      </c>
      <c r="F123" s="455" t="s">
        <v>377</v>
      </c>
    </row>
    <row r="124" spans="2:6" x14ac:dyDescent="0.2">
      <c r="B124" s="455" t="s">
        <v>620</v>
      </c>
      <c r="C124" s="455" t="s">
        <v>1261</v>
      </c>
      <c r="D124" s="456" t="s">
        <v>1175</v>
      </c>
      <c r="E124" s="456" t="s">
        <v>1174</v>
      </c>
      <c r="F124" s="455" t="s">
        <v>377</v>
      </c>
    </row>
    <row r="125" spans="2:6" x14ac:dyDescent="0.2">
      <c r="B125" s="455" t="s">
        <v>628</v>
      </c>
      <c r="C125" s="455" t="s">
        <v>1262</v>
      </c>
      <c r="D125" s="456" t="s">
        <v>1175</v>
      </c>
      <c r="E125" s="456" t="s">
        <v>1174</v>
      </c>
      <c r="F125" s="455" t="s">
        <v>377</v>
      </c>
    </row>
    <row r="126" spans="2:6" x14ac:dyDescent="0.2">
      <c r="B126" s="455" t="s">
        <v>635</v>
      </c>
      <c r="C126" s="455" t="s">
        <v>1263</v>
      </c>
      <c r="D126" s="456" t="s">
        <v>1175</v>
      </c>
      <c r="E126" s="456" t="s">
        <v>1174</v>
      </c>
      <c r="F126" s="455" t="s">
        <v>377</v>
      </c>
    </row>
    <row r="127" spans="2:6" x14ac:dyDescent="0.2">
      <c r="B127" s="455" t="s">
        <v>642</v>
      </c>
      <c r="C127" s="455" t="s">
        <v>1264</v>
      </c>
      <c r="D127" s="456" t="s">
        <v>1175</v>
      </c>
      <c r="E127" s="456" t="s">
        <v>1174</v>
      </c>
      <c r="F127" s="455" t="s">
        <v>377</v>
      </c>
    </row>
    <row r="128" spans="2:6" x14ac:dyDescent="0.2">
      <c r="B128" s="455" t="s">
        <v>649</v>
      </c>
      <c r="C128" s="455" t="s">
        <v>1265</v>
      </c>
      <c r="D128" s="456" t="s">
        <v>1175</v>
      </c>
      <c r="E128" s="456" t="s">
        <v>1174</v>
      </c>
      <c r="F128" s="455" t="s">
        <v>377</v>
      </c>
    </row>
    <row r="129" spans="2:6" x14ac:dyDescent="0.2">
      <c r="B129" s="455" t="s">
        <v>656</v>
      </c>
      <c r="C129" s="455" t="s">
        <v>1266</v>
      </c>
      <c r="D129" s="456" t="s">
        <v>1175</v>
      </c>
      <c r="E129" s="456" t="s">
        <v>1174</v>
      </c>
      <c r="F129" s="455" t="s">
        <v>377</v>
      </c>
    </row>
    <row r="130" spans="2:6" x14ac:dyDescent="0.2">
      <c r="B130" s="455" t="s">
        <v>1267</v>
      </c>
      <c r="C130" s="455" t="s">
        <v>1268</v>
      </c>
      <c r="D130" s="456" t="s">
        <v>1175</v>
      </c>
      <c r="E130" s="456" t="s">
        <v>1174</v>
      </c>
      <c r="F130" s="455" t="s">
        <v>377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tabColor theme="8"/>
  </sheetPr>
  <dimension ref="A1:BA147"/>
  <sheetViews>
    <sheetView workbookViewId="0">
      <selection activeCell="B2" sqref="B2"/>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0"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81" t="s">
        <v>1290</v>
      </c>
      <c r="C1" s="181"/>
      <c r="D1" s="181"/>
      <c r="E1" s="181"/>
    </row>
    <row r="2" spans="1:53" ht="13.5" thickTop="1" x14ac:dyDescent="0.2"/>
    <row r="3" spans="1:53" ht="15.75" x14ac:dyDescent="0.25">
      <c r="A3" s="37" t="s">
        <v>232</v>
      </c>
      <c r="B3" s="478" t="s">
        <v>233</v>
      </c>
      <c r="C3" s="478"/>
      <c r="D3" s="478"/>
      <c r="E3" s="38" t="s">
        <v>234</v>
      </c>
      <c r="F3" s="38"/>
      <c r="G3" s="29"/>
      <c r="H3" s="37"/>
      <c r="I3" s="29"/>
      <c r="J3" s="37"/>
    </row>
    <row r="4" spans="1:53" x14ac:dyDescent="0.2">
      <c r="A4" s="30"/>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row>
    <row r="5" spans="1:53" x14ac:dyDescent="0.2">
      <c r="A5" s="30"/>
      <c r="B5" s="30"/>
      <c r="C5" s="40" t="s">
        <v>235</v>
      </c>
      <c r="D5" s="40"/>
    </row>
    <row r="6" spans="1:53" x14ac:dyDescent="0.2">
      <c r="A6" s="29" t="s">
        <v>236</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3" customFormat="1" ht="63.75" x14ac:dyDescent="0.2">
      <c r="A7" s="41" t="s">
        <v>237</v>
      </c>
      <c r="B7" s="42"/>
      <c r="C7" s="43" t="str">
        <f>NameConv!$B$5</f>
        <v>Biogas</v>
      </c>
      <c r="D7" s="43" t="str">
        <f>NameConv!$B$6</f>
        <v>Bioethanol</v>
      </c>
      <c r="E7" s="43" t="str">
        <f>NameConv!$B$7</f>
        <v>Biodiesel</v>
      </c>
      <c r="F7" s="43" t="str">
        <f>NameConv!$B$8</f>
        <v>Biomass bagasse</v>
      </c>
      <c r="G7" s="43" t="str">
        <f>NameConv!$B$9</f>
        <v>Biomass Other</v>
      </c>
      <c r="H7" s="43" t="str">
        <f>NameConv!$B$10</f>
        <v>Biomass Wood</v>
      </c>
      <c r="I7" s="43" t="str">
        <f>NameConv!$B$11</f>
        <v>Coal</v>
      </c>
      <c r="J7" s="43" t="str">
        <f>NameConv!$B$12</f>
        <v>Coal Coking</v>
      </c>
      <c r="K7" s="43" t="str">
        <f>NameConv!$B$13</f>
        <v>Coal Discard</v>
      </c>
      <c r="L7" s="43" t="str">
        <f>NameConv!$B$14</f>
        <v>Coal low grade</v>
      </c>
      <c r="M7" s="43" t="str">
        <f>NameConv!$B$15</f>
        <v>Coal for plants in Botswana</v>
      </c>
      <c r="O7" s="42"/>
      <c r="P7" s="42"/>
      <c r="Q7" s="42" t="str">
        <f>NameConv!$B$16</f>
        <v>Electricity</v>
      </c>
      <c r="R7" s="42" t="str">
        <f>NameConv!$B$17</f>
        <v>Electricity Upstream Transmission</v>
      </c>
      <c r="U7" s="42" t="str">
        <f>NameConv!B26</f>
        <v>Coastal Gas</v>
      </c>
      <c r="V7" s="42" t="str">
        <f>NameConv!$B$19</f>
        <v>Gas Southern Mozambique</v>
      </c>
      <c r="W7" s="43" t="str">
        <f>NameConv!$B$20</f>
        <v>Gas Namibia</v>
      </c>
      <c r="X7" s="44" t="str">
        <f>NameConv!$B$21</f>
        <v>Gas Regional LNG</v>
      </c>
      <c r="Y7" s="44" t="str">
        <f>NameConv!$B$22</f>
        <v>Gas International LNG</v>
      </c>
      <c r="AA7" s="44" t="str">
        <f>NameConv!$B$23</f>
        <v>Gas Northern Mozambique</v>
      </c>
      <c r="AC7" s="45" t="str">
        <f>NameConv!$B$24</f>
        <v>Gas Indigenous Ibhubezi</v>
      </c>
      <c r="AE7" s="45" t="str">
        <f>NameConv!$B$25</f>
        <v>Gas Indigenous Shale</v>
      </c>
      <c r="AH7" s="43" t="str">
        <f>NameConv!$B$27</f>
        <v>Gas Methane Rich</v>
      </c>
      <c r="AJ7" s="43" t="str">
        <f>NameConv!$B$28</f>
        <v>Heat-Steam</v>
      </c>
      <c r="AK7" s="43" t="str">
        <f>NameConv!$B$29</f>
        <v>Heat-Steam Existing</v>
      </c>
      <c r="AL7" s="43" t="str">
        <f>NameConv!$B$30</f>
        <v>Heat-Steam New</v>
      </c>
      <c r="AM7" s="43" t="str">
        <f>NameConv!$B$31</f>
        <v>Hydro</v>
      </c>
      <c r="AN7" s="43" t="str">
        <f>NameConv!$B$32</f>
        <v>Hydrogen</v>
      </c>
      <c r="AO7" s="43" t="str">
        <f>NameConv!$B$33</f>
        <v>Nuclear</v>
      </c>
      <c r="AP7" s="43" t="str">
        <f>NameConv!$B$34</f>
        <v>Oil Av Gasoline</v>
      </c>
      <c r="AQ7" s="43" t="str">
        <f>NameConv!$B$35</f>
        <v>Oil Crude</v>
      </c>
      <c r="AR7" s="43" t="str">
        <f>NameConv!$B$36</f>
        <v>Oil Diesel</v>
      </c>
      <c r="AS7" s="43" t="str">
        <f>NameConv!$B$37</f>
        <v>Oil Gasoline</v>
      </c>
      <c r="AT7" s="43" t="str">
        <f>NameConv!$B$38</f>
        <v>Oil HFO</v>
      </c>
      <c r="AU7" s="43" t="str">
        <f>NameConv!$B$39</f>
        <v>Oil Kerosene</v>
      </c>
      <c r="AV7" s="43" t="str">
        <f>NameConv!$B$40</f>
        <v>Oil LPG</v>
      </c>
      <c r="AW7" s="43" t="str">
        <f>NameConv!$B$41</f>
        <v>Oil Other</v>
      </c>
      <c r="AX7" s="43" t="str">
        <f>NameConv!$B$42</f>
        <v>Solar</v>
      </c>
      <c r="AY7" s="43" t="str">
        <f>NameConv!$B$43</f>
        <v>Wind</v>
      </c>
    </row>
    <row r="8" spans="1:53" x14ac:dyDescent="0.2">
      <c r="A8" s="29" t="s">
        <v>238</v>
      </c>
      <c r="B8" s="30"/>
      <c r="C8" s="39" t="str">
        <f t="shared" ref="C8:L8" si="2">$B$8&amp;VLOOKUP(C7,FuelNames,2,FALSE)</f>
        <v>BIG</v>
      </c>
      <c r="D8" s="39" t="str">
        <f t="shared" si="2"/>
        <v>BIE</v>
      </c>
      <c r="E8" s="39" t="str">
        <f t="shared" si="2"/>
        <v>BID</v>
      </c>
      <c r="F8" s="39" t="str">
        <f t="shared" si="2"/>
        <v>BIB</v>
      </c>
      <c r="G8" s="39" t="str">
        <f t="shared" si="2"/>
        <v>BIO</v>
      </c>
      <c r="H8" s="39" t="str">
        <f t="shared" si="2"/>
        <v>BIW</v>
      </c>
      <c r="I8" s="39" t="str">
        <f t="shared" si="2"/>
        <v>COA</v>
      </c>
      <c r="J8" s="39" t="str">
        <f t="shared" si="2"/>
        <v>COK</v>
      </c>
      <c r="K8" s="39" t="str">
        <f t="shared" si="2"/>
        <v>CLD</v>
      </c>
      <c r="L8" s="39" t="str">
        <f t="shared" si="2"/>
        <v>CLE</v>
      </c>
      <c r="M8" s="39" t="str">
        <f t="shared" ref="M8:AH8" si="3">$B$8&amp;VLOOKUP(M7,FuelNames,2,FALSE)</f>
        <v>CRB</v>
      </c>
      <c r="N8" s="39"/>
      <c r="O8" s="39"/>
      <c r="P8" s="39"/>
      <c r="Q8" s="39" t="str">
        <f t="shared" si="3"/>
        <v>ELC</v>
      </c>
      <c r="R8" s="39" t="str">
        <f t="shared" si="3"/>
        <v>ELCC</v>
      </c>
      <c r="S8" s="39"/>
      <c r="T8" s="39"/>
      <c r="U8" s="39" t="str">
        <f t="shared" si="3"/>
        <v>GIC</v>
      </c>
      <c r="V8" s="39" t="str">
        <f t="shared" si="3"/>
        <v>GRS</v>
      </c>
      <c r="W8" s="39" t="str">
        <f t="shared" si="3"/>
        <v>GRN</v>
      </c>
      <c r="X8" s="39" t="str">
        <f t="shared" si="3"/>
        <v>GRL</v>
      </c>
      <c r="Y8" s="39" t="str">
        <f t="shared" si="3"/>
        <v>GWL</v>
      </c>
      <c r="Z8" s="39"/>
      <c r="AA8" s="39" t="str">
        <f t="shared" si="3"/>
        <v>GRM</v>
      </c>
      <c r="AB8" s="39"/>
      <c r="AC8" s="39" t="str">
        <f t="shared" si="3"/>
        <v>GIB</v>
      </c>
      <c r="AD8" s="39"/>
      <c r="AE8" s="39" t="str">
        <f t="shared" si="3"/>
        <v>GIH</v>
      </c>
      <c r="AF8" s="39"/>
      <c r="AG8" s="39"/>
      <c r="AH8" s="39" t="str">
        <f t="shared" si="3"/>
        <v>GIM</v>
      </c>
      <c r="AI8" s="39"/>
      <c r="AJ8" s="39" t="str">
        <f t="shared" ref="AJ8:AY8" si="4">$B$8&amp;VLOOKUP(AJ7,FuelNames,2,FALSE)</f>
        <v>HET</v>
      </c>
      <c r="AK8" s="39" t="str">
        <f t="shared" si="4"/>
        <v>HEE</v>
      </c>
      <c r="AL8" s="39" t="str">
        <f t="shared" si="4"/>
        <v>HEN</v>
      </c>
      <c r="AM8" s="39" t="str">
        <f t="shared" si="4"/>
        <v>HYD</v>
      </c>
      <c r="AN8" s="39" t="str">
        <f t="shared" si="4"/>
        <v>HGN</v>
      </c>
      <c r="AO8" s="39" t="str">
        <f t="shared" si="4"/>
        <v>NUC</v>
      </c>
      <c r="AP8" s="39" t="str">
        <f t="shared" si="4"/>
        <v>OAG</v>
      </c>
      <c r="AQ8" s="39" t="str">
        <f t="shared" si="4"/>
        <v>OCR</v>
      </c>
      <c r="AR8" s="39" t="str">
        <f t="shared" si="4"/>
        <v>ODS</v>
      </c>
      <c r="AS8" s="39" t="str">
        <f t="shared" si="4"/>
        <v>OGS</v>
      </c>
      <c r="AT8" s="39" t="str">
        <f t="shared" si="4"/>
        <v>OHF</v>
      </c>
      <c r="AU8" s="39" t="str">
        <f t="shared" si="4"/>
        <v>OKE</v>
      </c>
      <c r="AV8" s="39" t="str">
        <f t="shared" si="4"/>
        <v>OLP</v>
      </c>
      <c r="AW8" s="39" t="str">
        <f t="shared" si="4"/>
        <v>OTH</v>
      </c>
      <c r="AX8" s="39" t="str">
        <f t="shared" si="4"/>
        <v>SOL</v>
      </c>
      <c r="AY8" s="39" t="str">
        <f t="shared" si="4"/>
        <v>WND</v>
      </c>
      <c r="AZ8" s="39"/>
      <c r="BA8" s="39"/>
    </row>
    <row r="9" spans="1:53" x14ac:dyDescent="0.2">
      <c r="A9" s="29" t="s">
        <v>239</v>
      </c>
      <c r="B9" s="30"/>
      <c r="C9" s="39"/>
      <c r="D9" s="39"/>
      <c r="E9" s="39"/>
      <c r="F9" s="39"/>
      <c r="G9" s="39"/>
      <c r="H9" s="39"/>
      <c r="I9" s="39"/>
      <c r="J9" s="39"/>
      <c r="K9" s="39"/>
      <c r="L9" s="39"/>
      <c r="M9" s="39"/>
      <c r="N9" s="39"/>
      <c r="O9" s="39"/>
      <c r="P9" s="39"/>
      <c r="Q9" s="39"/>
      <c r="R9" s="39"/>
      <c r="S9" s="39"/>
      <c r="T9" s="39"/>
      <c r="U9" s="39"/>
      <c r="V9" s="39"/>
      <c r="W9" s="39"/>
      <c r="Y9" s="39"/>
      <c r="Z9" s="39"/>
      <c r="AA9" s="39"/>
      <c r="AB9" s="39"/>
      <c r="AC9" s="39"/>
      <c r="AD9" s="39"/>
      <c r="AE9" s="39"/>
      <c r="AF9" s="39"/>
      <c r="AG9" s="39"/>
      <c r="AH9" s="39"/>
      <c r="AI9" s="39"/>
      <c r="AJ9" s="39"/>
      <c r="AK9" s="39"/>
      <c r="AM9" s="39"/>
      <c r="AN9" s="39"/>
    </row>
    <row r="10" spans="1:53" x14ac:dyDescent="0.2">
      <c r="A10" s="28" t="s">
        <v>240</v>
      </c>
      <c r="B10" s="46" t="s">
        <v>241</v>
      </c>
      <c r="C10" s="47">
        <v>0</v>
      </c>
      <c r="D10" s="47">
        <v>0</v>
      </c>
      <c r="E10" s="47">
        <v>0</v>
      </c>
      <c r="F10" s="47">
        <v>0</v>
      </c>
      <c r="G10" s="47">
        <v>0</v>
      </c>
      <c r="H10" s="47">
        <v>0</v>
      </c>
      <c r="I10" s="47">
        <v>6136.3929900000003</v>
      </c>
      <c r="J10" s="47">
        <v>49.117144000000003</v>
      </c>
      <c r="K10" s="47">
        <v>0</v>
      </c>
      <c r="L10" s="47">
        <v>0</v>
      </c>
      <c r="M10" s="47">
        <v>0</v>
      </c>
      <c r="N10" s="47"/>
      <c r="O10" s="47"/>
      <c r="P10" s="47"/>
      <c r="Q10" s="47">
        <v>830.00738649024674</v>
      </c>
      <c r="R10" s="47">
        <v>0</v>
      </c>
      <c r="S10" s="47"/>
      <c r="T10" s="47"/>
      <c r="U10" s="47">
        <v>42.534198286413705</v>
      </c>
      <c r="V10" s="47">
        <v>0</v>
      </c>
      <c r="W10" s="47">
        <v>0</v>
      </c>
      <c r="X10" s="47">
        <v>0</v>
      </c>
      <c r="Y10" s="47">
        <v>0</v>
      </c>
      <c r="Z10" s="47"/>
      <c r="AA10" s="47">
        <v>0</v>
      </c>
      <c r="AB10" s="47"/>
      <c r="AC10" s="47">
        <v>0</v>
      </c>
      <c r="AD10" s="47"/>
      <c r="AE10" s="47">
        <v>0</v>
      </c>
      <c r="AF10" s="47">
        <v>0</v>
      </c>
      <c r="AG10" s="47"/>
      <c r="AH10" s="47">
        <v>0</v>
      </c>
      <c r="AI10" s="47"/>
      <c r="AJ10" s="47">
        <v>0</v>
      </c>
      <c r="AK10" s="47">
        <v>0</v>
      </c>
      <c r="AL10" s="47">
        <v>0</v>
      </c>
      <c r="AM10" s="47">
        <v>0</v>
      </c>
      <c r="AN10" s="47">
        <v>0</v>
      </c>
      <c r="AO10" s="47">
        <v>0</v>
      </c>
      <c r="AP10" s="47">
        <v>0</v>
      </c>
      <c r="AQ10" s="47">
        <v>0</v>
      </c>
      <c r="AR10" s="47">
        <v>0</v>
      </c>
      <c r="AS10" s="47">
        <v>0</v>
      </c>
      <c r="AT10" s="47">
        <v>0</v>
      </c>
      <c r="AU10" s="47">
        <v>0</v>
      </c>
      <c r="AV10" s="47">
        <v>0</v>
      </c>
      <c r="AW10" s="47">
        <v>0</v>
      </c>
      <c r="AX10" s="47">
        <v>0</v>
      </c>
      <c r="AY10" s="47">
        <v>0</v>
      </c>
      <c r="AZ10" s="47"/>
      <c r="BA10" s="47"/>
    </row>
    <row r="11" spans="1:53" x14ac:dyDescent="0.2">
      <c r="A11" s="28" t="s">
        <v>242</v>
      </c>
      <c r="B11" s="46" t="s">
        <v>241</v>
      </c>
      <c r="C11" s="47">
        <v>0</v>
      </c>
      <c r="D11" s="47">
        <v>0</v>
      </c>
      <c r="E11" s="47">
        <v>0</v>
      </c>
      <c r="F11" s="47">
        <v>0</v>
      </c>
      <c r="G11" s="47">
        <v>0</v>
      </c>
      <c r="H11" s="47">
        <v>0</v>
      </c>
      <c r="I11" s="47">
        <v>3.1614299999999997</v>
      </c>
      <c r="J11" s="47">
        <v>57.42812</v>
      </c>
      <c r="K11" s="47">
        <v>0</v>
      </c>
      <c r="L11" s="47">
        <v>0</v>
      </c>
      <c r="M11" s="47">
        <v>0</v>
      </c>
      <c r="N11" s="47"/>
      <c r="O11" s="47"/>
      <c r="P11" s="47"/>
      <c r="Q11" s="47">
        <v>36.021597656250002</v>
      </c>
      <c r="R11" s="47">
        <v>0</v>
      </c>
      <c r="S11" s="47"/>
      <c r="T11" s="47"/>
      <c r="U11" s="47">
        <v>121.2211171875</v>
      </c>
      <c r="V11" s="47">
        <v>0</v>
      </c>
      <c r="W11" s="47">
        <v>0</v>
      </c>
      <c r="X11" s="47">
        <v>0</v>
      </c>
      <c r="Y11" s="47">
        <v>0</v>
      </c>
      <c r="Z11" s="47"/>
      <c r="AA11" s="47">
        <v>0</v>
      </c>
      <c r="AB11" s="47"/>
      <c r="AC11" s="47">
        <v>0</v>
      </c>
      <c r="AD11" s="47"/>
      <c r="AE11" s="47">
        <v>0</v>
      </c>
      <c r="AF11" s="47">
        <v>0</v>
      </c>
      <c r="AG11" s="47"/>
      <c r="AH11" s="47">
        <v>0</v>
      </c>
      <c r="AI11" s="47"/>
      <c r="AJ11" s="47">
        <v>0</v>
      </c>
      <c r="AK11" s="47">
        <v>0</v>
      </c>
      <c r="AL11" s="47">
        <v>0</v>
      </c>
      <c r="AM11" s="47">
        <v>0</v>
      </c>
      <c r="AN11" s="47">
        <v>0</v>
      </c>
      <c r="AO11" s="47">
        <v>170.374545454545</v>
      </c>
      <c r="AP11" s="47">
        <v>1.394321535205479</v>
      </c>
      <c r="AQ11" s="47">
        <v>941.22622485351599</v>
      </c>
      <c r="AR11" s="47">
        <v>140.06492</v>
      </c>
      <c r="AS11" s="47">
        <v>63.331960000000002</v>
      </c>
      <c r="AT11" s="47">
        <v>4.206396917894736</v>
      </c>
      <c r="AU11" s="47">
        <v>9.3231960462962959</v>
      </c>
      <c r="AV11" s="47">
        <v>0.405131744444444</v>
      </c>
      <c r="AW11" s="47">
        <v>0</v>
      </c>
      <c r="AX11" s="47">
        <v>0</v>
      </c>
      <c r="AY11" s="47">
        <v>0</v>
      </c>
      <c r="AZ11" s="47"/>
      <c r="BA11" s="47"/>
    </row>
    <row r="12" spans="1:53" ht="13.5" thickBot="1" x14ac:dyDescent="0.25">
      <c r="A12" s="28" t="s">
        <v>243</v>
      </c>
      <c r="B12" s="46" t="s">
        <v>241</v>
      </c>
      <c r="C12" s="47">
        <v>0</v>
      </c>
      <c r="D12" s="47">
        <v>0</v>
      </c>
      <c r="E12" s="47">
        <v>0</v>
      </c>
      <c r="F12" s="47">
        <v>0</v>
      </c>
      <c r="G12" s="47">
        <v>0</v>
      </c>
      <c r="H12" s="47">
        <v>0</v>
      </c>
      <c r="I12" s="47">
        <v>2129.9962500000001</v>
      </c>
      <c r="J12" s="47">
        <v>20.834015000000001</v>
      </c>
      <c r="K12" s="47">
        <v>0</v>
      </c>
      <c r="L12" s="47">
        <v>0</v>
      </c>
      <c r="M12" s="47">
        <v>0</v>
      </c>
      <c r="N12" s="47"/>
      <c r="O12" s="47"/>
      <c r="P12" s="47"/>
      <c r="Q12" s="47">
        <v>54.125999999999998</v>
      </c>
      <c r="R12" s="47">
        <v>0</v>
      </c>
      <c r="S12" s="47"/>
      <c r="T12" s="47"/>
      <c r="U12" s="47">
        <v>0</v>
      </c>
      <c r="V12" s="47">
        <v>0</v>
      </c>
      <c r="W12" s="47">
        <v>0</v>
      </c>
      <c r="X12" s="47">
        <v>0</v>
      </c>
      <c r="Y12" s="47">
        <v>0</v>
      </c>
      <c r="Z12" s="47"/>
      <c r="AA12" s="47">
        <v>0</v>
      </c>
      <c r="AB12" s="47"/>
      <c r="AC12" s="47">
        <v>0</v>
      </c>
      <c r="AD12" s="47"/>
      <c r="AE12" s="47">
        <v>0</v>
      </c>
      <c r="AF12" s="47">
        <v>0</v>
      </c>
      <c r="AG12" s="47"/>
      <c r="AH12" s="47">
        <v>0</v>
      </c>
      <c r="AI12" s="47"/>
      <c r="AJ12" s="47">
        <v>0</v>
      </c>
      <c r="AK12" s="47">
        <v>0</v>
      </c>
      <c r="AL12" s="47">
        <v>0</v>
      </c>
      <c r="AM12" s="47">
        <v>0</v>
      </c>
      <c r="AN12" s="47">
        <v>0</v>
      </c>
      <c r="AO12" s="47">
        <v>0</v>
      </c>
      <c r="AP12" s="47">
        <v>0.22564281164383562</v>
      </c>
      <c r="AQ12" s="47">
        <v>20.83803412968</v>
      </c>
      <c r="AR12" s="47">
        <v>28.73659252275862</v>
      </c>
      <c r="AS12" s="47">
        <v>3.5488458656756761</v>
      </c>
      <c r="AT12" s="47">
        <v>61.88735509894736</v>
      </c>
      <c r="AU12" s="47">
        <v>5.0273560461728382</v>
      </c>
      <c r="AV12" s="47">
        <v>0.54993525222222217</v>
      </c>
      <c r="AW12" s="47">
        <v>0</v>
      </c>
      <c r="AX12" s="47">
        <v>0</v>
      </c>
      <c r="AY12" s="47">
        <v>0</v>
      </c>
      <c r="AZ12" s="47"/>
      <c r="BA12" s="47"/>
    </row>
    <row r="13" spans="1:53" ht="15.75" thickBot="1" x14ac:dyDescent="0.3">
      <c r="A13" s="29"/>
      <c r="B13" s="46"/>
      <c r="C13" s="48"/>
      <c r="D13" s="48"/>
      <c r="L13" s="49"/>
      <c r="M13" s="50" t="s">
        <v>244</v>
      </c>
      <c r="N13" s="51"/>
      <c r="O13" s="51"/>
      <c r="P13" s="52"/>
      <c r="Q13" s="48"/>
      <c r="R13" s="48"/>
      <c r="S13" s="48"/>
      <c r="T13" s="48"/>
      <c r="U13" s="48"/>
      <c r="V13" s="48"/>
      <c r="W13" s="48"/>
      <c r="X13" s="48"/>
      <c r="Y13" s="48"/>
      <c r="Z13" s="48"/>
      <c r="AA13" s="48"/>
      <c r="AB13" s="53"/>
    </row>
    <row r="14" spans="1:53" x14ac:dyDescent="0.2">
      <c r="A14" s="54" t="s">
        <v>245</v>
      </c>
      <c r="B14" s="55"/>
      <c r="C14" s="55"/>
      <c r="D14" s="55"/>
      <c r="E14" s="55"/>
      <c r="F14" s="56">
        <v>2006</v>
      </c>
      <c r="G14" s="57">
        <v>2010</v>
      </c>
      <c r="H14" s="57">
        <v>2012</v>
      </c>
      <c r="I14" s="57">
        <v>2015</v>
      </c>
      <c r="J14" s="57">
        <v>2020</v>
      </c>
      <c r="K14" s="57">
        <v>2030</v>
      </c>
      <c r="L14" s="57">
        <v>2050</v>
      </c>
      <c r="M14" s="58"/>
      <c r="O14" s="39">
        <f>J14</f>
        <v>2020</v>
      </c>
      <c r="P14" s="39">
        <v>2030</v>
      </c>
      <c r="Q14" s="59">
        <f>L14</f>
        <v>2050</v>
      </c>
      <c r="S14" s="48"/>
      <c r="T14" s="48"/>
      <c r="U14" s="48"/>
      <c r="V14" s="48"/>
    </row>
    <row r="15" spans="1:53" ht="15" x14ac:dyDescent="0.25">
      <c r="A15" s="60" t="s">
        <v>246</v>
      </c>
      <c r="B15" s="28" t="s">
        <v>247</v>
      </c>
      <c r="F15" s="61">
        <v>11.914999999999999</v>
      </c>
      <c r="G15" s="62">
        <f>F15</f>
        <v>11.914999999999999</v>
      </c>
      <c r="H15" s="62">
        <f>G15</f>
        <v>11.914999999999999</v>
      </c>
      <c r="I15" s="62">
        <f>G15</f>
        <v>11.914999999999999</v>
      </c>
      <c r="J15" s="62">
        <f>I15</f>
        <v>11.914999999999999</v>
      </c>
      <c r="K15" s="62">
        <f>J15</f>
        <v>11.914999999999999</v>
      </c>
      <c r="L15" s="62">
        <f>K15</f>
        <v>11.914999999999999</v>
      </c>
      <c r="M15" s="60"/>
      <c r="O15" s="63"/>
      <c r="P15" s="63"/>
      <c r="Q15" s="64"/>
      <c r="S15" s="48"/>
      <c r="T15" s="48"/>
      <c r="U15" s="48"/>
      <c r="V15" s="48"/>
    </row>
    <row r="16" spans="1:53" ht="15" x14ac:dyDescent="0.25">
      <c r="A16" s="60" t="s">
        <v>248</v>
      </c>
      <c r="B16" s="28" t="s">
        <v>249</v>
      </c>
      <c r="C16" s="65" t="s">
        <v>250</v>
      </c>
      <c r="D16" s="66" t="s">
        <v>251</v>
      </c>
      <c r="F16" s="67">
        <f>G16</f>
        <v>84.76347793442072</v>
      </c>
      <c r="G16" s="62">
        <f>AA23</f>
        <v>84.76347793442072</v>
      </c>
      <c r="H16" s="68">
        <f>G16+((I16-G16)/(I14-G14)*(H14-G14))</f>
        <v>71.258086760652432</v>
      </c>
      <c r="I16" s="69">
        <f>AB23</f>
        <v>51</v>
      </c>
      <c r="J16" s="70">
        <f>SUMIF($M$15:$M$24,$D$16,O$15:O$24)</f>
        <v>58</v>
      </c>
      <c r="K16" s="70">
        <f t="shared" ref="K16:L16" si="5">SUMIF($M$15:$M$24,$D$16,P$15:P$24)</f>
        <v>55.666666666666664</v>
      </c>
      <c r="L16" s="70">
        <f t="shared" si="5"/>
        <v>50.333333333333329</v>
      </c>
      <c r="M16" s="71" t="s">
        <v>252</v>
      </c>
      <c r="O16" s="72">
        <f>IEW_WEO!CK100</f>
        <v>58</v>
      </c>
      <c r="P16" s="72">
        <f>IEW_WEO!CL100</f>
        <v>76</v>
      </c>
      <c r="Q16" s="72">
        <f>IEW_WEO!CM100</f>
        <v>93</v>
      </c>
      <c r="S16" s="48"/>
      <c r="T16" s="48"/>
      <c r="U16" s="48"/>
      <c r="V16" s="48"/>
    </row>
    <row r="17" spans="1:36" ht="15" x14ac:dyDescent="0.25">
      <c r="A17" s="60" t="s">
        <v>253</v>
      </c>
      <c r="B17" s="28" t="s">
        <v>254</v>
      </c>
      <c r="F17" s="31"/>
      <c r="G17" s="30"/>
      <c r="H17" s="30"/>
      <c r="I17" s="30"/>
      <c r="J17" s="30"/>
      <c r="K17" s="30"/>
      <c r="L17" s="30"/>
      <c r="M17" s="60" t="s">
        <v>251</v>
      </c>
      <c r="O17" s="72">
        <f>IEW_WEO!CK101</f>
        <v>58</v>
      </c>
      <c r="P17" s="72">
        <f>IEW_WEO!CL101</f>
        <v>55.666666666666664</v>
      </c>
      <c r="Q17" s="72">
        <f>IEW_WEO!CM101</f>
        <v>50.333333333333329</v>
      </c>
      <c r="S17" s="48"/>
      <c r="T17" s="48"/>
      <c r="U17" s="48"/>
      <c r="V17" s="48"/>
      <c r="W17"/>
      <c r="X17"/>
    </row>
    <row r="18" spans="1:36" ht="15.75" thickBot="1" x14ac:dyDescent="0.3">
      <c r="A18" s="73" t="s">
        <v>157</v>
      </c>
      <c r="B18" s="74" t="s">
        <v>255</v>
      </c>
      <c r="C18" s="74"/>
      <c r="D18" s="74"/>
      <c r="E18" s="74"/>
      <c r="F18" s="75"/>
      <c r="G18" s="76"/>
      <c r="H18" s="76"/>
      <c r="I18" s="76"/>
      <c r="J18" s="76"/>
      <c r="K18" s="74"/>
      <c r="L18" s="74"/>
      <c r="M18" s="77" t="s">
        <v>256</v>
      </c>
      <c r="N18" s="74"/>
      <c r="O18" s="72">
        <f>IEW_WEO!CK102</f>
        <v>58</v>
      </c>
      <c r="P18" s="72">
        <f>IEW_WEO!CL102</f>
        <v>63.333333333333336</v>
      </c>
      <c r="Q18" s="72">
        <f>IEW_WEO!CM102</f>
        <v>80.666666666666657</v>
      </c>
      <c r="S18" s="48"/>
      <c r="T18" s="48"/>
      <c r="U18" s="48"/>
      <c r="V18" s="48"/>
      <c r="W18"/>
      <c r="X18"/>
      <c r="Z18" s="29" t="s">
        <v>257</v>
      </c>
      <c r="AA18"/>
      <c r="AB18"/>
      <c r="AH18" s="30"/>
      <c r="AI18" s="30"/>
    </row>
    <row r="19" spans="1:36" ht="15" x14ac:dyDescent="0.25">
      <c r="A19" s="78" t="s">
        <v>258</v>
      </c>
      <c r="B19" s="55"/>
      <c r="C19" s="55"/>
      <c r="D19" s="55"/>
      <c r="E19" s="55"/>
      <c r="F19" s="56"/>
      <c r="G19" s="79"/>
      <c r="H19" s="79"/>
      <c r="I19" s="79"/>
      <c r="J19" s="79"/>
      <c r="K19" s="55"/>
      <c r="L19" s="55"/>
      <c r="S19" s="48"/>
      <c r="T19" s="48"/>
      <c r="U19" s="48"/>
      <c r="V19" s="48"/>
      <c r="W19"/>
      <c r="X19"/>
      <c r="AA19" s="28" t="str">
        <f>[8]Export!D5</f>
        <v>Oil Price (2015$/bbl)</v>
      </c>
      <c r="AH19" s="30"/>
      <c r="AI19" s="30"/>
    </row>
    <row r="20" spans="1:36" ht="15" x14ac:dyDescent="0.25">
      <c r="A20" s="80"/>
      <c r="C20" s="81"/>
      <c r="F20" s="82"/>
      <c r="G20"/>
      <c r="H20"/>
      <c r="I20" s="30" t="s">
        <v>259</v>
      </c>
      <c r="J20" s="30" t="s">
        <v>259</v>
      </c>
      <c r="L20" s="83"/>
      <c r="O20" s="84"/>
      <c r="P20" s="84"/>
      <c r="Q20" s="84"/>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80" t="s">
        <v>260</v>
      </c>
      <c r="B21" s="85" t="s">
        <v>261</v>
      </c>
      <c r="F21" s="86">
        <f t="shared" ref="F21:L21" si="6">F15*F16</f>
        <v>1009.9568395886228</v>
      </c>
      <c r="G21" s="87">
        <f t="shared" si="6"/>
        <v>1009.9568395886228</v>
      </c>
      <c r="H21" s="87">
        <f t="shared" si="6"/>
        <v>849.04010375317364</v>
      </c>
      <c r="I21" s="87">
        <f t="shared" si="6"/>
        <v>607.66499999999996</v>
      </c>
      <c r="J21" s="87">
        <f t="shared" si="6"/>
        <v>691.06999999999994</v>
      </c>
      <c r="K21" s="87">
        <f t="shared" si="6"/>
        <v>663.2683333333332</v>
      </c>
      <c r="L21" s="88">
        <f t="shared" si="6"/>
        <v>599.72166666666658</v>
      </c>
      <c r="O21" s="84"/>
      <c r="P21" s="84"/>
      <c r="Q21" s="84"/>
      <c r="R21"/>
      <c r="S21"/>
      <c r="T21"/>
      <c r="U21"/>
      <c r="V21"/>
      <c r="W21"/>
      <c r="X21"/>
      <c r="Z21" s="89">
        <f>[8]Export!C7</f>
        <v>0.05</v>
      </c>
      <c r="AA21" s="84">
        <f>[8]Export!D7</f>
        <v>84.76347793442072</v>
      </c>
      <c r="AB21" s="84">
        <f>[8]Export!E7</f>
        <v>51</v>
      </c>
      <c r="AC21" s="84">
        <f>[8]Export!F7</f>
        <v>73.317017874156548</v>
      </c>
      <c r="AD21" s="84">
        <f>[8]Export!G7</f>
        <v>98.605353881111654</v>
      </c>
      <c r="AE21" s="84">
        <f>[8]Export!H7</f>
        <v>107.66021241145609</v>
      </c>
      <c r="AH21" s="30"/>
      <c r="AI21" s="30"/>
    </row>
    <row r="22" spans="1:36" ht="15" x14ac:dyDescent="0.25">
      <c r="A22" s="60" t="s">
        <v>205</v>
      </c>
      <c r="B22" s="62" t="s">
        <v>262</v>
      </c>
      <c r="C22" s="62"/>
      <c r="D22"/>
      <c r="E22" s="30" t="str">
        <f>VLOOKUP(A22,FuelNames,2,FALSE)</f>
        <v>OCR</v>
      </c>
      <c r="F22" s="86">
        <f>F21*'Liq Fuel Prices'!$V$7</f>
        <v>166.9851769718156</v>
      </c>
      <c r="G22" s="87">
        <f>G21*'Liq Fuel Prices'!$V$7</f>
        <v>166.9851769718156</v>
      </c>
      <c r="H22" s="87">
        <f>H21*'Liq Fuel Prices'!$V$7</f>
        <v>140.37937704262814</v>
      </c>
      <c r="I22" s="87">
        <f>I21*'Liq Fuel Prices'!$V$7</f>
        <v>100.47067714884695</v>
      </c>
      <c r="J22" s="87">
        <f>J21*'Liq Fuel Prices'!$V$7</f>
        <v>114.26077009084555</v>
      </c>
      <c r="K22" s="87">
        <f>K21*'Liq Fuel Prices'!$V$7</f>
        <v>109.66407244351267</v>
      </c>
      <c r="L22" s="88">
        <f>L21*'Liq Fuel Prices'!$V$7</f>
        <v>99.157334963894698</v>
      </c>
      <c r="N22"/>
      <c r="O22" s="84"/>
      <c r="P22" s="84"/>
      <c r="Q22" s="84"/>
      <c r="R22"/>
      <c r="S22"/>
      <c r="T22"/>
      <c r="U22"/>
      <c r="V22"/>
      <c r="W22"/>
      <c r="X22"/>
      <c r="Z22" s="89">
        <f>[8]Export!C8</f>
        <v>0.25</v>
      </c>
      <c r="AA22" s="84">
        <f>[8]Export!D8</f>
        <v>84.76347793442072</v>
      </c>
      <c r="AB22" s="84">
        <f>[8]Export!E8</f>
        <v>51</v>
      </c>
      <c r="AC22" s="84">
        <f>[8]Export!F8</f>
        <v>75.881960716452127</v>
      </c>
      <c r="AD22" s="84">
        <f>[8]Export!G8</f>
        <v>103.77027513658234</v>
      </c>
      <c r="AE22" s="84">
        <f>[8]Export!H8</f>
        <v>116.71930911569734</v>
      </c>
      <c r="AH22" s="30"/>
      <c r="AI22" s="30"/>
    </row>
    <row r="23" spans="1:36" ht="14.65" customHeight="1" x14ac:dyDescent="0.25">
      <c r="A23" s="90" t="s">
        <v>263</v>
      </c>
      <c r="B23" s="41"/>
      <c r="C23" s="91"/>
      <c r="D23" s="91"/>
      <c r="F23" s="92"/>
      <c r="G23" s="93"/>
      <c r="H23" s="93"/>
      <c r="I23" s="93"/>
      <c r="J23" s="93"/>
      <c r="K23" s="93"/>
      <c r="L23" s="94"/>
      <c r="O23" s="84"/>
      <c r="P23" s="84"/>
      <c r="Q23" s="84"/>
      <c r="R23"/>
      <c r="S23"/>
      <c r="T23"/>
      <c r="U23"/>
      <c r="V23"/>
      <c r="W23"/>
      <c r="X23"/>
      <c r="Y23"/>
      <c r="Z23" s="89">
        <f>[8]Export!C9</f>
        <v>0.5</v>
      </c>
      <c r="AA23" s="84">
        <f>[8]Export!D9</f>
        <v>84.76347793442072</v>
      </c>
      <c r="AB23" s="84">
        <f>[8]Export!E9</f>
        <v>51</v>
      </c>
      <c r="AC23" s="84">
        <f>[8]Export!F9</f>
        <v>78.619821053733901</v>
      </c>
      <c r="AD23" s="84">
        <f>[8]Export!G9</f>
        <v>107.433752652908</v>
      </c>
      <c r="AE23" s="84">
        <f>[8]Export!H9</f>
        <v>125.49232908190987</v>
      </c>
      <c r="AH23" s="30"/>
      <c r="AI23" s="30"/>
    </row>
    <row r="24" spans="1:36" ht="15" x14ac:dyDescent="0.25">
      <c r="A24" s="60" t="s">
        <v>207</v>
      </c>
      <c r="B24" s="62" t="s">
        <v>262</v>
      </c>
      <c r="C24" s="91"/>
      <c r="D24" s="91"/>
      <c r="E24" s="30" t="str">
        <f>VLOOKUP(A24,FuelNames,2,FALSE)</f>
        <v>ODS</v>
      </c>
      <c r="F24" s="86">
        <f>F21*'Liq Fuel Prices'!$X$7+'Liq Fuel Prices'!$X$8</f>
        <v>201.2610667459243</v>
      </c>
      <c r="G24" s="87">
        <f>G21*'Liq Fuel Prices'!$X$7+'Liq Fuel Prices'!$X$8</f>
        <v>201.2610667459243</v>
      </c>
      <c r="H24" s="87">
        <f>H21*'Liq Fuel Prices'!$X$7+'Liq Fuel Prices'!$X$8</f>
        <v>168.9185358336494</v>
      </c>
      <c r="I24" s="87">
        <f>(I21*'Liq Fuel Prices'!$X$7)+('Liq Fuel Prices'!$X$8*1.3)</f>
        <v>119.88592507685335</v>
      </c>
      <c r="J24" s="87">
        <f>J21*'Liq Fuel Prices'!$X$7+'Liq Fuel Prices'!$X$8</f>
        <v>137.16824623619675</v>
      </c>
      <c r="K24" s="87">
        <f>K21*'Liq Fuel Prices'!$X$7+'Liq Fuel Prices'!$X$8</f>
        <v>131.58041064587684</v>
      </c>
      <c r="L24" s="88">
        <f>L21*'Liq Fuel Prices'!$X$7+'Liq Fuel Prices'!$X$8</f>
        <v>118.80821501085993</v>
      </c>
      <c r="N24"/>
      <c r="O24" s="84"/>
      <c r="P24" s="84"/>
      <c r="Q24" s="84"/>
      <c r="Y24" s="26"/>
      <c r="Z24" s="89">
        <f>[8]Export!C10</f>
        <v>0.75</v>
      </c>
      <c r="AA24" s="84">
        <f>[8]Export!D10</f>
        <v>84.76347793442072</v>
      </c>
      <c r="AB24" s="84">
        <f>[8]Export!E10</f>
        <v>51</v>
      </c>
      <c r="AC24" s="84">
        <f>[8]Export!F10</f>
        <v>81.098305148536369</v>
      </c>
      <c r="AD24" s="84">
        <f>[8]Export!G10</f>
        <v>114.76296804497092</v>
      </c>
      <c r="AE24" s="84">
        <f>[8]Export!H10</f>
        <v>132.35817079459795</v>
      </c>
      <c r="AH24" s="30"/>
      <c r="AI24" s="30"/>
    </row>
    <row r="25" spans="1:36" ht="15" x14ac:dyDescent="0.25">
      <c r="A25" s="60" t="s">
        <v>213</v>
      </c>
      <c r="B25" s="62" t="s">
        <v>262</v>
      </c>
      <c r="C25" s="91"/>
      <c r="D25" s="91"/>
      <c r="E25" s="30" t="str">
        <f>VLOOKUP(A25,FuelNames,2,FALSE)</f>
        <v>OKE</v>
      </c>
      <c r="F25" s="86">
        <f>F21*'Liq Fuel Prices'!$Y$7+'Liq Fuel Prices'!$Y$8</f>
        <v>208.85766933112501</v>
      </c>
      <c r="G25" s="87">
        <f>G21*'Liq Fuel Prices'!$Y$7+'Liq Fuel Prices'!$Y$8</f>
        <v>208.85766933112501</v>
      </c>
      <c r="H25" s="87">
        <f>H21*'Liq Fuel Prices'!$Y$7+'Liq Fuel Prices'!$Y$8</f>
        <v>177.62067879320267</v>
      </c>
      <c r="I25" s="87">
        <f>I21*'Liq Fuel Prices'!$Y$7+'Liq Fuel Prices'!$Y$8</f>
        <v>130.76519298631914</v>
      </c>
      <c r="J25" s="87">
        <f>J21*'Liq Fuel Prices'!$Y$7+'Liq Fuel Prices'!$Y$8</f>
        <v>146.95568543130369</v>
      </c>
      <c r="K25" s="87">
        <f>K21*'Liq Fuel Prices'!$Y$7+'Liq Fuel Prices'!$Y$8</f>
        <v>141.55885461630882</v>
      </c>
      <c r="L25" s="88">
        <f>L21*'Liq Fuel Prices'!$Y$7+'Liq Fuel Prices'!$Y$8</f>
        <v>129.22324132489203</v>
      </c>
      <c r="N25"/>
      <c r="O25" s="87"/>
      <c r="Z25" s="89">
        <f>[8]Export!C11</f>
        <v>0.95</v>
      </c>
      <c r="AA25" s="84">
        <f>[8]Export!D11</f>
        <v>84.76347793442072</v>
      </c>
      <c r="AB25" s="84">
        <f>[8]Export!E11</f>
        <v>51</v>
      </c>
      <c r="AC25" s="84">
        <f>[8]Export!F11</f>
        <v>84.210820058288292</v>
      </c>
      <c r="AD25" s="84">
        <f>[8]Export!G11</f>
        <v>126.81972514636294</v>
      </c>
      <c r="AE25" s="84">
        <f>[8]Export!H11</f>
        <v>141.25833597771214</v>
      </c>
      <c r="AH25" s="30"/>
      <c r="AI25" s="30"/>
    </row>
    <row r="26" spans="1:36" ht="15" x14ac:dyDescent="0.25">
      <c r="A26" s="60" t="s">
        <v>209</v>
      </c>
      <c r="B26" s="62" t="s">
        <v>262</v>
      </c>
      <c r="C26" s="91"/>
      <c r="D26" s="91"/>
      <c r="E26" s="30" t="str">
        <f>VLOOKUP(A26,FuelNames,2,FALSE)</f>
        <v>OGS</v>
      </c>
      <c r="F26" s="86">
        <f>F21*'Liq Fuel Prices'!$W$7+'Liq Fuel Prices'!$W$8</f>
        <v>209.42526535752322</v>
      </c>
      <c r="G26" s="87">
        <f>G21*'Liq Fuel Prices'!$W$7+'Liq Fuel Prices'!$W$8</f>
        <v>209.42526535752322</v>
      </c>
      <c r="H26" s="87">
        <f>H21*'Liq Fuel Prices'!$W$7+'Liq Fuel Prices'!$W$8</f>
        <v>176.89791488762791</v>
      </c>
      <c r="I26" s="87">
        <f>I21*'Liq Fuel Prices'!$W$7+'Liq Fuel Prices'!$W$8*1.3</f>
        <v>129.68934115889218</v>
      </c>
      <c r="J26" s="87">
        <f>J21*'Liq Fuel Prices'!$W$7+'Liq Fuel Prices'!$W$8</f>
        <v>144.96619006194166</v>
      </c>
      <c r="K26" s="87">
        <f>K21*'Liq Fuel Prices'!$W$7+'Liq Fuel Prices'!$W$8</f>
        <v>139.34642310222276</v>
      </c>
      <c r="L26" s="88">
        <f>L21*'Liq Fuel Prices'!$W$7+'Liq Fuel Prices'!$W$8</f>
        <v>126.50124148000812</v>
      </c>
      <c r="N26"/>
      <c r="O26" s="87"/>
      <c r="Z26" s="89"/>
      <c r="AA26" s="28" t="str">
        <f>[8]Export!D12</f>
        <v>LNG (2015$/MMBTU)</v>
      </c>
      <c r="AH26" s="30"/>
      <c r="AI26" s="30"/>
    </row>
    <row r="27" spans="1:36" ht="15.75" thickBot="1" x14ac:dyDescent="0.3">
      <c r="A27" s="60" t="s">
        <v>215</v>
      </c>
      <c r="B27" s="62" t="s">
        <v>262</v>
      </c>
      <c r="C27" s="91"/>
      <c r="D27" s="91"/>
      <c r="E27" s="30" t="str">
        <f>VLOOKUP(A27,FuelNames,2,FALSE)</f>
        <v>OLP</v>
      </c>
      <c r="F27" s="86">
        <f>F21*'Liq Fuel Prices'!$Z$7+'Liq Fuel Prices'!$Z$8</f>
        <v>346.68482921917371</v>
      </c>
      <c r="G27" s="87">
        <f>G21*'Liq Fuel Prices'!$Z$7+'Liq Fuel Prices'!$Z$8</f>
        <v>346.68482921917371</v>
      </c>
      <c r="H27" s="87">
        <f>H21*'Liq Fuel Prices'!$Z$7+'Liq Fuel Prices'!$Z$8</f>
        <v>319.65503107552286</v>
      </c>
      <c r="I27" s="87">
        <f>I21*'Liq Fuel Prices'!$Z$7+'Liq Fuel Prices'!$Z$8</f>
        <v>279.11033386004658</v>
      </c>
      <c r="J27" s="87">
        <f>J21*'Liq Fuel Prices'!$Z$7+'Liq Fuel Prices'!$Z$8</f>
        <v>293.12018996647748</v>
      </c>
      <c r="K27" s="87">
        <f>K21*'Liq Fuel Prices'!$Z$7+'Liq Fuel Prices'!$Z$8</f>
        <v>288.45023793100052</v>
      </c>
      <c r="L27" s="88">
        <f>L21*'Liq Fuel Prices'!$Z$7+'Liq Fuel Prices'!$Z$8</f>
        <v>277.77606184991026</v>
      </c>
      <c r="N27"/>
      <c r="O27" s="28" t="s">
        <v>264</v>
      </c>
      <c r="Z27" s="8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60" t="s">
        <v>211</v>
      </c>
      <c r="B28" s="62" t="s">
        <v>262</v>
      </c>
      <c r="C28" s="91"/>
      <c r="D28" s="91"/>
      <c r="E28" s="30" t="str">
        <f>VLOOKUP(A28,FuelNames,2,FALSE)</f>
        <v>OHF</v>
      </c>
      <c r="F28" s="86">
        <f t="shared" ref="F28:L28" si="7">F22</f>
        <v>166.9851769718156</v>
      </c>
      <c r="G28" s="87">
        <f t="shared" si="7"/>
        <v>166.9851769718156</v>
      </c>
      <c r="H28" s="87">
        <f t="shared" si="7"/>
        <v>140.37937704262814</v>
      </c>
      <c r="I28" s="87">
        <f t="shared" si="7"/>
        <v>100.47067714884695</v>
      </c>
      <c r="J28" s="87">
        <f t="shared" si="7"/>
        <v>114.26077009084555</v>
      </c>
      <c r="K28" s="87">
        <f t="shared" si="7"/>
        <v>109.66407244351267</v>
      </c>
      <c r="L28" s="88">
        <f t="shared" si="7"/>
        <v>99.157334963894698</v>
      </c>
      <c r="N28"/>
      <c r="O28" s="95"/>
      <c r="P28" s="96" t="s">
        <v>265</v>
      </c>
      <c r="Q28" s="97"/>
      <c r="S28" s="98" t="s">
        <v>266</v>
      </c>
      <c r="T28" s="99"/>
      <c r="U28" s="97"/>
      <c r="V28" s="96" t="s">
        <v>267</v>
      </c>
      <c r="W28" s="97"/>
      <c r="Z28" s="89">
        <f>[8]Export!C14</f>
        <v>0.05</v>
      </c>
      <c r="AA28" s="84">
        <f>[8]Export!D14</f>
        <v>8.1503344167712228</v>
      </c>
      <c r="AB28" s="84">
        <f>[8]Export!E14</f>
        <v>8.1503344167712228</v>
      </c>
      <c r="AC28" s="84">
        <f>[8]Export!F14</f>
        <v>8.3428147519412956</v>
      </c>
      <c r="AD28" s="84">
        <f>[8]Export!G14</f>
        <v>9.8008280757574973</v>
      </c>
      <c r="AE28" s="84">
        <f>[8]Export!H14</f>
        <v>10.64026158109483</v>
      </c>
      <c r="AF28" s="100">
        <f t="shared" ref="AF28:AJ32" si="8">AA28/AA21</f>
        <v>9.6153846153846145E-2</v>
      </c>
      <c r="AG28" s="100">
        <f t="shared" si="8"/>
        <v>0.15981047876022006</v>
      </c>
      <c r="AH28" s="100">
        <f t="shared" si="8"/>
        <v>0.11379097232597682</v>
      </c>
      <c r="AI28" s="100">
        <f t="shared" si="8"/>
        <v>9.9394482043787827E-2</v>
      </c>
      <c r="AJ28" s="100">
        <f t="shared" si="8"/>
        <v>9.883188359716262E-2</v>
      </c>
    </row>
    <row r="29" spans="1:36" ht="15.75" thickBot="1" x14ac:dyDescent="0.3">
      <c r="A29" s="90" t="s">
        <v>268</v>
      </c>
      <c r="B29"/>
      <c r="C29" s="62"/>
      <c r="D29"/>
      <c r="E29" s="30"/>
      <c r="F29" s="86"/>
      <c r="G29" s="87"/>
      <c r="H29" s="87"/>
      <c r="I29" s="87"/>
      <c r="J29" s="87"/>
      <c r="K29" s="87"/>
      <c r="L29" s="88"/>
      <c r="N29"/>
      <c r="O29" s="101" t="s">
        <v>259</v>
      </c>
      <c r="P29" s="102" t="s">
        <v>269</v>
      </c>
      <c r="Q29" s="103" t="s">
        <v>270</v>
      </c>
      <c r="R29" s="103" t="s">
        <v>271</v>
      </c>
      <c r="S29" s="103" t="s">
        <v>272</v>
      </c>
      <c r="T29" s="103" t="s">
        <v>273</v>
      </c>
      <c r="U29" s="103" t="s">
        <v>274</v>
      </c>
      <c r="V29" s="103" t="s">
        <v>273</v>
      </c>
      <c r="W29" s="103" t="s">
        <v>274</v>
      </c>
      <c r="Z29" s="89">
        <f>[8]Export!C15</f>
        <v>0.25</v>
      </c>
      <c r="AA29" s="84">
        <f>[8]Export!D15</f>
        <v>8.1503344167712228</v>
      </c>
      <c r="AB29" s="84">
        <f>[8]Export!E15</f>
        <v>8.1503344167712228</v>
      </c>
      <c r="AC29" s="84">
        <f>[8]Export!F15</f>
        <v>8.6297778388377875</v>
      </c>
      <c r="AD29" s="84">
        <f>[8]Export!G15</f>
        <v>10.297404179962657</v>
      </c>
      <c r="AE29" s="84">
        <f>[8]Export!H15</f>
        <v>11.434919186730026</v>
      </c>
      <c r="AF29" s="100">
        <f t="shared" si="8"/>
        <v>9.6153846153846145E-2</v>
      </c>
      <c r="AG29" s="100">
        <f t="shared" si="8"/>
        <v>0.15981047876022006</v>
      </c>
      <c r="AH29" s="100">
        <f t="shared" si="8"/>
        <v>0.1137263423000448</v>
      </c>
      <c r="AI29" s="100">
        <f t="shared" si="8"/>
        <v>9.9232696130074072E-2</v>
      </c>
      <c r="AJ29" s="100">
        <f t="shared" si="8"/>
        <v>9.7969387185073448E-2</v>
      </c>
    </row>
    <row r="30" spans="1:36" ht="15.75" thickBot="1" x14ac:dyDescent="0.3">
      <c r="A30" s="60" t="str">
        <f>A24</f>
        <v>Oil Diesel</v>
      </c>
      <c r="B30" t="s">
        <v>262</v>
      </c>
      <c r="C30" s="62"/>
      <c r="D30"/>
      <c r="E30" s="30" t="str">
        <f>"xxx"&amp;E24</f>
        <v>xxxODS</v>
      </c>
      <c r="F30" s="86">
        <f>F24*'Liq Fuel Prices'!$X$15+'Liq Fuel Prices'!$X$16</f>
        <v>300.21200665175047</v>
      </c>
      <c r="G30" s="87">
        <f>G24*'Liq Fuel Prices'!$X$15+'Liq Fuel Prices'!$X$16</f>
        <v>300.21200665175047</v>
      </c>
      <c r="H30" s="87">
        <f>H24*'Liq Fuel Prices'!$X$15+'Liq Fuel Prices'!$X$16</f>
        <v>259.55738408163097</v>
      </c>
      <c r="I30" s="87">
        <f>I24*'Liq Fuel Prices'!$X$15+'Liq Fuel Prices'!$X$16</f>
        <v>197.92329955831448</v>
      </c>
      <c r="J30" s="87">
        <f>J24*'Liq Fuel Prices'!$X$15+'Liq Fuel Prices'!$X$16</f>
        <v>219.64720996515396</v>
      </c>
      <c r="K30" s="87">
        <f>K24*'Liq Fuel Prices'!$X$15+'Liq Fuel Prices'!$X$16</f>
        <v>212.62329005225317</v>
      </c>
      <c r="L30" s="88">
        <f>L24*'Liq Fuel Prices'!$X$15+'Liq Fuel Prices'!$X$16</f>
        <v>196.56861596562283</v>
      </c>
      <c r="N30"/>
      <c r="O30" s="101" t="s">
        <v>275</v>
      </c>
      <c r="P30" s="104" t="s">
        <v>276</v>
      </c>
      <c r="Q30" s="105" t="s">
        <v>277</v>
      </c>
      <c r="R30" s="105" t="s">
        <v>278</v>
      </c>
      <c r="S30" s="105" t="s">
        <v>279</v>
      </c>
      <c r="T30" s="105" t="s">
        <v>280</v>
      </c>
      <c r="U30" s="105" t="s">
        <v>280</v>
      </c>
      <c r="V30" s="105" t="s">
        <v>281</v>
      </c>
      <c r="W30" s="105" t="s">
        <v>281</v>
      </c>
      <c r="Z30" s="89">
        <f>[8]Export!C16</f>
        <v>0.5</v>
      </c>
      <c r="AA30" s="84">
        <f>[8]Export!D16</f>
        <v>8.1503344167712228</v>
      </c>
      <c r="AB30" s="84">
        <f>[8]Export!E16</f>
        <v>8.1503344167712228</v>
      </c>
      <c r="AC30" s="84">
        <f>[8]Export!F16</f>
        <v>9.0140661065885528</v>
      </c>
      <c r="AD30" s="84">
        <f>[8]Export!G16</f>
        <v>10.959143415150999</v>
      </c>
      <c r="AE30" s="84">
        <f>[8]Export!H16</f>
        <v>12.559665336244453</v>
      </c>
      <c r="AF30" s="100">
        <f t="shared" si="8"/>
        <v>9.6153846153846145E-2</v>
      </c>
      <c r="AG30" s="100">
        <f t="shared" si="8"/>
        <v>0.15981047876022006</v>
      </c>
      <c r="AH30" s="100">
        <f t="shared" si="8"/>
        <v>0.11465386191133345</v>
      </c>
      <c r="AI30" s="100">
        <f t="shared" si="8"/>
        <v>0.10200838325509576</v>
      </c>
      <c r="AJ30" s="100">
        <f t="shared" si="8"/>
        <v>0.10008313199802561</v>
      </c>
    </row>
    <row r="31" spans="1:36" ht="15.75" thickBot="1" x14ac:dyDescent="0.3">
      <c r="A31" s="60" t="str">
        <f>A25</f>
        <v>Oil Kerosene</v>
      </c>
      <c r="B31" t="s">
        <v>262</v>
      </c>
      <c r="C31" s="62"/>
      <c r="D31"/>
      <c r="E31" s="30" t="str">
        <f>"xxx"&amp;E25</f>
        <v>xxxOKE</v>
      </c>
      <c r="F31" s="86">
        <f>F25*'Liq Fuel Prices'!$Y$15+'Liq Fuel Prices'!$Y$16</f>
        <v>238.00739908716335</v>
      </c>
      <c r="G31" s="87">
        <f>G25*'Liq Fuel Prices'!$Y$15+'Liq Fuel Prices'!$Y$16</f>
        <v>238.00739908716335</v>
      </c>
      <c r="H31" s="87">
        <f>H25*'Liq Fuel Prices'!$Y$15+'Liq Fuel Prices'!$Y$16</f>
        <v>204.6166705919847</v>
      </c>
      <c r="I31" s="87">
        <f>I25*'Liq Fuel Prices'!$Y$15+'Liq Fuel Prices'!$Y$16</f>
        <v>154.53057784921668</v>
      </c>
      <c r="J31" s="87">
        <f>J25*'Liq Fuel Prices'!$Y$15+'Liq Fuel Prices'!$Y$16</f>
        <v>171.83737751602217</v>
      </c>
      <c r="K31" s="87">
        <f>K25*'Liq Fuel Prices'!$Y$15+'Liq Fuel Prices'!$Y$16</f>
        <v>166.06844429375366</v>
      </c>
      <c r="L31" s="88">
        <f>L25*'Liq Fuel Prices'!$Y$15+'Liq Fuel Prices'!$Y$16</f>
        <v>152.88231121428282</v>
      </c>
      <c r="N31"/>
      <c r="O31" s="101" t="s">
        <v>282</v>
      </c>
      <c r="P31" s="104" t="s">
        <v>283</v>
      </c>
      <c r="Q31" s="105" t="s">
        <v>283</v>
      </c>
      <c r="R31" s="105" t="s">
        <v>283</v>
      </c>
      <c r="S31" s="105" t="s">
        <v>283</v>
      </c>
      <c r="T31" s="105" t="s">
        <v>284</v>
      </c>
      <c r="U31" s="105" t="s">
        <v>284</v>
      </c>
      <c r="V31" s="105" t="s">
        <v>285</v>
      </c>
      <c r="W31" s="105" t="s">
        <v>285</v>
      </c>
      <c r="Z31" s="89">
        <f>[8]Export!C17</f>
        <v>0.75</v>
      </c>
      <c r="AA31" s="84">
        <f>[8]Export!D17</f>
        <v>8.1503344167712228</v>
      </c>
      <c r="AB31" s="84">
        <f>[8]Export!E17</f>
        <v>8.1503344167712228</v>
      </c>
      <c r="AC31" s="84">
        <f>[8]Export!F17</f>
        <v>9.7554918405642095</v>
      </c>
      <c r="AD31" s="84">
        <f>[8]Export!G17</f>
        <v>11.953450254270349</v>
      </c>
      <c r="AE31" s="84">
        <f>[8]Export!H17</f>
        <v>14.283461065391567</v>
      </c>
      <c r="AF31" s="100">
        <f t="shared" si="8"/>
        <v>9.6153846153846145E-2</v>
      </c>
      <c r="AG31" s="100">
        <f t="shared" si="8"/>
        <v>0.15981047876022006</v>
      </c>
      <c r="AH31" s="100">
        <f t="shared" si="8"/>
        <v>0.1202921790128221</v>
      </c>
      <c r="AI31" s="100">
        <f t="shared" si="8"/>
        <v>0.104157730127599</v>
      </c>
      <c r="AJ31" s="100">
        <f t="shared" si="8"/>
        <v>0.10791521958668931</v>
      </c>
    </row>
    <row r="32" spans="1:36" ht="15.75" thickBot="1" x14ac:dyDescent="0.3">
      <c r="A32" s="60" t="str">
        <f>A26</f>
        <v>Oil Gasoline</v>
      </c>
      <c r="B32" t="s">
        <v>262</v>
      </c>
      <c r="C32" s="62"/>
      <c r="D32"/>
      <c r="E32" s="30" t="str">
        <f>"xxx"&amp;E26</f>
        <v>xxxOGS</v>
      </c>
      <c r="F32" s="86">
        <f>F26*'Liq Fuel Prices'!$W$15+'Liq Fuel Prices'!$W$16</f>
        <v>354.33196430085655</v>
      </c>
      <c r="G32" s="87">
        <f>G26*'Liq Fuel Prices'!$W$15+'Liq Fuel Prices'!$W$16</f>
        <v>354.33196430085655</v>
      </c>
      <c r="H32" s="87">
        <f>H26*'Liq Fuel Prices'!$W$15+'Liq Fuel Prices'!$W$16</f>
        <v>310.20615263731383</v>
      </c>
      <c r="I32" s="87">
        <f>I26*'Liq Fuel Prices'!$W$15+'Liq Fuel Prices'!$W$16</f>
        <v>246.1641509628576</v>
      </c>
      <c r="J32" s="87">
        <f>J26*'Liq Fuel Prices'!$W$15+'Liq Fuel Prices'!$W$16</f>
        <v>266.88835222026574</v>
      </c>
      <c r="K32" s="87">
        <f>K26*'Liq Fuel Prices'!$W$15+'Liq Fuel Prices'!$W$16</f>
        <v>259.26471319417715</v>
      </c>
      <c r="L32" s="88">
        <f>L26*'Liq Fuel Prices'!$W$15+'Liq Fuel Prices'!$W$16</f>
        <v>241.83925256311744</v>
      </c>
      <c r="N32"/>
      <c r="O32" s="101" t="s">
        <v>286</v>
      </c>
      <c r="P32" s="104" t="s">
        <v>287</v>
      </c>
      <c r="Q32" s="105" t="s">
        <v>288</v>
      </c>
      <c r="R32" s="105" t="s">
        <v>289</v>
      </c>
      <c r="S32" s="105" t="s">
        <v>279</v>
      </c>
      <c r="T32" s="105" t="s">
        <v>290</v>
      </c>
      <c r="U32" s="105" t="s">
        <v>291</v>
      </c>
      <c r="V32" s="105" t="s">
        <v>290</v>
      </c>
      <c r="W32" s="105" t="s">
        <v>291</v>
      </c>
      <c r="Z32" s="89">
        <f>[8]Export!C18</f>
        <v>0.95</v>
      </c>
      <c r="AA32" s="84">
        <f>[8]Export!D18</f>
        <v>8.1503344167712228</v>
      </c>
      <c r="AB32" s="84">
        <f>[8]Export!E18</f>
        <v>8.1503344167712228</v>
      </c>
      <c r="AC32" s="84">
        <f>[8]Export!F18</f>
        <v>10.091744074846128</v>
      </c>
      <c r="AD32" s="84">
        <f>[8]Export!G18</f>
        <v>12.855473233969482</v>
      </c>
      <c r="AE32" s="84">
        <f>[8]Export!H18</f>
        <v>15.974655456871597</v>
      </c>
      <c r="AF32" s="100">
        <f t="shared" si="8"/>
        <v>9.6153846153846145E-2</v>
      </c>
      <c r="AG32" s="100">
        <f t="shared" si="8"/>
        <v>0.15981047876022006</v>
      </c>
      <c r="AH32" s="100">
        <f t="shared" si="8"/>
        <v>0.11983904286718636</v>
      </c>
      <c r="AI32" s="100">
        <f t="shared" si="8"/>
        <v>0.10136808938146609</v>
      </c>
      <c r="AJ32" s="100">
        <f t="shared" si="8"/>
        <v>0.11308823190011308</v>
      </c>
    </row>
    <row r="33" spans="1:43" ht="15.75" thickBot="1" x14ac:dyDescent="0.3">
      <c r="A33" s="60" t="str">
        <f>A27</f>
        <v>Oil LPG</v>
      </c>
      <c r="B33" t="s">
        <v>262</v>
      </c>
      <c r="C33" s="62"/>
      <c r="D33"/>
      <c r="E33" s="30" t="str">
        <f>"xxx"&amp;E27</f>
        <v>xxxOLP</v>
      </c>
      <c r="F33" s="86">
        <f>F27*'Liq Fuel Prices'!$Z$15+'Liq Fuel Prices'!$Z$16</f>
        <v>504.61367751283024</v>
      </c>
      <c r="G33" s="87">
        <f>G27*'Liq Fuel Prices'!$Z$15+'Liq Fuel Prices'!$Z$16</f>
        <v>504.61367751283024</v>
      </c>
      <c r="H33" s="87">
        <f>H27*'Liq Fuel Prices'!$Z$15+'Liq Fuel Prices'!$Z$16</f>
        <v>469.19128934406911</v>
      </c>
      <c r="I33" s="87">
        <f>I27*'Liq Fuel Prices'!$Z$15+'Liq Fuel Prices'!$Z$16</f>
        <v>416.05770709092741</v>
      </c>
      <c r="J33" s="87">
        <f>J27*'Liq Fuel Prices'!$Z$15+'Liq Fuel Prices'!$Z$16</f>
        <v>434.41753939722429</v>
      </c>
      <c r="K33" s="87">
        <f>K27*'Liq Fuel Prices'!$Z$15+'Liq Fuel Prices'!$Z$16</f>
        <v>428.29759529512529</v>
      </c>
      <c r="L33" s="88">
        <f>L27*'Liq Fuel Prices'!$Z$15+'Liq Fuel Prices'!$Z$16</f>
        <v>414.3091516331848</v>
      </c>
      <c r="N33"/>
      <c r="O33" s="101" t="s">
        <v>292</v>
      </c>
      <c r="P33" s="104" t="s">
        <v>293</v>
      </c>
      <c r="Q33" s="105" t="s">
        <v>294</v>
      </c>
      <c r="R33" s="105" t="s">
        <v>295</v>
      </c>
      <c r="S33" s="105" t="s">
        <v>296</v>
      </c>
      <c r="T33" s="105" t="s">
        <v>297</v>
      </c>
      <c r="U33" s="105" t="s">
        <v>298</v>
      </c>
      <c r="V33" s="105" t="s">
        <v>299</v>
      </c>
      <c r="W33" s="105" t="s">
        <v>300</v>
      </c>
      <c r="Z33" s="89"/>
      <c r="AA33" s="28" t="str">
        <f>[8]Export!D19</f>
        <v>Shale(2015$/MMBTU)</v>
      </c>
      <c r="AH33" s="30"/>
      <c r="AI33" s="30"/>
    </row>
    <row r="34" spans="1:43" ht="13.5" customHeight="1" thickBot="1" x14ac:dyDescent="0.3">
      <c r="A34" s="73" t="str">
        <f>A28</f>
        <v>Oil HFO</v>
      </c>
      <c r="B34" s="106" t="s">
        <v>262</v>
      </c>
      <c r="C34" s="107"/>
      <c r="D34" s="106"/>
      <c r="E34" s="76" t="str">
        <f>"xxx"&amp;E28</f>
        <v>xxxOHF</v>
      </c>
      <c r="F34" s="108">
        <f t="shared" ref="F34:L34" si="9">F22</f>
        <v>166.9851769718156</v>
      </c>
      <c r="G34" s="109">
        <f t="shared" si="9"/>
        <v>166.9851769718156</v>
      </c>
      <c r="H34" s="109">
        <f t="shared" si="9"/>
        <v>140.37937704262814</v>
      </c>
      <c r="I34" s="109">
        <f t="shared" si="9"/>
        <v>100.47067714884695</v>
      </c>
      <c r="J34" s="109">
        <f t="shared" si="9"/>
        <v>114.26077009084555</v>
      </c>
      <c r="K34" s="109">
        <f t="shared" si="9"/>
        <v>109.66407244351267</v>
      </c>
      <c r="L34" s="110">
        <f t="shared" si="9"/>
        <v>99.157334963894698</v>
      </c>
      <c r="O34"/>
      <c r="Q34"/>
      <c r="Z34" s="8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30"/>
      <c r="E35" s="111" t="s">
        <v>301</v>
      </c>
      <c r="O35" s="112" t="s">
        <v>302</v>
      </c>
      <c r="P35" s="112"/>
      <c r="Q35" s="112"/>
      <c r="R35" s="112"/>
      <c r="S35" s="112"/>
      <c r="T35" s="113"/>
      <c r="V35" s="114" t="s">
        <v>2</v>
      </c>
      <c r="Z35" s="89">
        <f>[8]Export!C21</f>
        <v>0.05</v>
      </c>
      <c r="AA35" s="84">
        <f>[8]Export!D21</f>
        <v>8.0869454986247469</v>
      </c>
      <c r="AB35" s="84">
        <f>[8]Export!E21</f>
        <v>6.7049296712283812</v>
      </c>
      <c r="AC35" s="84">
        <f>[8]Export!F21</f>
        <v>4.7692975220111435</v>
      </c>
      <c r="AD35" s="84">
        <f>[8]Export!G21</f>
        <v>4.9613919398112687</v>
      </c>
      <c r="AE35" s="84">
        <f>[8]Export!H21</f>
        <v>4.5057574706483354</v>
      </c>
      <c r="AF35" s="115">
        <f>AA35/AA21</f>
        <v>9.5406013246429139E-2</v>
      </c>
      <c r="AG35" s="115">
        <f t="shared" ref="AG35:AJ39" si="10">AB35/AB21</f>
        <v>0.13146920923977218</v>
      </c>
      <c r="AH35" s="115">
        <f t="shared" si="10"/>
        <v>6.5050347931462568E-2</v>
      </c>
      <c r="AI35" s="115">
        <f t="shared" si="10"/>
        <v>5.0315644582475838E-2</v>
      </c>
      <c r="AJ35" s="115">
        <f t="shared" si="10"/>
        <v>4.1851649460138717E-2</v>
      </c>
    </row>
    <row r="36" spans="1:43" ht="13.5" customHeight="1" x14ac:dyDescent="0.25">
      <c r="A36" s="29" t="s">
        <v>303</v>
      </c>
      <c r="C36" s="30"/>
      <c r="D36" s="30"/>
      <c r="E36" s="66" t="s">
        <v>304</v>
      </c>
      <c r="G36" s="30"/>
      <c r="H36" s="30"/>
      <c r="I36" s="30"/>
      <c r="J36" s="30"/>
      <c r="M36" s="28" t="s">
        <v>305</v>
      </c>
      <c r="O36" s="116" t="s">
        <v>306</v>
      </c>
      <c r="P36" s="55" t="s">
        <v>307</v>
      </c>
      <c r="Q36" s="55" t="s">
        <v>308</v>
      </c>
      <c r="R36" s="117" t="str">
        <f>M16</f>
        <v>WEO2020 Stated Policies</v>
      </c>
      <c r="S36" s="55" t="str">
        <f>M17</f>
        <v>WEO 2020 Sust. Dev.</v>
      </c>
      <c r="T36" s="55" t="str">
        <f>M18</f>
        <v>WEO 2020 Delayed Recovery</v>
      </c>
      <c r="U36" s="28" t="s">
        <v>304</v>
      </c>
      <c r="V36" s="118"/>
      <c r="Z36" s="89">
        <f>[8]Export!C22</f>
        <v>0.25</v>
      </c>
      <c r="AA36" s="84">
        <f>[8]Export!D22</f>
        <v>8.1465330338997113</v>
      </c>
      <c r="AB36" s="84">
        <f>[8]Export!E22</f>
        <v>8.2025938686525883</v>
      </c>
      <c r="AC36" s="84">
        <f>[8]Export!F22</f>
        <v>7.3517748968881653</v>
      </c>
      <c r="AD36" s="84">
        <f>[8]Export!G22</f>
        <v>8.120572408201209</v>
      </c>
      <c r="AE36" s="84">
        <f>[8]Export!H22</f>
        <v>7.4201738278995295</v>
      </c>
      <c r="AF36" s="115">
        <f>AA36/AA22</f>
        <v>9.6108999210750529E-2</v>
      </c>
      <c r="AG36" s="115">
        <f t="shared" si="10"/>
        <v>0.16083517389514879</v>
      </c>
      <c r="AH36" s="115">
        <f t="shared" si="10"/>
        <v>9.6884356011299161E-2</v>
      </c>
      <c r="AI36" s="115">
        <f t="shared" si="10"/>
        <v>7.8255284545722933E-2</v>
      </c>
      <c r="AJ36" s="115">
        <f t="shared" si="10"/>
        <v>6.3572804569502081E-2</v>
      </c>
    </row>
    <row r="37" spans="1:43" ht="13.5" customHeight="1" x14ac:dyDescent="0.25">
      <c r="A37" s="119" t="str">
        <f>NameConv!B24</f>
        <v>Gas Indigenous Ibhubezi</v>
      </c>
      <c r="C37" s="30"/>
      <c r="D37" s="30" t="str">
        <f>B65</f>
        <v>MINGIB</v>
      </c>
      <c r="E37" s="30" t="str">
        <f>VLOOKUP(A37,FuelNames,2,FALSE)</f>
        <v>GIB</v>
      </c>
      <c r="F37" s="120">
        <f t="shared" ref="F37:F42" si="11">SUMIF($O$36:$U$36,$E$36,O37:U37)</f>
        <v>0.10454194041570421</v>
      </c>
      <c r="G37" s="46">
        <f t="shared" ref="G37:I42" si="12">($F37*G$16+$V37)*G$15/1.055</f>
        <v>100.07852866986421</v>
      </c>
      <c r="H37" s="46">
        <f t="shared" si="12"/>
        <v>84.132985722376887</v>
      </c>
      <c r="I37" s="46">
        <f t="shared" si="12"/>
        <v>60.21467130114587</v>
      </c>
      <c r="J37" s="46">
        <f t="shared" ref="J37:L42" si="13">IF($M37,($F37*J$16+$V37)*J$15/1.055,I37)</f>
        <v>68.479430107185507</v>
      </c>
      <c r="K37" s="46">
        <f t="shared" si="13"/>
        <v>65.72451050517229</v>
      </c>
      <c r="L37" s="46">
        <f t="shared" si="13"/>
        <v>59.427551414856381</v>
      </c>
      <c r="M37" s="121">
        <v>1</v>
      </c>
      <c r="O37" s="122">
        <v>7.0000000000000007E-2</v>
      </c>
      <c r="P37" s="100">
        <f>(O37+Q37)/2</f>
        <v>9.5000000000000001E-2</v>
      </c>
      <c r="Q37" s="123">
        <v>0.12</v>
      </c>
      <c r="R37" s="124">
        <f t="shared" ref="R37:T40" si="14">$U37</f>
        <v>0.10454194041570421</v>
      </c>
      <c r="S37" s="124">
        <f t="shared" si="14"/>
        <v>0.10454194041570421</v>
      </c>
      <c r="T37" s="124">
        <f t="shared" si="14"/>
        <v>0.10454194041570421</v>
      </c>
      <c r="U37" s="100">
        <f>$U$41-1%</f>
        <v>0.10454194041570421</v>
      </c>
      <c r="V37" s="118"/>
      <c r="Z37" s="89">
        <f>[8]Export!C23</f>
        <v>0.5</v>
      </c>
      <c r="AA37" s="84">
        <f>[8]Export!D23</f>
        <v>8.1881379396328526</v>
      </c>
      <c r="AB37" s="84">
        <f>[8]Export!E23</f>
        <v>9.39276444788484</v>
      </c>
      <c r="AC37" s="84">
        <f>[8]Export!F23</f>
        <v>10.773557760174372</v>
      </c>
      <c r="AD37" s="84">
        <f>[8]Export!G23</f>
        <v>10.8172157152895</v>
      </c>
      <c r="AE37" s="84">
        <f>[8]Export!H23</f>
        <v>10.88496798036755</v>
      </c>
      <c r="AF37" s="115">
        <f>AA37/AA23</f>
        <v>9.659983449437741E-2</v>
      </c>
      <c r="AG37" s="115">
        <f t="shared" si="10"/>
        <v>0.1841718519193106</v>
      </c>
      <c r="AH37" s="115">
        <f t="shared" si="10"/>
        <v>0.13703360826541466</v>
      </c>
      <c r="AI37" s="100">
        <f t="shared" si="10"/>
        <v>0.10068731146567374</v>
      </c>
      <c r="AJ37" s="115">
        <f t="shared" si="10"/>
        <v>8.673811427360506E-2</v>
      </c>
    </row>
    <row r="38" spans="1:43" ht="13.5" customHeight="1" x14ac:dyDescent="0.25">
      <c r="A38" t="s">
        <v>309</v>
      </c>
      <c r="C38" s="30"/>
      <c r="D38" s="30" t="str">
        <f>B66</f>
        <v>MINGAS</v>
      </c>
      <c r="E38" s="30" t="s">
        <v>172</v>
      </c>
      <c r="F38" s="120">
        <f t="shared" si="11"/>
        <v>9.4541940415704198E-2</v>
      </c>
      <c r="G38" s="46">
        <f t="shared" si="12"/>
        <v>90.505478057649768</v>
      </c>
      <c r="H38" s="46">
        <f t="shared" si="12"/>
        <v>76.085212227086132</v>
      </c>
      <c r="I38" s="46">
        <f t="shared" si="12"/>
        <v>54.454813481240663</v>
      </c>
      <c r="J38" s="46">
        <f t="shared" si="13"/>
        <v>54.454813481240663</v>
      </c>
      <c r="K38" s="46">
        <f t="shared" si="13"/>
        <v>54.454813481240663</v>
      </c>
      <c r="L38" s="46">
        <f t="shared" si="13"/>
        <v>54.454813481240663</v>
      </c>
      <c r="M38" s="121">
        <v>0</v>
      </c>
      <c r="O38" s="122">
        <v>7.0000000000000007E-2</v>
      </c>
      <c r="P38" s="100">
        <f>(O38+Q38)/2</f>
        <v>8.5000000000000006E-2</v>
      </c>
      <c r="Q38" s="125">
        <v>0.1</v>
      </c>
      <c r="R38" s="124">
        <f t="shared" si="14"/>
        <v>9.4541940415704198E-2</v>
      </c>
      <c r="S38" s="124">
        <f t="shared" si="14"/>
        <v>9.4541940415704198E-2</v>
      </c>
      <c r="T38" s="124">
        <f t="shared" si="14"/>
        <v>9.4541940415704198E-2</v>
      </c>
      <c r="U38" s="100">
        <f>U41-2%</f>
        <v>9.4541940415704198E-2</v>
      </c>
      <c r="V38" s="118"/>
      <c r="Z38" s="89">
        <f>[8]Export!C24</f>
        <v>0.75</v>
      </c>
      <c r="AA38" s="84">
        <f>[8]Export!D24</f>
        <v>8.2301326312875958</v>
      </c>
      <c r="AB38" s="84">
        <f>[8]Export!E24</f>
        <v>10.507400823250775</v>
      </c>
      <c r="AC38" s="84">
        <f>[8]Export!F24</f>
        <v>14.3817212159371</v>
      </c>
      <c r="AD38" s="84">
        <f>[8]Export!G24</f>
        <v>13.406527739419724</v>
      </c>
      <c r="AE38" s="84">
        <f>[8]Export!H24</f>
        <v>13.997003925763375</v>
      </c>
      <c r="AF38" s="115">
        <f>AA38/AA24</f>
        <v>9.7095268290607814E-2</v>
      </c>
      <c r="AG38" s="115">
        <f t="shared" si="10"/>
        <v>0.2060274671225642</v>
      </c>
      <c r="AH38" s="115">
        <f t="shared" si="10"/>
        <v>0.17733688995837979</v>
      </c>
      <c r="AI38" s="115">
        <f t="shared" si="10"/>
        <v>0.11681928384917907</v>
      </c>
      <c r="AJ38" s="115">
        <f t="shared" si="10"/>
        <v>0.10575096226952878</v>
      </c>
    </row>
    <row r="39" spans="1:43" ht="13.5" customHeight="1" x14ac:dyDescent="0.25">
      <c r="A39" t="str">
        <f>NameConv!B25</f>
        <v>Gas Indigenous Shale</v>
      </c>
      <c r="C39" s="30"/>
      <c r="D39" s="30" t="str">
        <f>B67</f>
        <v>MINGIH</v>
      </c>
      <c r="E39" s="30" t="str">
        <f>VLOOKUP(A39,FuelNames,2,FALSE)</f>
        <v>GIH</v>
      </c>
      <c r="F39" s="120">
        <f t="shared" si="11"/>
        <v>0.10068731146567374</v>
      </c>
      <c r="G39" s="46">
        <f t="shared" si="12"/>
        <v>96.38847286686935</v>
      </c>
      <c r="H39" s="46">
        <f t="shared" si="12"/>
        <v>81.030867652553312</v>
      </c>
      <c r="I39" s="46">
        <f t="shared" si="12"/>
        <v>57.994459831079268</v>
      </c>
      <c r="J39" s="46">
        <f t="shared" si="13"/>
        <v>57.994459831079268</v>
      </c>
      <c r="K39" s="46">
        <f t="shared" si="13"/>
        <v>57.994459831079268</v>
      </c>
      <c r="L39" s="46">
        <f t="shared" si="13"/>
        <v>57.994459831079268</v>
      </c>
      <c r="M39" s="121">
        <v>0</v>
      </c>
      <c r="O39" s="122">
        <v>0.06</v>
      </c>
      <c r="P39" s="100">
        <f>(O39+Q39)/2</f>
        <v>0.08</v>
      </c>
      <c r="Q39" s="125">
        <v>0.1</v>
      </c>
      <c r="R39" s="124">
        <f t="shared" si="14"/>
        <v>0.10068731146567374</v>
      </c>
      <c r="S39" s="124">
        <f t="shared" si="14"/>
        <v>0.10068731146567374</v>
      </c>
      <c r="T39" s="124">
        <f t="shared" si="14"/>
        <v>0.10068731146567374</v>
      </c>
      <c r="U39" s="126">
        <f>AI37</f>
        <v>0.10068731146567374</v>
      </c>
      <c r="V39" s="118"/>
      <c r="Z39" s="89">
        <f>[8]Export!C25</f>
        <v>0.95</v>
      </c>
      <c r="AA39" s="84">
        <f>[8]Export!D25</f>
        <v>8.2818014980867112</v>
      </c>
      <c r="AB39" s="84">
        <f>[8]Export!E25</f>
        <v>12.017743499367629</v>
      </c>
      <c r="AC39" s="84">
        <f>[8]Export!F25</f>
        <v>16.91401912191181</v>
      </c>
      <c r="AD39" s="84">
        <f>[8]Export!G25</f>
        <v>16.545164815873392</v>
      </c>
      <c r="AE39" s="84">
        <f>[8]Export!H25</f>
        <v>16.813949721541967</v>
      </c>
      <c r="AF39" s="115">
        <f>AA39/AA25</f>
        <v>9.770483349555481E-2</v>
      </c>
      <c r="AG39" s="115">
        <f t="shared" si="10"/>
        <v>0.23564202939936529</v>
      </c>
      <c r="AH39" s="115">
        <f t="shared" si="10"/>
        <v>0.20085327645787579</v>
      </c>
      <c r="AI39" s="115">
        <f t="shared" si="10"/>
        <v>0.13046207754179073</v>
      </c>
      <c r="AJ39" s="115">
        <f t="shared" si="10"/>
        <v>0.11902978755317412</v>
      </c>
    </row>
    <row r="40" spans="1:43" ht="13.5" customHeight="1" x14ac:dyDescent="0.25">
      <c r="A40" s="127" t="str">
        <f>NameConv!B23</f>
        <v>Gas Northern Mozambique</v>
      </c>
      <c r="D40" s="28" t="str">
        <f>B93</f>
        <v>MIRGRM</v>
      </c>
      <c r="E40" s="30" t="str">
        <f>VLOOKUP(A40,FuelNames,2,FALSE)</f>
        <v>GRM</v>
      </c>
      <c r="F40" s="120">
        <f t="shared" si="11"/>
        <v>0.10454194041570421</v>
      </c>
      <c r="G40" s="46">
        <f t="shared" si="12"/>
        <v>100.07852866986421</v>
      </c>
      <c r="H40" s="46">
        <f t="shared" si="12"/>
        <v>84.132985722376887</v>
      </c>
      <c r="I40" s="46">
        <f t="shared" si="12"/>
        <v>60.21467130114587</v>
      </c>
      <c r="J40" s="46">
        <f t="shared" si="13"/>
        <v>60.21467130114587</v>
      </c>
      <c r="K40" s="46">
        <f t="shared" si="13"/>
        <v>60.21467130114587</v>
      </c>
      <c r="L40" s="46">
        <f t="shared" si="13"/>
        <v>60.21467130114587</v>
      </c>
      <c r="M40" s="121">
        <v>0</v>
      </c>
      <c r="O40" s="122">
        <v>0.03</v>
      </c>
      <c r="P40" s="100">
        <f>(O40+Q40)/2</f>
        <v>5.5E-2</v>
      </c>
      <c r="Q40" s="125">
        <v>0.08</v>
      </c>
      <c r="R40" s="124">
        <f t="shared" si="14"/>
        <v>0.10454194041570421</v>
      </c>
      <c r="S40" s="124">
        <f t="shared" si="14"/>
        <v>0.10454194041570421</v>
      </c>
      <c r="T40" s="124">
        <f t="shared" si="14"/>
        <v>0.10454194041570421</v>
      </c>
      <c r="U40" s="100">
        <f>$U$41-1%</f>
        <v>0.10454194041570421</v>
      </c>
      <c r="V40" s="118"/>
    </row>
    <row r="41" spans="1:43" ht="13.5" customHeight="1" x14ac:dyDescent="0.25">
      <c r="A41" t="str">
        <f>NameConv!B21</f>
        <v>Gas Regional LNG</v>
      </c>
      <c r="C41" s="30"/>
      <c r="D41" s="30" t="str">
        <f>B79</f>
        <v>IMPGRL</v>
      </c>
      <c r="E41" s="30" t="str">
        <f>VLOOKUP(A41,FuelNames,2,FALSE)</f>
        <v>GRL</v>
      </c>
      <c r="F41" s="120">
        <f t="shared" si="11"/>
        <v>0.1145419404157042</v>
      </c>
      <c r="G41" s="46">
        <f t="shared" si="12"/>
        <v>114.16911482710232</v>
      </c>
      <c r="H41" s="46">
        <f t="shared" si="12"/>
        <v>96.698294762691319</v>
      </c>
      <c r="I41" s="46">
        <f t="shared" si="12"/>
        <v>70.492064666074782</v>
      </c>
      <c r="J41" s="46">
        <f t="shared" si="13"/>
        <v>79.547392192493575</v>
      </c>
      <c r="K41" s="46">
        <f t="shared" si="13"/>
        <v>76.528949683687301</v>
      </c>
      <c r="L41" s="46">
        <f t="shared" si="13"/>
        <v>69.629652520701569</v>
      </c>
      <c r="M41" s="121">
        <v>1</v>
      </c>
      <c r="O41" s="122">
        <v>0.1</v>
      </c>
      <c r="P41" s="128">
        <f>R41</f>
        <v>0.10723528636931384</v>
      </c>
      <c r="Q41" s="125">
        <v>0.16</v>
      </c>
      <c r="R41" s="124">
        <f>AVERAGE(AH56:AO56)</f>
        <v>0.10723528636931384</v>
      </c>
      <c r="S41" s="129">
        <f>AVERAGE(AJ54:AQ54)</f>
        <v>0.10368370003853078</v>
      </c>
      <c r="T41" s="129">
        <f>AVERAGE(AJ55:AQ55)</f>
        <v>0.11244045140941189</v>
      </c>
      <c r="U41" s="126">
        <f>AVERAGE(AF30:AJ30)</f>
        <v>0.1145419404157042</v>
      </c>
      <c r="V41" s="130">
        <f>'Gas Price'!D11</f>
        <v>0.4</v>
      </c>
    </row>
    <row r="42" spans="1:43" ht="13.5" customHeight="1" thickBot="1" x14ac:dyDescent="0.3">
      <c r="A42" t="str">
        <f>NameConv!B22</f>
        <v>Gas International LNG</v>
      </c>
      <c r="C42" s="30"/>
      <c r="D42" s="30" t="str">
        <f>B80</f>
        <v>IMPGWL</v>
      </c>
      <c r="E42" s="30" t="str">
        <f>VLOOKUP(A42,FuelNames,2,FALSE)</f>
        <v>GWL</v>
      </c>
      <c r="F42" s="120">
        <f t="shared" si="11"/>
        <v>0.1145419404157042</v>
      </c>
      <c r="G42" s="46">
        <f t="shared" si="12"/>
        <v>118.68665037212602</v>
      </c>
      <c r="H42" s="46">
        <f t="shared" si="12"/>
        <v>101.21583030771501</v>
      </c>
      <c r="I42" s="46">
        <f t="shared" si="12"/>
        <v>75.009600211098473</v>
      </c>
      <c r="J42" s="46">
        <f t="shared" si="13"/>
        <v>84.064927737517252</v>
      </c>
      <c r="K42" s="46">
        <f t="shared" si="13"/>
        <v>81.046485228710992</v>
      </c>
      <c r="L42" s="46">
        <f t="shared" si="13"/>
        <v>74.147188065725246</v>
      </c>
      <c r="M42" s="121">
        <v>1</v>
      </c>
      <c r="O42" s="131">
        <f>O41</f>
        <v>0.1</v>
      </c>
      <c r="P42" s="132">
        <f>R42</f>
        <v>0.10723528636931384</v>
      </c>
      <c r="Q42" s="133">
        <v>0.16</v>
      </c>
      <c r="R42" s="134">
        <f>R41</f>
        <v>0.10723528636931384</v>
      </c>
      <c r="S42" s="135">
        <f>S41</f>
        <v>0.10368370003853078</v>
      </c>
      <c r="T42" s="135">
        <f>T41</f>
        <v>0.11244045140941189</v>
      </c>
      <c r="U42" s="126">
        <f>U41</f>
        <v>0.1145419404157042</v>
      </c>
      <c r="V42" s="136">
        <f>'Gas Price'!D12</f>
        <v>0.8</v>
      </c>
      <c r="Z42" s="28" t="s">
        <v>310</v>
      </c>
    </row>
    <row r="43" spans="1:43" ht="13.5" customHeight="1" x14ac:dyDescent="0.25">
      <c r="C43" s="30"/>
      <c r="D43" s="30"/>
      <c r="E43" s="30"/>
      <c r="F43" s="30"/>
      <c r="G43" s="30"/>
      <c r="H43" s="30"/>
      <c r="I43" s="30"/>
      <c r="J43" s="137"/>
      <c r="K43" s="137"/>
      <c r="L43" s="137"/>
      <c r="N43"/>
      <c r="Y43" s="138"/>
      <c r="Z43" s="139"/>
      <c r="AA43" s="139" t="s">
        <v>311</v>
      </c>
      <c r="AB43" s="139">
        <v>2010</v>
      </c>
      <c r="AC43" s="139">
        <v>2020</v>
      </c>
      <c r="AD43" s="139">
        <v>2025</v>
      </c>
      <c r="AE43" s="139">
        <v>2030</v>
      </c>
      <c r="AF43" s="139">
        <v>2035</v>
      </c>
      <c r="AG43" s="139">
        <v>2040</v>
      </c>
      <c r="AH43" s="139">
        <v>2045</v>
      </c>
      <c r="AI43" s="139">
        <v>2050</v>
      </c>
      <c r="AJ43" s="28">
        <f>AB43</f>
        <v>2010</v>
      </c>
      <c r="AK43" s="28">
        <f t="shared" ref="AK43:AQ43" si="15">AC43</f>
        <v>2020</v>
      </c>
      <c r="AL43" s="28">
        <f t="shared" si="15"/>
        <v>2025</v>
      </c>
      <c r="AM43" s="28">
        <f t="shared" si="15"/>
        <v>2030</v>
      </c>
      <c r="AN43" s="28">
        <f t="shared" si="15"/>
        <v>2035</v>
      </c>
      <c r="AO43" s="28">
        <f t="shared" si="15"/>
        <v>2040</v>
      </c>
      <c r="AP43" s="28">
        <f t="shared" si="15"/>
        <v>2045</v>
      </c>
      <c r="AQ43" s="28">
        <f t="shared" si="15"/>
        <v>2050</v>
      </c>
    </row>
    <row r="44" spans="1:43" ht="13.5" customHeight="1" x14ac:dyDescent="0.25">
      <c r="C44" s="30"/>
      <c r="D44" s="30"/>
      <c r="E44" s="30"/>
      <c r="F44" s="30"/>
      <c r="G44" s="30"/>
      <c r="H44" s="30"/>
      <c r="I44" s="30"/>
      <c r="J44" s="137"/>
      <c r="K44" s="137"/>
      <c r="L44" s="137"/>
      <c r="N44"/>
      <c r="Y44" s="140" t="s">
        <v>312</v>
      </c>
      <c r="AA44" s="24" t="s">
        <v>313</v>
      </c>
      <c r="AB44" s="141">
        <v>78</v>
      </c>
      <c r="AC44" s="141">
        <v>118</v>
      </c>
      <c r="AD44" s="141">
        <v>127</v>
      </c>
      <c r="AE44" s="141">
        <v>134</v>
      </c>
      <c r="AF44" s="141">
        <v>140</v>
      </c>
      <c r="AG44" s="141">
        <v>143</v>
      </c>
      <c r="AH44" s="141">
        <v>146</v>
      </c>
      <c r="AI44" s="141">
        <v>149</v>
      </c>
    </row>
    <row r="45" spans="1:43" ht="15" x14ac:dyDescent="0.25">
      <c r="A45" s="142" t="s">
        <v>314</v>
      </c>
      <c r="B45" s="143" t="s">
        <v>315</v>
      </c>
      <c r="C45" s="144"/>
      <c r="D45" s="145" t="s">
        <v>316</v>
      </c>
      <c r="E45" s="146"/>
      <c r="F45" s="146"/>
      <c r="G45" s="146"/>
      <c r="H45" s="146"/>
      <c r="I45" s="146"/>
      <c r="N45"/>
      <c r="P45"/>
      <c r="Y45"/>
      <c r="Z45" s="139" t="s">
        <v>317</v>
      </c>
      <c r="AA45" s="139" t="s">
        <v>318</v>
      </c>
      <c r="AB45" s="147">
        <v>78</v>
      </c>
      <c r="AC45" s="147">
        <v>97</v>
      </c>
      <c r="AD45" s="147">
        <v>97</v>
      </c>
      <c r="AE45" s="147">
        <v>97</v>
      </c>
      <c r="AF45" s="147">
        <v>97</v>
      </c>
      <c r="AG45" s="147">
        <v>92</v>
      </c>
      <c r="AH45" s="147">
        <v>89</v>
      </c>
      <c r="AI45" s="147">
        <v>87</v>
      </c>
    </row>
    <row r="46" spans="1:43" ht="15" x14ac:dyDescent="0.25">
      <c r="A46" s="148" t="s">
        <v>240</v>
      </c>
      <c r="B46" s="30" t="s">
        <v>319</v>
      </c>
      <c r="C46" s="46" t="s">
        <v>320</v>
      </c>
      <c r="D46" s="46" t="s">
        <v>321</v>
      </c>
      <c r="E46" s="46" t="s">
        <v>322</v>
      </c>
      <c r="F46" s="46" t="s">
        <v>323</v>
      </c>
      <c r="G46" s="46"/>
      <c r="H46" s="46"/>
      <c r="I46" s="46"/>
      <c r="K46" s="53"/>
      <c r="L46" s="53"/>
      <c r="M46" s="39"/>
      <c r="N46"/>
      <c r="P46"/>
      <c r="Y46" s="140" t="s">
        <v>324</v>
      </c>
      <c r="AA46" s="24" t="s">
        <v>313</v>
      </c>
      <c r="AB46" s="141">
        <v>99</v>
      </c>
      <c r="AC46" s="141">
        <v>109</v>
      </c>
      <c r="AD46" s="141">
        <v>113</v>
      </c>
      <c r="AE46" s="141">
        <v>116</v>
      </c>
      <c r="AF46" s="141">
        <v>118</v>
      </c>
      <c r="AG46" s="141">
        <v>121</v>
      </c>
      <c r="AH46" s="141">
        <v>123</v>
      </c>
      <c r="AI46" s="141">
        <v>126</v>
      </c>
    </row>
    <row r="47" spans="1:43" ht="15" x14ac:dyDescent="0.25">
      <c r="A47" s="28" t="s">
        <v>242</v>
      </c>
      <c r="B47" s="30" t="s">
        <v>325</v>
      </c>
      <c r="C47" s="46"/>
      <c r="D47" s="46"/>
      <c r="E47" s="46"/>
      <c r="F47" s="46"/>
      <c r="G47" s="46"/>
      <c r="H47" s="53"/>
      <c r="I47" s="53"/>
      <c r="K47" s="53"/>
      <c r="L47" s="53"/>
      <c r="M47" s="39"/>
      <c r="N47"/>
      <c r="P47"/>
      <c r="Y47"/>
      <c r="Z47" s="139" t="s">
        <v>326</v>
      </c>
      <c r="AA47" s="139" t="s">
        <v>318</v>
      </c>
      <c r="AB47" s="147">
        <v>99</v>
      </c>
      <c r="AC47" s="147">
        <v>93</v>
      </c>
      <c r="AD47" s="147">
        <v>83</v>
      </c>
      <c r="AE47" s="147">
        <v>74</v>
      </c>
      <c r="AF47" s="147">
        <v>68</v>
      </c>
      <c r="AG47" s="147">
        <v>64</v>
      </c>
      <c r="AH47" s="147">
        <v>62</v>
      </c>
      <c r="AI47" s="147">
        <v>60</v>
      </c>
    </row>
    <row r="48" spans="1:43" ht="15" x14ac:dyDescent="0.25">
      <c r="A48" s="28" t="s">
        <v>243</v>
      </c>
      <c r="B48" s="30" t="s">
        <v>327</v>
      </c>
      <c r="C48" s="46"/>
      <c r="D48" s="46"/>
      <c r="E48" s="46"/>
      <c r="F48" s="46"/>
      <c r="G48" s="46"/>
      <c r="H48" s="53"/>
      <c r="I48" s="53"/>
      <c r="K48" s="53"/>
      <c r="L48" s="53"/>
      <c r="M48" s="39"/>
      <c r="N48"/>
      <c r="P48"/>
      <c r="Y48" s="139" t="s">
        <v>328</v>
      </c>
      <c r="Z48"/>
      <c r="AA48" s="24" t="s">
        <v>313</v>
      </c>
      <c r="AB48" s="141">
        <v>4</v>
      </c>
      <c r="AC48" s="141">
        <v>7</v>
      </c>
      <c r="AD48" s="141">
        <v>8</v>
      </c>
      <c r="AE48" s="141">
        <v>8</v>
      </c>
      <c r="AF48" s="141">
        <v>9</v>
      </c>
      <c r="AG48" s="141">
        <v>9</v>
      </c>
      <c r="AH48" s="141">
        <v>9</v>
      </c>
      <c r="AI48" s="141">
        <v>10</v>
      </c>
    </row>
    <row r="49" spans="1:53" ht="15" x14ac:dyDescent="0.25">
      <c r="A49" s="28" t="s">
        <v>329</v>
      </c>
      <c r="B49" s="30" t="s">
        <v>330</v>
      </c>
      <c r="C49" s="46"/>
      <c r="D49" s="46"/>
      <c r="E49" s="46"/>
      <c r="F49" s="46"/>
      <c r="G49" s="46"/>
      <c r="H49" s="53"/>
      <c r="I49" s="53"/>
      <c r="K49" s="53"/>
      <c r="L49" s="53"/>
      <c r="M49" s="39"/>
      <c r="N49"/>
      <c r="P49"/>
      <c r="Y49"/>
      <c r="Z49" s="139" t="s">
        <v>331</v>
      </c>
      <c r="AA49" s="139" t="s">
        <v>318</v>
      </c>
      <c r="AB49" s="147">
        <v>4</v>
      </c>
      <c r="AC49" s="147">
        <v>7</v>
      </c>
      <c r="AD49" s="147">
        <v>8</v>
      </c>
      <c r="AE49" s="147">
        <v>8</v>
      </c>
      <c r="AF49" s="147">
        <v>8</v>
      </c>
      <c r="AG49" s="147">
        <v>7</v>
      </c>
      <c r="AH49" s="147">
        <v>7</v>
      </c>
      <c r="AI49" s="147">
        <v>7</v>
      </c>
    </row>
    <row r="50" spans="1:53" ht="15" x14ac:dyDescent="0.25">
      <c r="A50" s="142" t="s">
        <v>332</v>
      </c>
      <c r="B50" s="143" t="s">
        <v>315</v>
      </c>
      <c r="C50" s="46"/>
      <c r="D50" s="46"/>
      <c r="E50" s="46"/>
      <c r="F50" s="46"/>
      <c r="G50" s="46"/>
      <c r="H50" s="53"/>
      <c r="I50" s="53"/>
      <c r="K50" s="53"/>
      <c r="L50" s="53"/>
      <c r="M50" s="39"/>
      <c r="N50" s="39"/>
      <c r="Y50" s="139" t="s">
        <v>333</v>
      </c>
      <c r="Z50"/>
      <c r="AA50" s="24" t="s">
        <v>313</v>
      </c>
      <c r="AB50" s="141">
        <v>7</v>
      </c>
      <c r="AC50" s="141">
        <v>11</v>
      </c>
      <c r="AD50" s="141">
        <v>12</v>
      </c>
      <c r="AE50" s="141">
        <v>13</v>
      </c>
      <c r="AF50" s="141">
        <v>13</v>
      </c>
      <c r="AG50" s="141">
        <v>13</v>
      </c>
      <c r="AH50" s="141">
        <v>14</v>
      </c>
      <c r="AI50" s="141">
        <v>14</v>
      </c>
    </row>
    <row r="51" spans="1:53" ht="15" x14ac:dyDescent="0.25">
      <c r="A51" s="29" t="s">
        <v>334</v>
      </c>
      <c r="B51" s="30" t="s">
        <v>170</v>
      </c>
      <c r="C51" s="46"/>
      <c r="D51" s="46"/>
      <c r="E51" s="46"/>
      <c r="F51" s="46"/>
      <c r="G51" s="46"/>
      <c r="H51" s="53"/>
      <c r="I51" s="53"/>
      <c r="K51" s="53"/>
      <c r="L51" s="53"/>
      <c r="M51" s="39"/>
      <c r="N51" s="39"/>
      <c r="W51" t="s">
        <v>335</v>
      </c>
      <c r="X51">
        <v>0.5</v>
      </c>
      <c r="Z51" s="139" t="s">
        <v>331</v>
      </c>
      <c r="AA51" s="139" t="s">
        <v>318</v>
      </c>
      <c r="AB51" s="147">
        <v>7</v>
      </c>
      <c r="AC51" s="147">
        <v>10</v>
      </c>
      <c r="AD51" s="147">
        <v>10</v>
      </c>
      <c r="AE51" s="147">
        <v>10</v>
      </c>
      <c r="AF51" s="147">
        <v>9</v>
      </c>
      <c r="AG51" s="147">
        <v>9</v>
      </c>
      <c r="AH51" s="147">
        <v>9</v>
      </c>
      <c r="AI51" s="147">
        <v>8</v>
      </c>
    </row>
    <row r="52" spans="1:53" ht="15" x14ac:dyDescent="0.2">
      <c r="A52" s="29" t="s">
        <v>336</v>
      </c>
      <c r="B52" s="30" t="s">
        <v>168</v>
      </c>
      <c r="C52" s="46"/>
      <c r="D52" s="46"/>
      <c r="E52" s="46" t="s">
        <v>337</v>
      </c>
      <c r="F52" s="46"/>
      <c r="G52" s="46"/>
      <c r="H52" s="53"/>
      <c r="I52" s="53"/>
      <c r="K52" s="53"/>
      <c r="L52" s="53"/>
      <c r="M52" s="39"/>
      <c r="N52" s="39"/>
      <c r="Y52" s="139" t="s">
        <v>338</v>
      </c>
      <c r="AA52" s="24" t="s">
        <v>313</v>
      </c>
      <c r="AB52" s="141">
        <v>11</v>
      </c>
      <c r="AC52" s="141">
        <v>14</v>
      </c>
      <c r="AD52" s="141">
        <v>14</v>
      </c>
      <c r="AE52" s="141">
        <v>15</v>
      </c>
      <c r="AF52" s="141">
        <v>15</v>
      </c>
      <c r="AG52" s="141">
        <v>15</v>
      </c>
      <c r="AH52" s="141">
        <v>16</v>
      </c>
      <c r="AI52" s="141">
        <v>16</v>
      </c>
    </row>
    <row r="53" spans="1:53" ht="15.75" thickBot="1" x14ac:dyDescent="0.3">
      <c r="A53" s="149"/>
      <c r="B53" s="150"/>
      <c r="C53" s="150"/>
      <c r="D53" s="151" t="s">
        <v>339</v>
      </c>
      <c r="E53" s="152">
        <f>F15</f>
        <v>11.914999999999999</v>
      </c>
      <c r="F53" s="46"/>
      <c r="G53" s="150"/>
      <c r="H53" s="150"/>
      <c r="I53" s="150"/>
      <c r="K53" s="150"/>
      <c r="L53" s="150"/>
      <c r="M53" s="39"/>
      <c r="N53" s="39"/>
      <c r="W53" t="str">
        <f>W51</f>
        <v>weighting</v>
      </c>
      <c r="X53">
        <v>0.5</v>
      </c>
      <c r="Z53" s="139" t="s">
        <v>331</v>
      </c>
      <c r="AA53" s="139" t="s">
        <v>318</v>
      </c>
      <c r="AB53" s="147">
        <v>11</v>
      </c>
      <c r="AC53" s="147">
        <v>12</v>
      </c>
      <c r="AD53" s="147">
        <v>12</v>
      </c>
      <c r="AE53" s="147">
        <v>12</v>
      </c>
      <c r="AF53" s="147">
        <v>12</v>
      </c>
      <c r="AG53" s="147">
        <v>12</v>
      </c>
      <c r="AH53" s="147">
        <v>11</v>
      </c>
      <c r="AI53" s="147">
        <v>11</v>
      </c>
    </row>
    <row r="54" spans="1:53" ht="15" x14ac:dyDescent="0.25">
      <c r="C54" s="40"/>
      <c r="D54" s="151" t="s">
        <v>340</v>
      </c>
      <c r="E54" s="153">
        <v>1</v>
      </c>
      <c r="H54" s="40"/>
      <c r="I54" s="40"/>
      <c r="J54" s="40"/>
      <c r="K54" s="39"/>
      <c r="Y54" t="s">
        <v>232</v>
      </c>
      <c r="AA54" s="154" t="str">
        <f>AA52</f>
        <v>6DS</v>
      </c>
      <c r="AB54">
        <f t="shared" ref="AB54:AI55" si="16">AB50*$X$51+AB52*$X$53</f>
        <v>9</v>
      </c>
      <c r="AC54">
        <f t="shared" si="16"/>
        <v>12.5</v>
      </c>
      <c r="AD54">
        <f t="shared" si="16"/>
        <v>13</v>
      </c>
      <c r="AE54">
        <f t="shared" si="16"/>
        <v>14</v>
      </c>
      <c r="AF54">
        <f t="shared" si="16"/>
        <v>14</v>
      </c>
      <c r="AG54">
        <f t="shared" si="16"/>
        <v>14</v>
      </c>
      <c r="AH54">
        <f t="shared" si="16"/>
        <v>15</v>
      </c>
      <c r="AI54">
        <f t="shared" si="16"/>
        <v>15</v>
      </c>
      <c r="AJ54" s="100">
        <f>AB54/AB44</f>
        <v>0.11538461538461539</v>
      </c>
      <c r="AK54" s="100">
        <f t="shared" ref="AK54:AQ55" si="17">AC54/AC44</f>
        <v>0.1059322033898305</v>
      </c>
      <c r="AL54" s="100">
        <f t="shared" si="17"/>
        <v>0.10236220472440945</v>
      </c>
      <c r="AM54" s="100">
        <f t="shared" si="17"/>
        <v>0.1044776119402985</v>
      </c>
      <c r="AN54" s="100">
        <f t="shared" si="17"/>
        <v>0.1</v>
      </c>
      <c r="AO54" s="100">
        <f t="shared" si="17"/>
        <v>9.7902097902097904E-2</v>
      </c>
      <c r="AP54" s="100">
        <f t="shared" si="17"/>
        <v>0.10273972602739725</v>
      </c>
      <c r="AQ54" s="100">
        <f t="shared" si="17"/>
        <v>0.10067114093959731</v>
      </c>
    </row>
    <row r="55" spans="1:53" ht="36" x14ac:dyDescent="0.25">
      <c r="A55" s="155" t="s">
        <v>341</v>
      </c>
      <c r="B55" s="310"/>
      <c r="C55" s="310"/>
      <c r="D55" s="310" t="s">
        <v>342</v>
      </c>
      <c r="E55" s="310"/>
      <c r="F55" s="310"/>
      <c r="G55" s="310"/>
      <c r="H55" s="310"/>
      <c r="I55" s="310"/>
      <c r="J55" s="310"/>
      <c r="K55" s="461"/>
      <c r="L55" s="310"/>
      <c r="M55" s="310"/>
      <c r="N55" s="310"/>
      <c r="O55" s="310"/>
      <c r="P55" s="310"/>
      <c r="Q55" s="310"/>
      <c r="R55" s="310"/>
      <c r="S55" s="310"/>
      <c r="T55" s="310"/>
      <c r="U55" s="310"/>
      <c r="V55" s="310"/>
      <c r="Y55"/>
      <c r="Z55" t="str">
        <f>Z53</f>
        <v>(2010 US$/Mbtu)</v>
      </c>
      <c r="AA55" s="154" t="str">
        <f>AA53</f>
        <v>2DS</v>
      </c>
      <c r="AB55">
        <f t="shared" si="16"/>
        <v>9</v>
      </c>
      <c r="AC55">
        <f t="shared" si="16"/>
        <v>11</v>
      </c>
      <c r="AD55">
        <f t="shared" si="16"/>
        <v>11</v>
      </c>
      <c r="AE55">
        <f t="shared" si="16"/>
        <v>11</v>
      </c>
      <c r="AF55">
        <f t="shared" si="16"/>
        <v>10.5</v>
      </c>
      <c r="AG55">
        <f t="shared" si="16"/>
        <v>10.5</v>
      </c>
      <c r="AH55">
        <f t="shared" si="16"/>
        <v>10</v>
      </c>
      <c r="AI55">
        <f t="shared" si="16"/>
        <v>9.5</v>
      </c>
      <c r="AJ55" s="100">
        <f>AB55/AB45</f>
        <v>0.11538461538461539</v>
      </c>
      <c r="AK55" s="100">
        <f t="shared" si="17"/>
        <v>0.1134020618556701</v>
      </c>
      <c r="AL55" s="100">
        <f t="shared" si="17"/>
        <v>0.1134020618556701</v>
      </c>
      <c r="AM55" s="100">
        <f t="shared" si="17"/>
        <v>0.1134020618556701</v>
      </c>
      <c r="AN55" s="100">
        <f t="shared" si="17"/>
        <v>0.10824742268041238</v>
      </c>
      <c r="AO55" s="100">
        <f t="shared" si="17"/>
        <v>0.11413043478260869</v>
      </c>
      <c r="AP55" s="100">
        <f t="shared" si="17"/>
        <v>0.11235955056179775</v>
      </c>
      <c r="AQ55" s="100">
        <f t="shared" si="17"/>
        <v>0.10919540229885058</v>
      </c>
      <c r="AR55" s="30"/>
    </row>
    <row r="56" spans="1:53" ht="26.25" customHeight="1" x14ac:dyDescent="0.25">
      <c r="A56" s="463" t="s">
        <v>343</v>
      </c>
      <c r="B56" s="461" t="s">
        <v>344</v>
      </c>
      <c r="C56" s="461" t="s">
        <v>345</v>
      </c>
      <c r="D56" s="461" t="s">
        <v>346</v>
      </c>
      <c r="E56" s="461" t="str">
        <f>"COST"&amp;$E$52&amp;E57</f>
        <v>COST~0</v>
      </c>
      <c r="F56" s="461" t="str">
        <f t="shared" ref="F56:I56" si="18">"COST"&amp;$E$52&amp;F57</f>
        <v>COST~2017</v>
      </c>
      <c r="G56" s="461" t="str">
        <f t="shared" si="18"/>
        <v>COST~2020</v>
      </c>
      <c r="H56" s="461" t="str">
        <f t="shared" si="18"/>
        <v>COST~2030</v>
      </c>
      <c r="I56" s="461" t="str">
        <f t="shared" si="18"/>
        <v>COST~2050</v>
      </c>
      <c r="J56" s="461" t="str">
        <f>"BNDACT~UP"&amp;$E$52&amp;J57</f>
        <v>BNDACT~UP~0</v>
      </c>
      <c r="K56" s="461" t="str">
        <f t="shared" ref="K56:O56" si="19">"BNDACT~UP"&amp;$E$52&amp;K57</f>
        <v>BNDACT~UP~2017</v>
      </c>
      <c r="L56" s="461" t="str">
        <f t="shared" si="19"/>
        <v>BNDACT~UP~2020</v>
      </c>
      <c r="M56" s="461" t="str">
        <f t="shared" si="19"/>
        <v>BNDACT~UP~2021</v>
      </c>
      <c r="N56" s="461" t="str">
        <f t="shared" si="19"/>
        <v>BNDACT~UP~2030</v>
      </c>
      <c r="O56" s="461" t="str">
        <f t="shared" si="19"/>
        <v>BNDACT~UP~2050</v>
      </c>
      <c r="P56" s="461" t="s">
        <v>347</v>
      </c>
      <c r="Q56" s="461" t="s">
        <v>348</v>
      </c>
      <c r="R56" s="462" t="s">
        <v>1187</v>
      </c>
      <c r="S56" s="462" t="s">
        <v>1188</v>
      </c>
      <c r="T56" s="157" t="s">
        <v>349</v>
      </c>
      <c r="U56" s="157" t="s">
        <v>350</v>
      </c>
      <c r="V56" s="157"/>
      <c r="W56" s="157"/>
      <c r="X56" s="157"/>
      <c r="Y56" s="157" t="s">
        <v>351</v>
      </c>
      <c r="Z56" s="157">
        <f t="shared" ref="Z56:AG56" si="20">AVERAGE(AB54:AB55)</f>
        <v>9</v>
      </c>
      <c r="AA56" s="157">
        <f t="shared" si="20"/>
        <v>11.75</v>
      </c>
      <c r="AB56" s="157">
        <f t="shared" si="20"/>
        <v>12</v>
      </c>
      <c r="AC56" s="157">
        <f t="shared" si="20"/>
        <v>12.5</v>
      </c>
      <c r="AD56" s="157">
        <f t="shared" si="20"/>
        <v>12.25</v>
      </c>
      <c r="AE56" s="157">
        <f t="shared" si="20"/>
        <v>12.25</v>
      </c>
      <c r="AF56" s="157">
        <f t="shared" si="20"/>
        <v>12.5</v>
      </c>
      <c r="AG56" s="157">
        <f t="shared" si="20"/>
        <v>12.25</v>
      </c>
      <c r="AH56" s="158">
        <f t="shared" ref="AH56:AO56" si="21">Z56/AVERAGE(AB44:AB45)</f>
        <v>0.11538461538461539</v>
      </c>
      <c r="AI56" s="158">
        <f t="shared" si="21"/>
        <v>0.10930232558139535</v>
      </c>
      <c r="AJ56" s="158">
        <f t="shared" si="21"/>
        <v>0.10714285714285714</v>
      </c>
      <c r="AK56" s="158">
        <f t="shared" si="21"/>
        <v>0.10822510822510822</v>
      </c>
      <c r="AL56" s="158">
        <f t="shared" si="21"/>
        <v>0.10337552742616034</v>
      </c>
      <c r="AM56" s="158">
        <f t="shared" si="21"/>
        <v>0.10425531914893617</v>
      </c>
      <c r="AN56" s="158">
        <f t="shared" si="21"/>
        <v>0.10638297872340426</v>
      </c>
      <c r="AO56" s="158">
        <f t="shared" si="21"/>
        <v>0.1038135593220339</v>
      </c>
      <c r="AP56" s="157"/>
      <c r="AR56" s="479"/>
      <c r="AS56" s="479"/>
      <c r="AT56" s="479"/>
      <c r="AU56" s="479"/>
      <c r="AV56" s="479"/>
      <c r="AW56" s="479"/>
      <c r="AX56" s="479"/>
    </row>
    <row r="57" spans="1:53" ht="25.5" x14ac:dyDescent="0.2">
      <c r="A57" s="159" t="s">
        <v>352</v>
      </c>
      <c r="B57" s="159" t="s">
        <v>353</v>
      </c>
      <c r="C57" s="159" t="s">
        <v>354</v>
      </c>
      <c r="D57" s="157" t="s">
        <v>355</v>
      </c>
      <c r="E57" s="157">
        <v>0</v>
      </c>
      <c r="F57" s="160">
        <v>2017</v>
      </c>
      <c r="G57" s="160">
        <v>2020</v>
      </c>
      <c r="H57" s="160">
        <v>2030</v>
      </c>
      <c r="I57" s="160">
        <v>2050</v>
      </c>
      <c r="J57" s="160">
        <v>0</v>
      </c>
      <c r="K57" s="160">
        <v>2017</v>
      </c>
      <c r="L57" s="160">
        <f>G57</f>
        <v>2020</v>
      </c>
      <c r="M57" s="160">
        <v>2021</v>
      </c>
      <c r="N57" s="160">
        <f>H57</f>
        <v>2030</v>
      </c>
      <c r="O57" s="160">
        <f>I57</f>
        <v>2050</v>
      </c>
      <c r="P57" s="160"/>
      <c r="Q57" s="160" t="s">
        <v>241</v>
      </c>
      <c r="T57" s="160"/>
      <c r="U57" s="160"/>
      <c r="V57" s="160"/>
      <c r="W57" s="160"/>
      <c r="X57" s="161"/>
      <c r="Y57" s="161"/>
      <c r="Z57" s="161"/>
      <c r="AA57" s="161"/>
      <c r="AB57" s="161"/>
      <c r="AC57" s="161"/>
      <c r="AD57" s="161"/>
      <c r="AE57" s="161"/>
      <c r="AF57" s="161"/>
      <c r="AG57" s="161"/>
      <c r="AH57" s="161"/>
      <c r="AI57" s="161"/>
      <c r="AJ57" s="161"/>
      <c r="AK57" s="161"/>
      <c r="AL57" s="161"/>
      <c r="AM57" s="161"/>
      <c r="AN57" s="161"/>
      <c r="AO57" s="161"/>
      <c r="AP57" s="161"/>
      <c r="AS57" s="480"/>
      <c r="AT57" s="479"/>
      <c r="AU57" s="479"/>
      <c r="AV57" s="479"/>
      <c r="AW57" s="479"/>
      <c r="AX57" s="479"/>
      <c r="AZ57" s="43"/>
      <c r="BA57" s="43"/>
    </row>
    <row r="58" spans="1:53" s="74" customFormat="1" ht="13.5" thickBot="1" x14ac:dyDescent="0.25">
      <c r="A58" s="74" t="s">
        <v>356</v>
      </c>
      <c r="B58" s="162"/>
      <c r="C58" s="162"/>
      <c r="D58" s="162"/>
      <c r="E58" s="162"/>
      <c r="F58" s="76"/>
      <c r="G58" s="76"/>
      <c r="H58" s="152"/>
      <c r="I58" s="152"/>
      <c r="J58" s="152"/>
      <c r="K58" s="163"/>
      <c r="L58" s="163"/>
      <c r="M58" s="163"/>
      <c r="N58" s="163"/>
      <c r="O58" s="163"/>
      <c r="P58" s="163"/>
      <c r="Q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S58" s="164"/>
      <c r="AT58" s="165"/>
      <c r="AU58" s="165"/>
      <c r="AV58" s="165"/>
      <c r="AW58" s="165"/>
      <c r="AX58" s="165"/>
      <c r="AY58" s="166"/>
      <c r="AZ58" s="166"/>
    </row>
    <row r="59" spans="1:53" x14ac:dyDescent="0.2">
      <c r="A59" s="167" t="s">
        <v>357</v>
      </c>
      <c r="B59" s="168"/>
      <c r="C59" s="169"/>
      <c r="D59" s="169"/>
      <c r="E59" s="169"/>
      <c r="F59" s="169"/>
      <c r="G59" s="169"/>
      <c r="H59" s="169"/>
      <c r="I59" s="169"/>
      <c r="J59" s="169"/>
      <c r="K59" s="169"/>
      <c r="L59" s="169"/>
      <c r="M59" s="169"/>
      <c r="N59" s="169"/>
      <c r="O59" s="169"/>
      <c r="P59" s="169"/>
      <c r="Q59" s="169"/>
      <c r="T59" s="169"/>
      <c r="U59" s="169"/>
      <c r="V59" s="169"/>
      <c r="W59" s="169"/>
      <c r="X59" s="169"/>
      <c r="Y59" s="169"/>
      <c r="Z59" s="169"/>
      <c r="AA59" s="169"/>
      <c r="AB59" s="169"/>
      <c r="AC59" s="169"/>
      <c r="AD59" s="169"/>
      <c r="AE59" s="169"/>
      <c r="AF59" s="169"/>
      <c r="AG59" s="169"/>
      <c r="AH59" s="169"/>
      <c r="AI59" s="169"/>
      <c r="AJ59" s="169"/>
      <c r="AK59" s="169"/>
      <c r="AL59" s="169"/>
      <c r="AM59" s="169"/>
      <c r="AN59" s="169"/>
      <c r="AO59" s="169"/>
      <c r="AP59" s="169"/>
      <c r="AQ59" s="169"/>
      <c r="AR59" s="169"/>
    </row>
    <row r="60" spans="1:53" ht="15" x14ac:dyDescent="0.25">
      <c r="A60" s="170" t="str">
        <f t="shared" ref="A60:A65" si="22">"Extraction of "&amp;INDEX(FuelNamesLong,MATCH(D60,FuelNamesShort,0))</f>
        <v>Extraction of Coal</v>
      </c>
      <c r="B60" s="30" t="str">
        <f>$B$46&amp;D60</f>
        <v>MINCOA</v>
      </c>
      <c r="C60" s="169"/>
      <c r="D60" s="171" t="str">
        <f>NameConv!C11</f>
        <v>COA</v>
      </c>
      <c r="E60" s="30">
        <v>0</v>
      </c>
      <c r="F60" s="93">
        <v>45.6</v>
      </c>
      <c r="G60" s="93">
        <v>45.6</v>
      </c>
      <c r="H60" s="93">
        <f>G60</f>
        <v>45.6</v>
      </c>
      <c r="I60" s="93">
        <f>H60</f>
        <v>45.6</v>
      </c>
      <c r="J60" s="93"/>
      <c r="K60" s="93"/>
      <c r="L60" s="93"/>
      <c r="M60"/>
      <c r="N60"/>
      <c r="O60"/>
      <c r="P60"/>
      <c r="Q60" t="str">
        <f>""</f>
        <v/>
      </c>
      <c r="R60" s="454">
        <f>FugitiveEmissions!V140</f>
        <v>3.4182298104635631E-3</v>
      </c>
      <c r="S60" s="454">
        <f>FugitiveEmissions!V141</f>
        <v>1.0719713938661056E-2</v>
      </c>
      <c r="T60" s="156"/>
      <c r="U60" s="156"/>
      <c r="V60" s="169"/>
      <c r="W60" s="169"/>
      <c r="X60" s="169"/>
      <c r="Y60" s="169"/>
      <c r="Z60" s="169"/>
      <c r="AA60" s="169"/>
      <c r="AB60" s="169"/>
      <c r="AC60" s="169"/>
      <c r="AD60" s="169"/>
      <c r="AE60" s="169"/>
      <c r="AF60" s="169"/>
      <c r="AG60" s="169"/>
      <c r="AH60" s="169"/>
      <c r="AI60" s="169"/>
      <c r="AJ60" s="169"/>
      <c r="AK60" s="169"/>
      <c r="AL60" s="169"/>
      <c r="AM60" s="169"/>
      <c r="AN60" s="169"/>
      <c r="AO60" s="169"/>
      <c r="AP60" s="169"/>
      <c r="AQ60" s="169"/>
      <c r="AR60" s="169"/>
    </row>
    <row r="61" spans="1:53" ht="15" x14ac:dyDescent="0.25">
      <c r="A61" s="170" t="str">
        <f t="shared" si="22"/>
        <v>Extraction of Coal low grade</v>
      </c>
      <c r="B61" s="30" t="str">
        <f t="shared" ref="B61:B67" si="23">$B$46&amp;D61</f>
        <v>MINCLE</v>
      </c>
      <c r="D61" s="171" t="str">
        <f>NameConv!C14</f>
        <v>CLE</v>
      </c>
      <c r="E61" s="30">
        <v>0</v>
      </c>
      <c r="F61" s="93">
        <f>F60/2</f>
        <v>22.8</v>
      </c>
      <c r="G61" s="93">
        <f>G60/2</f>
        <v>22.8</v>
      </c>
      <c r="H61" s="93">
        <f>G61</f>
        <v>22.8</v>
      </c>
      <c r="I61" s="93">
        <f>H61</f>
        <v>22.8</v>
      </c>
      <c r="J61" s="93"/>
      <c r="K61" s="93"/>
      <c r="L61" s="93"/>
      <c r="M61"/>
      <c r="N61"/>
      <c r="O61"/>
      <c r="P61"/>
      <c r="Q61" t="str">
        <f>$Q$60</f>
        <v/>
      </c>
      <c r="R61" s="454">
        <f>FugitiveEmissions!V135</f>
        <v>3.9065483548155009E-3</v>
      </c>
      <c r="S61" s="454">
        <f>FugitiveEmissions!V136</f>
        <v>1.2251101644184062E-2</v>
      </c>
      <c r="T61" s="156"/>
      <c r="V61" s="35"/>
      <c r="W61" s="36"/>
      <c r="X61" s="172"/>
      <c r="Y61" s="172"/>
      <c r="Z61" s="172"/>
      <c r="AA61" s="172"/>
      <c r="AB61" s="172"/>
      <c r="AC61" s="172"/>
      <c r="AD61" s="172"/>
      <c r="AE61" s="172"/>
      <c r="AF61" s="172"/>
      <c r="AG61" s="172"/>
      <c r="AH61" s="172"/>
      <c r="AI61" s="172"/>
      <c r="AJ61" s="172"/>
      <c r="AK61" s="172"/>
      <c r="AL61" s="172"/>
      <c r="AM61" s="172"/>
      <c r="AN61" s="172"/>
      <c r="AO61" s="172"/>
      <c r="AP61" s="172"/>
      <c r="AR61" s="169"/>
    </row>
    <row r="62" spans="1:53" ht="15" x14ac:dyDescent="0.25">
      <c r="A62" s="170" t="str">
        <f t="shared" si="22"/>
        <v>Extraction of Coal Discard</v>
      </c>
      <c r="B62" s="30" t="str">
        <f t="shared" si="23"/>
        <v>MINCLD</v>
      </c>
      <c r="D62" s="171" t="str">
        <f>NameConv!C13</f>
        <v>CLD</v>
      </c>
      <c r="E62" s="30">
        <v>0</v>
      </c>
      <c r="F62" s="93"/>
      <c r="G62" s="93"/>
      <c r="H62" s="93"/>
      <c r="I62" s="93"/>
      <c r="J62" s="93"/>
      <c r="K62" s="93"/>
      <c r="L62" s="93"/>
      <c r="M62"/>
      <c r="N62"/>
      <c r="O62"/>
      <c r="P62"/>
      <c r="Q62" t="str">
        <f>$Q$60</f>
        <v/>
      </c>
      <c r="V62" s="36"/>
      <c r="W62" s="36"/>
      <c r="X62" s="172"/>
      <c r="Y62" s="172"/>
      <c r="Z62" s="172"/>
      <c r="AA62" s="172"/>
      <c r="AB62" s="172"/>
      <c r="AC62" s="172"/>
      <c r="AD62" s="172"/>
      <c r="AE62" s="172"/>
      <c r="AF62" s="172"/>
      <c r="AG62" s="172"/>
      <c r="AH62" s="172"/>
      <c r="AI62" s="172"/>
      <c r="AJ62" s="172"/>
      <c r="AK62" s="172"/>
      <c r="AL62" s="172"/>
      <c r="AM62" s="172"/>
      <c r="AN62" s="172"/>
      <c r="AO62" s="172"/>
      <c r="AP62" s="172"/>
      <c r="AR62" s="169"/>
    </row>
    <row r="63" spans="1:53" ht="15" x14ac:dyDescent="0.25">
      <c r="A63" s="170" t="str">
        <f t="shared" si="22"/>
        <v>Extraction of Oil Crude</v>
      </c>
      <c r="B63" s="30" t="str">
        <f t="shared" si="23"/>
        <v>MINOCR</v>
      </c>
      <c r="D63" s="171" t="str">
        <f>NameConv!C35</f>
        <v>OCR</v>
      </c>
      <c r="E63" s="30">
        <v>0</v>
      </c>
      <c r="F63" s="93">
        <f>SUMIF($E$22:$E$34,$D63,I$22:I$34)*0.9</f>
        <v>90.423609433962255</v>
      </c>
      <c r="G63" s="93">
        <f>SUMIF($E$22:$E$34,$D63,J$22:J$34)*0.9</f>
        <v>102.834693081761</v>
      </c>
      <c r="H63" s="93">
        <f>SUMIF($E$22:$E$34,$D63,K$22:K$34)*0.9</f>
        <v>98.697665199161406</v>
      </c>
      <c r="I63" s="93">
        <f>SUMIF($E$22:$E$34,$D63,L$22:L$34)*0.9</f>
        <v>89.241601467505234</v>
      </c>
      <c r="J63" s="93">
        <v>3</v>
      </c>
      <c r="K63" s="93">
        <v>0</v>
      </c>
      <c r="L63" s="93">
        <v>0</v>
      </c>
      <c r="M63"/>
      <c r="N63">
        <f>L63</f>
        <v>0</v>
      </c>
      <c r="O63">
        <f t="shared" ref="O63" si="24">N63</f>
        <v>0</v>
      </c>
      <c r="P63"/>
      <c r="Q63" t="str">
        <f>$Q$60</f>
        <v/>
      </c>
      <c r="V63" s="36"/>
      <c r="W63" s="36"/>
      <c r="X63" s="172"/>
      <c r="Y63" s="172"/>
      <c r="Z63" s="172"/>
      <c r="AA63" s="172"/>
      <c r="AB63" s="172"/>
      <c r="AC63" s="172"/>
      <c r="AD63" s="172"/>
      <c r="AE63" s="172"/>
      <c r="AF63" s="172"/>
      <c r="AG63" s="172"/>
      <c r="AH63" s="172"/>
      <c r="AI63" s="172"/>
      <c r="AJ63" s="172"/>
      <c r="AK63" s="172"/>
      <c r="AL63" s="172"/>
      <c r="AM63" s="172"/>
      <c r="AN63" s="172"/>
      <c r="AO63" s="172"/>
      <c r="AP63" s="172"/>
      <c r="AR63" s="169"/>
    </row>
    <row r="64" spans="1:53" ht="15" x14ac:dyDescent="0.25">
      <c r="A64" s="170" t="str">
        <f t="shared" si="22"/>
        <v>Extraction of Coastal Gas</v>
      </c>
      <c r="B64" s="30" t="str">
        <f t="shared" si="23"/>
        <v>MINGIC</v>
      </c>
      <c r="D64" s="171" t="str">
        <f>NameConv!C26</f>
        <v>GIC</v>
      </c>
      <c r="E64" s="30">
        <v>0</v>
      </c>
      <c r="F64" s="93">
        <f>F92</f>
        <v>100.07852866986421</v>
      </c>
      <c r="G64" s="93">
        <f>G92</f>
        <v>100.07852866986421</v>
      </c>
      <c r="H64" s="93">
        <f ca="1">H92</f>
        <v>100.07852866986421</v>
      </c>
      <c r="I64" s="93">
        <f ca="1">I92</f>
        <v>100.07852866986421</v>
      </c>
      <c r="J64" s="93">
        <v>3</v>
      </c>
      <c r="K64" s="93">
        <f>25838/1000</f>
        <v>25.838000000000001</v>
      </c>
      <c r="L64" s="93">
        <f>25838/1000</f>
        <v>25.838000000000001</v>
      </c>
      <c r="M64">
        <v>0</v>
      </c>
      <c r="N64">
        <v>0</v>
      </c>
      <c r="O64">
        <v>0</v>
      </c>
      <c r="P64"/>
      <c r="Q64"/>
      <c r="V64" s="36"/>
      <c r="W64" s="36"/>
      <c r="X64" s="172"/>
      <c r="Y64" s="172"/>
      <c r="Z64" s="172"/>
      <c r="AA64" s="172"/>
      <c r="AB64" s="172"/>
      <c r="AC64" s="172"/>
      <c r="AD64" s="172"/>
      <c r="AE64" s="172"/>
      <c r="AF64" s="172"/>
      <c r="AG64" s="172"/>
      <c r="AH64" s="172"/>
      <c r="AI64" s="172"/>
      <c r="AJ64" s="172"/>
      <c r="AK64" s="172"/>
      <c r="AL64" s="172"/>
      <c r="AM64" s="172"/>
      <c r="AN64" s="172"/>
      <c r="AO64" s="172"/>
      <c r="AP64" s="172"/>
      <c r="AR64" s="169"/>
    </row>
    <row r="65" spans="1:51" ht="15" x14ac:dyDescent="0.25">
      <c r="A65" s="170" t="str">
        <f t="shared" si="22"/>
        <v>Extraction of Gas Indigenous Ibhubezi</v>
      </c>
      <c r="B65" s="30" t="str">
        <f t="shared" si="23"/>
        <v>MINGIB</v>
      </c>
      <c r="D65" s="171" t="str">
        <f>NameConv!C24</f>
        <v>GIB</v>
      </c>
      <c r="E65" s="30">
        <v>0</v>
      </c>
      <c r="F65" s="93">
        <f t="shared" ref="F65:I66" si="25">SUMIF($E$37:$E$42,$D65,I$37:I$42)*$E$54</f>
        <v>60.21467130114587</v>
      </c>
      <c r="G65" s="93">
        <f t="shared" si="25"/>
        <v>68.479430107185507</v>
      </c>
      <c r="H65" s="93">
        <f t="shared" si="25"/>
        <v>65.72451050517229</v>
      </c>
      <c r="I65" s="93">
        <f t="shared" si="25"/>
        <v>59.427551414856381</v>
      </c>
      <c r="J65" s="93">
        <v>3</v>
      </c>
      <c r="K65" s="93"/>
      <c r="L65" s="93"/>
      <c r="M65"/>
      <c r="N65">
        <f>80*365/1000</f>
        <v>29.2</v>
      </c>
      <c r="O65"/>
      <c r="P65">
        <v>2025</v>
      </c>
      <c r="Q65">
        <f>544*1.055</f>
        <v>573.91999999999996</v>
      </c>
      <c r="V65" s="36"/>
      <c r="W65" s="36"/>
      <c r="X65" s="172"/>
      <c r="Y65" s="172"/>
      <c r="Z65" s="172"/>
      <c r="AA65" s="172"/>
      <c r="AB65" s="172"/>
      <c r="AC65" s="172"/>
      <c r="AD65" s="172"/>
      <c r="AE65" s="172"/>
      <c r="AF65" s="172"/>
      <c r="AG65" s="172"/>
      <c r="AH65" s="172"/>
      <c r="AI65" s="172"/>
      <c r="AJ65" s="172"/>
      <c r="AK65" s="172"/>
      <c r="AL65" s="172"/>
      <c r="AM65" s="172"/>
      <c r="AN65" s="172"/>
      <c r="AO65" s="172"/>
      <c r="AP65" s="172"/>
      <c r="AR65" s="169"/>
    </row>
    <row r="66" spans="1:51" ht="15" x14ac:dyDescent="0.25">
      <c r="A66" s="170" t="s">
        <v>358</v>
      </c>
      <c r="B66" s="30" t="str">
        <f>$B$46&amp;D66</f>
        <v>MINGAS</v>
      </c>
      <c r="D66" s="171" t="str">
        <f>NameConv!C18</f>
        <v>GAS</v>
      </c>
      <c r="E66" s="30">
        <v>0</v>
      </c>
      <c r="F66" s="93">
        <f t="shared" si="25"/>
        <v>54.454813481240663</v>
      </c>
      <c r="G66" s="93">
        <f t="shared" si="25"/>
        <v>54.454813481240663</v>
      </c>
      <c r="H66" s="93">
        <f t="shared" si="25"/>
        <v>54.454813481240663</v>
      </c>
      <c r="I66" s="93">
        <f t="shared" si="25"/>
        <v>54.454813481240663</v>
      </c>
      <c r="J66" s="93">
        <v>3</v>
      </c>
      <c r="K66" s="93">
        <v>0</v>
      </c>
      <c r="L66" s="93"/>
      <c r="M66"/>
      <c r="N66"/>
      <c r="O66"/>
      <c r="P66">
        <v>2030</v>
      </c>
      <c r="Q66">
        <v>6100</v>
      </c>
      <c r="V66" s="36"/>
      <c r="W66" s="36"/>
      <c r="X66" s="172"/>
      <c r="Y66" s="172"/>
      <c r="Z66" s="172"/>
      <c r="AA66" s="172"/>
      <c r="AB66" s="172"/>
      <c r="AC66" s="172"/>
      <c r="AD66" s="172"/>
      <c r="AE66" s="172"/>
      <c r="AF66" s="172"/>
      <c r="AG66" s="172"/>
      <c r="AH66" s="172"/>
      <c r="AI66" s="172"/>
      <c r="AJ66" s="172"/>
      <c r="AK66" s="172"/>
      <c r="AL66" s="172"/>
      <c r="AM66" s="172"/>
      <c r="AN66" s="172"/>
      <c r="AO66" s="172"/>
      <c r="AP66" s="172"/>
      <c r="AR66" s="169"/>
    </row>
    <row r="67" spans="1:51" ht="15" x14ac:dyDescent="0.25">
      <c r="A67" s="170" t="str">
        <f>"Extraction of "&amp;INDEX(FuelNamesLong,MATCH(D67,FuelNamesShort,0))</f>
        <v>Extraction of Gas Indigenous Shale</v>
      </c>
      <c r="B67" s="30" t="str">
        <f t="shared" si="23"/>
        <v>MINGIH</v>
      </c>
      <c r="D67" s="171" t="str">
        <f>NameConv!C25</f>
        <v>GIH</v>
      </c>
      <c r="E67" s="30">
        <v>0</v>
      </c>
      <c r="F67" s="93">
        <f>SUMIF($E$22:$E$42,$D67,I$22:I$42)</f>
        <v>57.994459831079268</v>
      </c>
      <c r="G67" s="93">
        <f>SUMIF($E$22:$E$42,$D67,J$22:J$42)</f>
        <v>57.994459831079268</v>
      </c>
      <c r="H67" s="93">
        <f>SUMIF($E$22:$E$42,$D67,K$22:K$42)</f>
        <v>57.994459831079268</v>
      </c>
      <c r="I67" s="93">
        <f>SUMIF($E$22:$E$42,$D67,L$22:L$42)</f>
        <v>57.994459831079268</v>
      </c>
      <c r="J67" s="93">
        <v>3</v>
      </c>
      <c r="K67" s="93">
        <v>0</v>
      </c>
      <c r="L67" s="93"/>
      <c r="M67"/>
      <c r="N67"/>
      <c r="O67"/>
      <c r="P67">
        <f>'Gas Price'!K33</f>
        <v>2032</v>
      </c>
      <c r="Q67">
        <v>40000</v>
      </c>
      <c r="V67" s="36"/>
      <c r="W67" s="36"/>
      <c r="X67" s="172"/>
      <c r="Y67" s="172"/>
      <c r="Z67" s="172"/>
      <c r="AA67" s="172"/>
      <c r="AB67" s="172"/>
      <c r="AC67" s="172"/>
      <c r="AD67" s="172"/>
      <c r="AE67" s="172"/>
      <c r="AF67" s="172"/>
      <c r="AG67" s="172"/>
      <c r="AH67" s="172"/>
      <c r="AI67" s="172"/>
      <c r="AJ67" s="172"/>
      <c r="AK67" s="172"/>
      <c r="AL67" s="172"/>
      <c r="AM67" s="172"/>
      <c r="AN67" s="172"/>
      <c r="AO67" s="172"/>
      <c r="AP67" s="172"/>
      <c r="AR67" s="169"/>
    </row>
    <row r="68" spans="1:51" ht="15" x14ac:dyDescent="0.25">
      <c r="A68" s="167" t="s">
        <v>359</v>
      </c>
      <c r="B68" s="30"/>
      <c r="D68" s="171"/>
      <c r="F68" s="93"/>
      <c r="G68" s="93"/>
      <c r="H68" s="93"/>
      <c r="I68" s="93"/>
      <c r="J68" s="93"/>
      <c r="K68" s="93"/>
      <c r="L68" s="93"/>
      <c r="M68"/>
      <c r="N68"/>
      <c r="O68"/>
      <c r="P68"/>
      <c r="Q68"/>
      <c r="V68" s="36"/>
      <c r="W68" s="36"/>
      <c r="X68" s="36"/>
      <c r="Y68" s="36"/>
      <c r="Z68" s="36"/>
      <c r="AA68" s="36"/>
      <c r="AB68" s="36"/>
      <c r="AC68" s="36"/>
      <c r="AD68" s="172"/>
      <c r="AE68" s="172"/>
      <c r="AF68" s="172"/>
      <c r="AG68" s="172"/>
      <c r="AH68" s="172"/>
      <c r="AI68" s="172"/>
      <c r="AJ68" s="172"/>
      <c r="AK68" s="172"/>
      <c r="AL68" s="172"/>
      <c r="AM68" s="172"/>
      <c r="AN68" s="172"/>
      <c r="AO68" s="172"/>
      <c r="AP68" s="172"/>
      <c r="AQ68" s="172"/>
      <c r="AR68" s="172"/>
      <c r="AS68" s="172"/>
      <c r="AT68" s="172"/>
      <c r="AU68" s="172"/>
      <c r="AV68" s="172"/>
      <c r="AW68" s="172"/>
      <c r="AY68" s="169"/>
    </row>
    <row r="69" spans="1:51" ht="15" x14ac:dyDescent="0.25">
      <c r="A69" s="170" t="str">
        <f t="shared" ref="A69:A76" si="26">"Extraction of "&amp;INDEX(FuelNamesLong,MATCH(D69,FuelNamesShort,0))</f>
        <v>Extraction of Biogas</v>
      </c>
      <c r="B69" s="30" t="str">
        <f t="shared" ref="B69:B75" si="27">$B$46&amp;D69</f>
        <v>MINBIG</v>
      </c>
      <c r="D69" s="171" t="str">
        <f>NameConv!C5</f>
        <v>BIG</v>
      </c>
      <c r="E69" s="30">
        <v>0</v>
      </c>
      <c r="F69" s="93"/>
      <c r="G69" s="93"/>
      <c r="H69" s="93"/>
      <c r="I69" s="93"/>
      <c r="J69" s="93"/>
      <c r="K69" s="93"/>
      <c r="L69" s="93"/>
      <c r="M69"/>
      <c r="N69"/>
      <c r="O69"/>
      <c r="P69"/>
      <c r="Q69" t="str">
        <f t="shared" ref="Q69:Q76" si="28">$Q$60</f>
        <v/>
      </c>
      <c r="V69" s="36"/>
      <c r="W69" s="36"/>
      <c r="X69" s="36"/>
      <c r="Y69" s="36"/>
      <c r="Z69" s="36"/>
      <c r="AA69" s="36"/>
      <c r="AB69" s="36"/>
      <c r="AC69" s="36"/>
      <c r="AD69" s="172"/>
      <c r="AE69" s="172"/>
      <c r="AF69" s="172"/>
      <c r="AG69" s="172"/>
      <c r="AH69" s="172"/>
      <c r="AI69" s="172"/>
      <c r="AJ69" s="172"/>
      <c r="AK69" s="172"/>
      <c r="AL69" s="172"/>
      <c r="AM69" s="172"/>
      <c r="AN69" s="172"/>
      <c r="AO69" s="172"/>
      <c r="AP69" s="172"/>
      <c r="AQ69" s="172"/>
      <c r="AR69" s="172"/>
      <c r="AS69" s="172"/>
      <c r="AT69" s="172"/>
      <c r="AU69" s="172"/>
      <c r="AV69" s="172"/>
      <c r="AW69" s="172"/>
      <c r="AY69" s="169"/>
    </row>
    <row r="70" spans="1:51" ht="15" x14ac:dyDescent="0.25">
      <c r="A70" s="170" t="str">
        <f t="shared" si="26"/>
        <v>Extraction of Biomass bagasse</v>
      </c>
      <c r="B70" s="30" t="str">
        <f t="shared" si="27"/>
        <v>MINBIB</v>
      </c>
      <c r="D70" s="171" t="str">
        <f>NameConv!C8</f>
        <v>BIB</v>
      </c>
      <c r="E70" s="30">
        <v>0</v>
      </c>
      <c r="F70" s="93">
        <f>19.5</f>
        <v>19.5</v>
      </c>
      <c r="G70" s="93">
        <f>F70</f>
        <v>19.5</v>
      </c>
      <c r="H70" s="93">
        <f>G70</f>
        <v>19.5</v>
      </c>
      <c r="I70" s="93">
        <f>H70</f>
        <v>19.5</v>
      </c>
      <c r="J70" s="93"/>
      <c r="K70" s="93"/>
      <c r="L70" s="93"/>
      <c r="M70"/>
      <c r="N70"/>
      <c r="O70"/>
      <c r="P70"/>
      <c r="Q70" t="str">
        <f t="shared" si="28"/>
        <v/>
      </c>
      <c r="V70" s="36"/>
      <c r="W70" s="36"/>
      <c r="X70" s="36"/>
      <c r="Y70" s="36"/>
      <c r="Z70" s="36"/>
      <c r="AA70" s="36"/>
      <c r="AB70" s="36"/>
      <c r="AC70" s="36"/>
      <c r="AD70" s="172"/>
      <c r="AE70" s="172"/>
      <c r="AF70" s="172"/>
      <c r="AG70" s="172"/>
      <c r="AH70" s="172"/>
      <c r="AI70" s="172"/>
      <c r="AJ70" s="172"/>
      <c r="AK70" s="172"/>
      <c r="AL70" s="172"/>
      <c r="AM70" s="172"/>
      <c r="AN70" s="172"/>
      <c r="AO70" s="172"/>
      <c r="AP70" s="172"/>
      <c r="AQ70" s="172"/>
      <c r="AR70" s="172"/>
      <c r="AS70" s="172"/>
      <c r="AT70" s="172"/>
      <c r="AU70" s="172"/>
      <c r="AV70" s="172"/>
      <c r="AW70" s="172"/>
      <c r="AY70" s="169"/>
    </row>
    <row r="71" spans="1:51" ht="15" x14ac:dyDescent="0.25">
      <c r="A71" s="170" t="str">
        <f t="shared" si="26"/>
        <v>Extraction of Biomass Other</v>
      </c>
      <c r="B71" s="30" t="str">
        <f t="shared" si="27"/>
        <v>MINBIO</v>
      </c>
      <c r="D71" s="171" t="str">
        <f>NameConv!C9</f>
        <v>BIO</v>
      </c>
      <c r="E71" s="30">
        <v>0</v>
      </c>
      <c r="F71" s="93">
        <f t="shared" ref="F71:I71" si="29">F60*1.05</f>
        <v>47.88</v>
      </c>
      <c r="G71" s="93">
        <f t="shared" si="29"/>
        <v>47.88</v>
      </c>
      <c r="H71" s="93">
        <f t="shared" si="29"/>
        <v>47.88</v>
      </c>
      <c r="I71" s="93">
        <f t="shared" si="29"/>
        <v>47.88</v>
      </c>
      <c r="J71" s="93"/>
      <c r="K71" s="93"/>
      <c r="L71" s="93"/>
      <c r="M71"/>
      <c r="N71"/>
      <c r="O71"/>
      <c r="P71"/>
      <c r="Q71" t="str">
        <f t="shared" si="28"/>
        <v/>
      </c>
      <c r="V71" s="36"/>
      <c r="W71" s="36"/>
      <c r="X71" s="36"/>
      <c r="Y71" s="36"/>
      <c r="Z71" s="36"/>
      <c r="AA71" s="36"/>
      <c r="AB71" s="36"/>
      <c r="AC71" s="36"/>
      <c r="AD71" s="172"/>
      <c r="AE71" s="172"/>
      <c r="AF71" s="172"/>
      <c r="AG71" s="172"/>
      <c r="AH71" s="172"/>
      <c r="AI71" s="172"/>
      <c r="AJ71" s="172"/>
      <c r="AK71" s="172"/>
      <c r="AL71" s="172"/>
      <c r="AM71" s="172"/>
      <c r="AN71" s="172"/>
      <c r="AO71" s="172"/>
      <c r="AP71" s="172"/>
      <c r="AQ71" s="172"/>
      <c r="AR71" s="172"/>
      <c r="AS71" s="172"/>
      <c r="AT71" s="172"/>
      <c r="AU71" s="172"/>
      <c r="AV71" s="172"/>
      <c r="AW71" s="172"/>
      <c r="AY71" s="169"/>
    </row>
    <row r="72" spans="1:51" ht="15" x14ac:dyDescent="0.25">
      <c r="A72" s="170" t="str">
        <f t="shared" si="26"/>
        <v>Extraction of Biomass Wood</v>
      </c>
      <c r="B72" s="30" t="str">
        <f t="shared" si="27"/>
        <v>MINBIW</v>
      </c>
      <c r="D72" s="171" t="str">
        <f>NameConv!C10</f>
        <v>BIW</v>
      </c>
      <c r="E72" s="30">
        <v>0</v>
      </c>
      <c r="F72" s="93">
        <v>19.5</v>
      </c>
      <c r="G72" s="93">
        <f t="shared" ref="G72:I73" si="30">F72</f>
        <v>19.5</v>
      </c>
      <c r="H72" s="93">
        <f t="shared" si="30"/>
        <v>19.5</v>
      </c>
      <c r="I72" s="93">
        <f t="shared" si="30"/>
        <v>19.5</v>
      </c>
      <c r="J72" s="93"/>
      <c r="K72" s="93"/>
      <c r="L72" s="93"/>
      <c r="M72"/>
      <c r="N72"/>
      <c r="O72"/>
      <c r="P72"/>
      <c r="Q72" t="str">
        <f t="shared" si="28"/>
        <v/>
      </c>
      <c r="V72" s="36"/>
      <c r="W72" s="36"/>
      <c r="X72" s="36"/>
      <c r="Y72" s="36"/>
      <c r="Z72" s="36"/>
      <c r="AA72" s="36"/>
      <c r="AB72" s="36"/>
      <c r="AC72" s="36"/>
      <c r="AD72" s="172"/>
      <c r="AE72" s="172"/>
      <c r="AF72" s="172"/>
      <c r="AG72" s="172"/>
      <c r="AH72" s="172"/>
      <c r="AI72" s="172"/>
      <c r="AJ72" s="172"/>
      <c r="AK72" s="172"/>
      <c r="AL72" s="172"/>
      <c r="AM72" s="172"/>
      <c r="AN72" s="172"/>
      <c r="AO72" s="172"/>
      <c r="AP72" s="172"/>
      <c r="AQ72" s="172"/>
      <c r="AR72" s="172"/>
      <c r="AS72" s="172"/>
      <c r="AT72" s="172"/>
      <c r="AU72" s="172"/>
      <c r="AV72" s="172"/>
      <c r="AW72" s="172"/>
      <c r="AY72" s="169"/>
    </row>
    <row r="73" spans="1:51" ht="15" x14ac:dyDescent="0.25">
      <c r="A73" s="170" t="str">
        <f t="shared" si="26"/>
        <v>Extraction of Waste</v>
      </c>
      <c r="B73" s="30" t="str">
        <f>$B$46&amp;D73</f>
        <v>MINWAS</v>
      </c>
      <c r="D73" s="171" t="str">
        <f>NameConv!C44</f>
        <v>WAS</v>
      </c>
      <c r="E73" s="30">
        <v>0</v>
      </c>
      <c r="F73" s="93">
        <v>0</v>
      </c>
      <c r="G73" s="93">
        <f t="shared" si="30"/>
        <v>0</v>
      </c>
      <c r="H73" s="93">
        <f t="shared" si="30"/>
        <v>0</v>
      </c>
      <c r="I73" s="93">
        <f t="shared" si="30"/>
        <v>0</v>
      </c>
      <c r="J73" s="93">
        <v>3</v>
      </c>
      <c r="K73" s="93">
        <v>25</v>
      </c>
      <c r="L73" s="93"/>
      <c r="M73"/>
      <c r="N73"/>
      <c r="O73"/>
      <c r="P73"/>
      <c r="Q73" t="str">
        <f t="shared" si="28"/>
        <v/>
      </c>
      <c r="V73" s="36"/>
      <c r="W73" s="36"/>
      <c r="X73" s="36"/>
      <c r="Y73" s="36"/>
      <c r="Z73" s="36"/>
      <c r="AA73" s="36"/>
      <c r="AB73" s="36"/>
      <c r="AC73" s="36"/>
      <c r="AD73" s="172"/>
      <c r="AE73" s="172"/>
      <c r="AF73" s="172"/>
      <c r="AG73" s="172"/>
      <c r="AH73" s="172"/>
      <c r="AI73" s="172"/>
      <c r="AJ73" s="172"/>
      <c r="AK73" s="172"/>
      <c r="AL73" s="172"/>
      <c r="AM73" s="172"/>
      <c r="AN73" s="172"/>
      <c r="AO73" s="172"/>
      <c r="AP73" s="172"/>
      <c r="AQ73" s="172"/>
      <c r="AR73" s="172"/>
      <c r="AS73" s="172"/>
      <c r="AT73" s="172"/>
      <c r="AU73" s="172"/>
      <c r="AV73" s="172"/>
      <c r="AW73" s="172"/>
      <c r="AY73" s="169"/>
    </row>
    <row r="74" spans="1:51" ht="15" x14ac:dyDescent="0.25">
      <c r="A74" s="170" t="str">
        <f t="shared" si="26"/>
        <v>Extraction of Hydro</v>
      </c>
      <c r="B74" s="30" t="str">
        <f>$B$46&amp;D74</f>
        <v>MINHYD</v>
      </c>
      <c r="D74" s="171" t="str">
        <f>NameConv!C31</f>
        <v>HYD</v>
      </c>
      <c r="E74" s="30">
        <v>0</v>
      </c>
      <c r="F74" s="93"/>
      <c r="G74" s="93"/>
      <c r="H74" s="93"/>
      <c r="I74" s="93"/>
      <c r="J74" s="93"/>
      <c r="K74" s="93"/>
      <c r="L74" s="93"/>
      <c r="M74"/>
      <c r="N74"/>
      <c r="O74"/>
      <c r="P74"/>
      <c r="Q74" t="str">
        <f t="shared" si="28"/>
        <v/>
      </c>
      <c r="V74" s="36"/>
      <c r="W74" s="36"/>
      <c r="X74" s="36"/>
      <c r="Y74" s="36"/>
      <c r="Z74" s="36"/>
      <c r="AA74" s="36"/>
      <c r="AB74" s="36"/>
      <c r="AC74" s="36"/>
      <c r="AD74" s="172"/>
      <c r="AE74" s="172"/>
      <c r="AF74" s="172"/>
      <c r="AG74" s="172"/>
      <c r="AH74" s="172"/>
      <c r="AI74" s="172"/>
      <c r="AJ74" s="172"/>
      <c r="AK74" s="172"/>
      <c r="AL74" s="172"/>
      <c r="AM74" s="172"/>
      <c r="AN74" s="172"/>
      <c r="AO74" s="172"/>
      <c r="AP74" s="172"/>
      <c r="AQ74" s="172"/>
      <c r="AR74" s="172"/>
      <c r="AS74" s="172"/>
      <c r="AT74" s="172"/>
      <c r="AU74" s="172"/>
      <c r="AV74" s="172"/>
      <c r="AW74" s="172"/>
      <c r="AY74" s="169"/>
    </row>
    <row r="75" spans="1:51" ht="15" x14ac:dyDescent="0.25">
      <c r="A75" s="170" t="str">
        <f t="shared" si="26"/>
        <v>Extraction of Solar</v>
      </c>
      <c r="B75" s="30" t="str">
        <f t="shared" si="27"/>
        <v>MINSOL</v>
      </c>
      <c r="D75" s="171" t="str">
        <f>NameConv!C42</f>
        <v>SOL</v>
      </c>
      <c r="E75" s="30">
        <v>0</v>
      </c>
      <c r="F75" s="93"/>
      <c r="G75" s="93"/>
      <c r="H75" s="93"/>
      <c r="I75" s="93"/>
      <c r="J75" s="93"/>
      <c r="K75" s="93"/>
      <c r="L75" s="93"/>
      <c r="M75"/>
      <c r="N75"/>
      <c r="O75"/>
      <c r="P75"/>
      <c r="Q75" t="str">
        <f t="shared" si="28"/>
        <v/>
      </c>
      <c r="V75" s="36"/>
      <c r="W75" s="36"/>
      <c r="X75" s="36"/>
      <c r="Y75" s="36"/>
      <c r="Z75" s="36"/>
      <c r="AA75" s="36"/>
      <c r="AB75" s="36"/>
      <c r="AC75" s="36"/>
      <c r="AD75" s="172"/>
      <c r="AE75" s="172"/>
      <c r="AF75" s="172"/>
      <c r="AG75" s="172"/>
      <c r="AH75" s="172"/>
      <c r="AI75" s="172"/>
      <c r="AJ75" s="172"/>
      <c r="AK75" s="172"/>
      <c r="AL75" s="172"/>
      <c r="AM75" s="172"/>
      <c r="AN75" s="172"/>
      <c r="AO75" s="172"/>
      <c r="AP75" s="172"/>
      <c r="AQ75" s="172"/>
      <c r="AR75" s="172"/>
      <c r="AS75" s="172"/>
      <c r="AT75" s="172"/>
      <c r="AU75" s="172"/>
      <c r="AV75" s="172"/>
      <c r="AW75" s="172"/>
      <c r="AY75" s="169"/>
    </row>
    <row r="76" spans="1:51" ht="15" x14ac:dyDescent="0.25">
      <c r="A76" s="170" t="str">
        <f t="shared" si="26"/>
        <v>Extraction of Wind</v>
      </c>
      <c r="B76" s="30" t="str">
        <f>$B$46&amp;D76</f>
        <v>MINWND</v>
      </c>
      <c r="D76" s="171" t="str">
        <f>NameConv!C43</f>
        <v>WND</v>
      </c>
      <c r="E76" s="30">
        <v>0</v>
      </c>
      <c r="F76" s="93"/>
      <c r="G76" s="93"/>
      <c r="H76" s="93"/>
      <c r="I76" s="93"/>
      <c r="J76" s="93"/>
      <c r="K76" s="93"/>
      <c r="L76" s="93"/>
      <c r="M76"/>
      <c r="N76"/>
      <c r="O76"/>
      <c r="P76"/>
      <c r="Q76" t="str">
        <f t="shared" si="28"/>
        <v/>
      </c>
      <c r="V76" s="36"/>
      <c r="W76" s="36"/>
      <c r="X76" s="36"/>
      <c r="Y76" s="36"/>
      <c r="Z76" s="36"/>
      <c r="AA76" s="36"/>
      <c r="AB76" s="36"/>
      <c r="AC76" s="36"/>
      <c r="AD76" s="172"/>
      <c r="AE76" s="172"/>
      <c r="AF76" s="172"/>
      <c r="AG76" s="172"/>
      <c r="AH76" s="172"/>
      <c r="AI76" s="172"/>
      <c r="AJ76" s="172"/>
      <c r="AK76" s="172"/>
      <c r="AL76" s="172"/>
      <c r="AM76" s="172"/>
      <c r="AN76" s="172"/>
      <c r="AO76" s="172"/>
      <c r="AP76" s="172"/>
      <c r="AQ76" s="172"/>
      <c r="AR76" s="172"/>
      <c r="AS76" s="172"/>
      <c r="AT76" s="172"/>
      <c r="AU76" s="172"/>
      <c r="AV76" s="172"/>
      <c r="AW76" s="172"/>
      <c r="AY76" s="169"/>
    </row>
    <row r="77" spans="1:51" ht="15" x14ac:dyDescent="0.25">
      <c r="A77" s="167" t="s">
        <v>360</v>
      </c>
      <c r="B77" s="39"/>
      <c r="D77" s="171"/>
      <c r="F77" s="93"/>
      <c r="G77" s="93"/>
      <c r="H77" s="93"/>
      <c r="I77" s="93"/>
      <c r="J77" s="93"/>
      <c r="K77" s="93"/>
      <c r="L77" s="93"/>
      <c r="M77"/>
      <c r="N77"/>
      <c r="O77"/>
      <c r="P77"/>
      <c r="Q77"/>
      <c r="V77" s="36"/>
      <c r="W77" s="36"/>
      <c r="X77" s="36"/>
      <c r="Y77" s="36"/>
      <c r="Z77" s="36"/>
      <c r="AA77" s="36"/>
      <c r="AB77" s="36"/>
      <c r="AC77" s="36"/>
      <c r="AD77" s="172"/>
      <c r="AE77" s="172"/>
      <c r="AF77" s="172"/>
      <c r="AG77" s="172"/>
      <c r="AH77" s="172"/>
      <c r="AI77" s="172"/>
      <c r="AJ77" s="172"/>
      <c r="AK77" s="172"/>
      <c r="AL77" s="172"/>
      <c r="AM77" s="172"/>
      <c r="AN77" s="172"/>
      <c r="AO77" s="172"/>
      <c r="AP77" s="172"/>
      <c r="AQ77" s="172"/>
      <c r="AR77" s="172"/>
      <c r="AS77" s="172"/>
      <c r="AT77" s="172"/>
      <c r="AU77" s="172"/>
      <c r="AV77" s="172"/>
      <c r="AW77" s="172"/>
      <c r="AY77" s="169"/>
    </row>
    <row r="78" spans="1:51" ht="15" x14ac:dyDescent="0.25">
      <c r="A78" s="170" t="str">
        <f t="shared" ref="A78:A90" si="31">"Imports of "&amp;INDEX(FuelNamesLong,MATCH(D78,FuelNamesShort,0))</f>
        <v>Imports of Coal Coking</v>
      </c>
      <c r="B78" s="30" t="str">
        <f>"IMP"&amp;D78</f>
        <v>IMPCOK</v>
      </c>
      <c r="D78" s="171" t="str">
        <f>NameConv!C12</f>
        <v>COK</v>
      </c>
      <c r="E78" s="30">
        <v>0</v>
      </c>
      <c r="F78" s="93">
        <f t="shared" ref="F78" si="32">F60*1.5</f>
        <v>68.400000000000006</v>
      </c>
      <c r="G78" s="93">
        <f>G60*1.5</f>
        <v>68.400000000000006</v>
      </c>
      <c r="H78" s="93">
        <f t="shared" ref="H78:I78" si="33">H60*1.5</f>
        <v>68.400000000000006</v>
      </c>
      <c r="I78" s="93">
        <f t="shared" si="33"/>
        <v>68.400000000000006</v>
      </c>
      <c r="J78" s="93">
        <v>3</v>
      </c>
      <c r="K78" s="93"/>
      <c r="L78" s="93"/>
      <c r="M78"/>
      <c r="N78"/>
      <c r="O78"/>
      <c r="P78"/>
      <c r="Q78" t="str">
        <f t="shared" ref="Q78:Q90" si="34">$Q$60</f>
        <v/>
      </c>
      <c r="V78" s="36"/>
      <c r="W78" s="36"/>
      <c r="X78" s="36"/>
      <c r="Y78" s="36"/>
      <c r="Z78" s="36"/>
      <c r="AA78" s="36"/>
      <c r="AB78" s="36"/>
      <c r="AC78" s="36"/>
      <c r="AD78" s="172"/>
      <c r="AE78" s="172"/>
      <c r="AF78" s="172"/>
      <c r="AG78" s="172"/>
      <c r="AH78" s="172"/>
      <c r="AI78" s="172"/>
      <c r="AJ78" s="172"/>
      <c r="AK78" s="172"/>
      <c r="AL78" s="172"/>
      <c r="AM78" s="172"/>
      <c r="AN78" s="172"/>
      <c r="AO78" s="172"/>
      <c r="AP78" s="172"/>
      <c r="AQ78" s="172"/>
      <c r="AR78" s="172"/>
      <c r="AS78" s="172"/>
      <c r="AT78" s="172"/>
      <c r="AU78" s="172"/>
      <c r="AV78" s="172"/>
      <c r="AW78" s="172"/>
      <c r="AY78" s="169"/>
    </row>
    <row r="79" spans="1:51" ht="15" x14ac:dyDescent="0.25">
      <c r="A79" s="170" t="str">
        <f t="shared" si="31"/>
        <v>Imports of Gas Regional LNG</v>
      </c>
      <c r="B79" s="30" t="str">
        <f>"IMP"&amp;D79</f>
        <v>IMPGRL</v>
      </c>
      <c r="D79" s="171" t="str">
        <f>NameConv!C21</f>
        <v>GRL</v>
      </c>
      <c r="E79" s="30">
        <v>0</v>
      </c>
      <c r="F79" s="93">
        <f t="shared" ref="F79:I80" si="35">SUMIF($D$37:$D$42,$B79,I$37:I$42)*$E$54</f>
        <v>70.492064666074782</v>
      </c>
      <c r="G79" s="93">
        <f t="shared" si="35"/>
        <v>79.547392192493575</v>
      </c>
      <c r="H79" s="93">
        <f t="shared" si="35"/>
        <v>76.528949683687301</v>
      </c>
      <c r="I79" s="93">
        <f t="shared" si="35"/>
        <v>69.629652520701569</v>
      </c>
      <c r="J79" s="93"/>
      <c r="K79" s="93"/>
      <c r="L79" s="93"/>
      <c r="M79"/>
      <c r="N79"/>
      <c r="O79"/>
      <c r="P79">
        <f>'Gas Price'!K39</f>
        <v>2027</v>
      </c>
      <c r="Q79" t="str">
        <f t="shared" si="34"/>
        <v/>
      </c>
      <c r="V79" s="36"/>
      <c r="W79" s="36"/>
      <c r="X79" s="36"/>
      <c r="Y79" s="36"/>
      <c r="Z79" s="36"/>
      <c r="AA79" s="36"/>
      <c r="AB79" s="36"/>
      <c r="AC79" s="36"/>
      <c r="AD79" s="172"/>
      <c r="AE79" s="172"/>
      <c r="AF79" s="172"/>
      <c r="AG79" s="172"/>
      <c r="AH79" s="172"/>
      <c r="AI79" s="172"/>
      <c r="AJ79" s="172"/>
      <c r="AK79" s="172"/>
      <c r="AL79" s="172"/>
      <c r="AM79" s="172"/>
      <c r="AN79" s="172"/>
      <c r="AO79" s="172"/>
      <c r="AP79" s="172"/>
      <c r="AQ79" s="172"/>
      <c r="AR79" s="172"/>
      <c r="AS79" s="172"/>
      <c r="AT79" s="172"/>
      <c r="AU79" s="172"/>
      <c r="AV79" s="172"/>
      <c r="AW79" s="172"/>
      <c r="AY79" s="169"/>
    </row>
    <row r="80" spans="1:51" ht="15" x14ac:dyDescent="0.25">
      <c r="A80" s="170" t="str">
        <f t="shared" si="31"/>
        <v>Imports of Gas International LNG</v>
      </c>
      <c r="B80" s="30" t="str">
        <f>"IMP"&amp;NameConv!C22</f>
        <v>IMPGWL</v>
      </c>
      <c r="D80" s="171" t="str">
        <f>NameConv!C22</f>
        <v>GWL</v>
      </c>
      <c r="E80" s="30">
        <v>0</v>
      </c>
      <c r="F80" s="93">
        <f t="shared" si="35"/>
        <v>75.009600211098473</v>
      </c>
      <c r="G80" s="93">
        <f t="shared" si="35"/>
        <v>84.064927737517252</v>
      </c>
      <c r="H80" s="93">
        <f t="shared" si="35"/>
        <v>81.046485228710992</v>
      </c>
      <c r="I80" s="93">
        <f t="shared" si="35"/>
        <v>74.147188065725246</v>
      </c>
      <c r="J80" s="93" t="s">
        <v>259</v>
      </c>
      <c r="K80" s="93" t="s">
        <v>259</v>
      </c>
      <c r="L80" s="93" t="s">
        <v>259</v>
      </c>
      <c r="M80"/>
      <c r="N80" t="s">
        <v>259</v>
      </c>
      <c r="O80" t="s">
        <v>259</v>
      </c>
      <c r="P80">
        <f>'Gas Price'!K44</f>
        <v>2025</v>
      </c>
      <c r="Q80" t="str">
        <f t="shared" si="34"/>
        <v/>
      </c>
      <c r="U80" s="173"/>
      <c r="V80" s="174"/>
      <c r="W80" s="36"/>
      <c r="X80" s="36"/>
      <c r="Y80" s="36"/>
      <c r="Z80" s="36"/>
      <c r="AA80" s="36"/>
      <c r="AB80" s="36"/>
      <c r="AC80" s="36"/>
      <c r="AD80" s="172"/>
      <c r="AE80" s="172"/>
      <c r="AF80" s="172"/>
      <c r="AG80" s="172"/>
      <c r="AH80" s="172"/>
      <c r="AI80" s="172"/>
      <c r="AJ80" s="172"/>
      <c r="AK80" s="172"/>
      <c r="AL80" s="172"/>
      <c r="AM80" s="172"/>
      <c r="AN80" s="172"/>
      <c r="AO80" s="172"/>
      <c r="AP80" s="172"/>
      <c r="AQ80" s="172"/>
      <c r="AR80" s="172"/>
      <c r="AS80" s="172"/>
      <c r="AT80" s="172"/>
      <c r="AU80" s="172"/>
      <c r="AV80" s="172"/>
      <c r="AW80" s="172"/>
      <c r="AY80" s="169"/>
    </row>
    <row r="81" spans="1:51" ht="15" x14ac:dyDescent="0.25">
      <c r="A81" s="170" t="str">
        <f t="shared" si="31"/>
        <v>Imports of Nuclear</v>
      </c>
      <c r="B81" s="30" t="str">
        <f t="shared" ref="B81:B89" si="36">"IMP"&amp;D81</f>
        <v>IMPNUC</v>
      </c>
      <c r="D81" s="171" t="str">
        <f>NameConv!C33</f>
        <v>NUC</v>
      </c>
      <c r="E81" s="30">
        <v>0</v>
      </c>
      <c r="F81" s="93">
        <v>8.1288130107613874</v>
      </c>
      <c r="G81" s="93">
        <f>F81</f>
        <v>8.1288130107613874</v>
      </c>
      <c r="H81" s="93">
        <f>G81</f>
        <v>8.1288130107613874</v>
      </c>
      <c r="I81" s="93">
        <f>H81</f>
        <v>8.1288130107613874</v>
      </c>
      <c r="J81" s="93">
        <v>0</v>
      </c>
      <c r="K81" s="93">
        <f t="shared" ref="K81:K86" si="37">SUMIF($C$8:$AZ$8,D81,$C$11:$AZ$11)</f>
        <v>170.374545454545</v>
      </c>
      <c r="L81" s="93"/>
      <c r="M81"/>
      <c r="N81"/>
      <c r="O81"/>
      <c r="P81"/>
      <c r="Q81" t="str">
        <f t="shared" si="34"/>
        <v/>
      </c>
      <c r="T81" s="173" t="s">
        <v>361</v>
      </c>
      <c r="V81" s="36"/>
      <c r="W81" s="36"/>
      <c r="X81" s="36"/>
      <c r="Y81" s="36"/>
      <c r="Z81" s="36"/>
      <c r="AA81" s="36"/>
      <c r="AB81" s="36"/>
      <c r="AC81" s="36"/>
      <c r="AD81" s="172"/>
      <c r="AE81" s="172"/>
      <c r="AF81" s="172"/>
      <c r="AG81" s="172"/>
      <c r="AH81" s="172"/>
      <c r="AI81" s="172"/>
      <c r="AJ81" s="172"/>
      <c r="AK81" s="172"/>
      <c r="AL81" s="172"/>
      <c r="AM81" s="172"/>
      <c r="AN81" s="172"/>
      <c r="AO81" s="172"/>
      <c r="AP81" s="172"/>
      <c r="AQ81" s="172"/>
      <c r="AR81" s="172"/>
      <c r="AS81" s="172"/>
      <c r="AT81" s="172"/>
      <c r="AU81" s="172"/>
      <c r="AV81" s="172"/>
      <c r="AW81" s="172"/>
      <c r="AY81" s="169"/>
    </row>
    <row r="82" spans="1:51" ht="15" x14ac:dyDescent="0.25">
      <c r="A82" s="170" t="str">
        <f t="shared" si="31"/>
        <v>Imports of Oil Av Gasoline</v>
      </c>
      <c r="B82" s="30" t="str">
        <f t="shared" si="36"/>
        <v>IMPOAG</v>
      </c>
      <c r="D82" s="171" t="str">
        <f>NameConv!C34</f>
        <v>OAG</v>
      </c>
      <c r="E82" s="30">
        <v>0</v>
      </c>
      <c r="F82" s="93">
        <f t="shared" ref="F82:I82" si="38">F85</f>
        <v>129.68934115889218</v>
      </c>
      <c r="G82" s="93">
        <f t="shared" si="38"/>
        <v>144.96619006194166</v>
      </c>
      <c r="H82" s="93">
        <f t="shared" si="38"/>
        <v>139.34642310222276</v>
      </c>
      <c r="I82" s="93">
        <f t="shared" si="38"/>
        <v>126.50124148000812</v>
      </c>
      <c r="J82" s="93">
        <v>0</v>
      </c>
      <c r="K82" s="93">
        <f t="shared" si="37"/>
        <v>1.394321535205479</v>
      </c>
      <c r="L82" s="93"/>
      <c r="M82"/>
      <c r="N82"/>
      <c r="O82"/>
      <c r="P82"/>
      <c r="Q82" t="str">
        <f t="shared" si="34"/>
        <v/>
      </c>
      <c r="V82" s="36"/>
      <c r="W82" s="36"/>
      <c r="X82" s="36"/>
      <c r="Y82" s="36"/>
      <c r="Z82" s="36"/>
      <c r="AA82" s="36"/>
      <c r="AB82" s="36"/>
      <c r="AC82" s="36"/>
      <c r="AD82" s="172"/>
      <c r="AE82" s="172"/>
      <c r="AF82" s="172"/>
      <c r="AG82" s="172"/>
      <c r="AH82" s="172"/>
      <c r="AI82" s="172"/>
      <c r="AJ82" s="172"/>
      <c r="AK82" s="172"/>
      <c r="AL82" s="172"/>
      <c r="AM82" s="172"/>
      <c r="AN82" s="172"/>
      <c r="AO82" s="172"/>
      <c r="AP82" s="172"/>
      <c r="AQ82" s="172"/>
      <c r="AR82" s="172"/>
      <c r="AS82" s="172"/>
      <c r="AT82" s="172"/>
      <c r="AU82" s="172"/>
      <c r="AV82" s="172"/>
      <c r="AW82" s="172"/>
      <c r="AY82" s="169"/>
    </row>
    <row r="83" spans="1:51" ht="15" x14ac:dyDescent="0.25">
      <c r="A83" s="170" t="str">
        <f t="shared" si="31"/>
        <v>Imports of Oil Crude</v>
      </c>
      <c r="B83" s="30" t="str">
        <f t="shared" si="36"/>
        <v>IMPOCR</v>
      </c>
      <c r="D83" s="171" t="str">
        <f>NameConv!C35</f>
        <v>OCR</v>
      </c>
      <c r="E83" s="30">
        <v>0</v>
      </c>
      <c r="F83" s="93">
        <f t="shared" ref="F83:I88" si="39">SUMIF($E$22:$E$34,$D83,I$22:I$34)</f>
        <v>100.47067714884695</v>
      </c>
      <c r="G83" s="93">
        <f t="shared" si="39"/>
        <v>114.26077009084555</v>
      </c>
      <c r="H83" s="93">
        <f t="shared" si="39"/>
        <v>109.66407244351267</v>
      </c>
      <c r="I83" s="93">
        <f t="shared" si="39"/>
        <v>99.157334963894698</v>
      </c>
      <c r="J83" s="93">
        <v>0</v>
      </c>
      <c r="K83" s="93">
        <f t="shared" si="37"/>
        <v>941.22622485351599</v>
      </c>
      <c r="L83" s="93"/>
      <c r="M83"/>
      <c r="N83"/>
      <c r="O83"/>
      <c r="P83"/>
      <c r="Q83" t="str">
        <f t="shared" si="34"/>
        <v/>
      </c>
      <c r="V83" s="36"/>
      <c r="W83" s="36"/>
      <c r="X83" s="36"/>
      <c r="Y83" s="36"/>
      <c r="Z83" s="36"/>
      <c r="AA83" s="36"/>
      <c r="AB83" s="36"/>
      <c r="AC83" s="36"/>
      <c r="AD83" s="172"/>
      <c r="AE83" s="172"/>
      <c r="AF83" s="172"/>
      <c r="AG83" s="172"/>
      <c r="AH83" s="172"/>
      <c r="AI83" s="172"/>
      <c r="AJ83" s="172"/>
      <c r="AK83" s="172"/>
      <c r="AL83" s="172"/>
      <c r="AM83" s="172"/>
      <c r="AN83" s="172"/>
      <c r="AO83" s="172"/>
      <c r="AP83" s="172"/>
      <c r="AQ83" s="172"/>
      <c r="AR83" s="172"/>
      <c r="AS83" s="172"/>
      <c r="AT83" s="172"/>
      <c r="AU83" s="172"/>
      <c r="AV83" s="172"/>
      <c r="AW83" s="172"/>
      <c r="AY83" s="169"/>
    </row>
    <row r="84" spans="1:51" ht="15" x14ac:dyDescent="0.25">
      <c r="A84" s="170" t="str">
        <f t="shared" si="31"/>
        <v>Imports of Oil Diesel</v>
      </c>
      <c r="B84" s="30" t="str">
        <f t="shared" si="36"/>
        <v>IMPODS</v>
      </c>
      <c r="D84" s="171" t="str">
        <f>NameConv!C36</f>
        <v>ODS</v>
      </c>
      <c r="E84" s="30">
        <v>0</v>
      </c>
      <c r="F84" s="93">
        <f t="shared" si="39"/>
        <v>119.88592507685335</v>
      </c>
      <c r="G84" s="93">
        <f t="shared" si="39"/>
        <v>137.16824623619675</v>
      </c>
      <c r="H84" s="93">
        <f t="shared" si="39"/>
        <v>131.58041064587684</v>
      </c>
      <c r="I84" s="93">
        <f t="shared" si="39"/>
        <v>118.80821501085993</v>
      </c>
      <c r="J84" s="93">
        <v>0</v>
      </c>
      <c r="K84" s="93">
        <f t="shared" si="37"/>
        <v>140.06492</v>
      </c>
      <c r="L84" s="93"/>
      <c r="M84"/>
      <c r="N84"/>
      <c r="O84"/>
      <c r="P84"/>
      <c r="Q84" t="str">
        <f t="shared" si="34"/>
        <v/>
      </c>
      <c r="V84" s="36"/>
      <c r="W84" s="36"/>
      <c r="X84" s="36"/>
      <c r="Y84" s="36"/>
      <c r="Z84" s="36"/>
      <c r="AA84" s="36"/>
      <c r="AB84" s="36"/>
      <c r="AC84" s="36"/>
      <c r="AD84" s="172"/>
      <c r="AE84" s="172"/>
      <c r="AF84" s="172"/>
      <c r="AG84" s="172"/>
      <c r="AH84" s="172"/>
      <c r="AI84" s="172"/>
      <c r="AJ84" s="172"/>
      <c r="AK84" s="172"/>
      <c r="AL84" s="172"/>
      <c r="AM84" s="172"/>
      <c r="AN84" s="172"/>
      <c r="AO84" s="172"/>
      <c r="AP84" s="172"/>
      <c r="AQ84" s="172"/>
      <c r="AR84" s="172"/>
      <c r="AS84" s="172"/>
      <c r="AT84" s="172"/>
      <c r="AU84" s="172"/>
      <c r="AV84" s="172"/>
      <c r="AW84" s="172"/>
      <c r="AY84" s="169"/>
    </row>
    <row r="85" spans="1:51" ht="15" x14ac:dyDescent="0.25">
      <c r="A85" s="170" t="str">
        <f t="shared" si="31"/>
        <v>Imports of Oil Gasoline</v>
      </c>
      <c r="B85" s="30" t="str">
        <f t="shared" si="36"/>
        <v>IMPOGS</v>
      </c>
      <c r="D85" s="171" t="str">
        <f>NameConv!C37</f>
        <v>OGS</v>
      </c>
      <c r="E85" s="30">
        <v>0</v>
      </c>
      <c r="F85" s="93">
        <f t="shared" si="39"/>
        <v>129.68934115889218</v>
      </c>
      <c r="G85" s="93">
        <f t="shared" si="39"/>
        <v>144.96619006194166</v>
      </c>
      <c r="H85" s="93">
        <f t="shared" si="39"/>
        <v>139.34642310222276</v>
      </c>
      <c r="I85" s="93">
        <f t="shared" si="39"/>
        <v>126.50124148000812</v>
      </c>
      <c r="J85" s="93">
        <v>0</v>
      </c>
      <c r="K85" s="93">
        <f t="shared" si="37"/>
        <v>63.331960000000002</v>
      </c>
      <c r="L85" s="93"/>
      <c r="M85"/>
      <c r="N85"/>
      <c r="O85"/>
      <c r="P85"/>
      <c r="Q85" t="str">
        <f t="shared" si="34"/>
        <v/>
      </c>
      <c r="V85" s="36"/>
      <c r="W85" s="36"/>
      <c r="X85" s="36"/>
      <c r="Y85" s="36"/>
      <c r="Z85" s="36"/>
      <c r="AA85" s="36"/>
      <c r="AB85" s="36"/>
      <c r="AC85" s="36"/>
      <c r="AD85" s="172"/>
      <c r="AE85" s="172"/>
      <c r="AF85" s="172"/>
      <c r="AG85" s="172"/>
      <c r="AH85" s="172"/>
      <c r="AI85" s="172"/>
      <c r="AJ85" s="172"/>
      <c r="AK85" s="172"/>
      <c r="AL85" s="172"/>
      <c r="AM85" s="172"/>
      <c r="AN85" s="172"/>
      <c r="AO85" s="172"/>
      <c r="AP85" s="172"/>
      <c r="AQ85" s="172"/>
      <c r="AR85" s="172"/>
      <c r="AS85" s="172"/>
      <c r="AT85" s="172"/>
      <c r="AU85" s="172"/>
      <c r="AV85" s="172"/>
      <c r="AW85" s="172"/>
      <c r="AY85" s="169"/>
    </row>
    <row r="86" spans="1:51" ht="15" x14ac:dyDescent="0.25">
      <c r="A86" s="170" t="str">
        <f t="shared" si="31"/>
        <v>Imports of Oil HFO</v>
      </c>
      <c r="B86" s="30" t="str">
        <f t="shared" si="36"/>
        <v>IMPOHF</v>
      </c>
      <c r="D86" s="171" t="str">
        <f>NameConv!C38</f>
        <v>OHF</v>
      </c>
      <c r="E86" s="30">
        <v>0</v>
      </c>
      <c r="F86" s="93">
        <f t="shared" si="39"/>
        <v>100.47067714884695</v>
      </c>
      <c r="G86" s="93">
        <f t="shared" si="39"/>
        <v>114.26077009084555</v>
      </c>
      <c r="H86" s="93">
        <f t="shared" si="39"/>
        <v>109.66407244351267</v>
      </c>
      <c r="I86" s="93">
        <f t="shared" si="39"/>
        <v>99.157334963894698</v>
      </c>
      <c r="J86" s="93">
        <v>0</v>
      </c>
      <c r="K86" s="93">
        <f t="shared" si="37"/>
        <v>4.206396917894736</v>
      </c>
      <c r="L86" s="93"/>
      <c r="M86"/>
      <c r="N86"/>
      <c r="O86"/>
      <c r="P86"/>
      <c r="Q86" t="str">
        <f t="shared" si="34"/>
        <v/>
      </c>
      <c r="V86" s="36"/>
      <c r="W86" s="36"/>
      <c r="X86" s="36"/>
      <c r="Y86" s="36"/>
      <c r="Z86" s="36"/>
      <c r="AA86" s="36"/>
      <c r="AB86" s="36"/>
      <c r="AC86" s="36"/>
      <c r="AD86" s="172"/>
      <c r="AE86" s="172"/>
      <c r="AF86" s="172"/>
      <c r="AG86" s="172"/>
      <c r="AH86" s="172"/>
      <c r="AI86" s="172"/>
      <c r="AJ86" s="172"/>
      <c r="AK86" s="172"/>
      <c r="AL86" s="172"/>
      <c r="AM86" s="172"/>
      <c r="AN86" s="172"/>
      <c r="AO86" s="172"/>
      <c r="AP86" s="172"/>
      <c r="AQ86" s="172"/>
      <c r="AR86" s="172"/>
      <c r="AS86" s="172"/>
      <c r="AT86" s="172"/>
      <c r="AU86" s="172"/>
      <c r="AV86" s="172"/>
      <c r="AW86" s="172"/>
      <c r="AY86" s="169"/>
    </row>
    <row r="87" spans="1:51" ht="15" x14ac:dyDescent="0.25">
      <c r="A87" s="170" t="str">
        <f t="shared" si="31"/>
        <v>Imports of Oil LPG</v>
      </c>
      <c r="B87" s="30" t="str">
        <f t="shared" si="36"/>
        <v>IMPOLP</v>
      </c>
      <c r="D87" s="171" t="str">
        <f>NameConv!C40</f>
        <v>OLP</v>
      </c>
      <c r="E87" s="30">
        <v>0</v>
      </c>
      <c r="F87" s="93">
        <f t="shared" si="39"/>
        <v>279.11033386004658</v>
      </c>
      <c r="G87" s="93">
        <f t="shared" si="39"/>
        <v>293.12018996647748</v>
      </c>
      <c r="H87" s="93">
        <f t="shared" si="39"/>
        <v>288.45023793100052</v>
      </c>
      <c r="I87" s="93">
        <f t="shared" si="39"/>
        <v>277.77606184991026</v>
      </c>
      <c r="J87" s="93">
        <v>0</v>
      </c>
      <c r="K87" s="93">
        <f>0.66+0.56+1.22/0.79+0.57/0.65</f>
        <v>3.6412268743914313</v>
      </c>
      <c r="L87" s="93"/>
      <c r="M87"/>
      <c r="N87"/>
      <c r="O87"/>
      <c r="P87"/>
      <c r="Q87" t="str">
        <f t="shared" si="34"/>
        <v/>
      </c>
      <c r="V87" s="36"/>
      <c r="W87" s="36"/>
      <c r="X87" s="36"/>
      <c r="Y87" s="36"/>
      <c r="Z87" s="36"/>
      <c r="AA87" s="36"/>
      <c r="AB87" s="36"/>
      <c r="AC87" s="36"/>
      <c r="AD87" s="172"/>
      <c r="AE87" s="172"/>
      <c r="AF87" s="172"/>
      <c r="AG87" s="172"/>
      <c r="AH87" s="172"/>
      <c r="AI87" s="172"/>
      <c r="AJ87" s="172"/>
      <c r="AK87" s="172"/>
      <c r="AL87" s="172"/>
      <c r="AM87" s="172"/>
      <c r="AN87" s="172"/>
      <c r="AO87" s="172"/>
      <c r="AP87" s="172"/>
      <c r="AQ87" s="172"/>
      <c r="AR87" s="172"/>
      <c r="AS87" s="172"/>
      <c r="AT87" s="172"/>
      <c r="AU87" s="172"/>
      <c r="AV87" s="172"/>
      <c r="AW87" s="172"/>
      <c r="AY87" s="169"/>
    </row>
    <row r="88" spans="1:51" ht="15" x14ac:dyDescent="0.25">
      <c r="A88" s="170" t="str">
        <f t="shared" si="31"/>
        <v>Imports of Oil Kerosene</v>
      </c>
      <c r="B88" s="30" t="str">
        <f t="shared" si="36"/>
        <v>IMPOKE</v>
      </c>
      <c r="D88" s="171" t="str">
        <f>NameConv!C39</f>
        <v>OKE</v>
      </c>
      <c r="E88" s="30">
        <v>0</v>
      </c>
      <c r="F88" s="93">
        <f t="shared" si="39"/>
        <v>130.76519298631914</v>
      </c>
      <c r="G88" s="93">
        <f t="shared" si="39"/>
        <v>146.95568543130369</v>
      </c>
      <c r="H88" s="93">
        <f t="shared" si="39"/>
        <v>141.55885461630882</v>
      </c>
      <c r="I88" s="93">
        <f t="shared" si="39"/>
        <v>129.22324132489203</v>
      </c>
      <c r="J88" s="93">
        <v>0</v>
      </c>
      <c r="K88" s="93">
        <f>SUMIF($C$8:$AZ$8,D88,$C$11:$AZ$11)</f>
        <v>9.3231960462962959</v>
      </c>
      <c r="L88" s="93"/>
      <c r="M88"/>
      <c r="N88"/>
      <c r="O88"/>
      <c r="P88"/>
      <c r="Q88" t="str">
        <f t="shared" si="34"/>
        <v/>
      </c>
      <c r="V88" s="36"/>
      <c r="W88" s="36"/>
      <c r="X88" s="36"/>
      <c r="Y88" s="36"/>
      <c r="Z88" s="36"/>
      <c r="AA88" s="36"/>
      <c r="AB88" s="36"/>
      <c r="AC88" s="36"/>
      <c r="AD88" s="172"/>
      <c r="AE88" s="172"/>
      <c r="AF88" s="172"/>
      <c r="AG88" s="172"/>
      <c r="AH88" s="172"/>
      <c r="AI88" s="172"/>
      <c r="AJ88" s="172"/>
      <c r="AK88" s="172"/>
      <c r="AL88" s="172"/>
      <c r="AM88" s="172"/>
      <c r="AN88" s="172"/>
      <c r="AO88" s="172"/>
      <c r="AP88" s="172"/>
      <c r="AQ88" s="172"/>
      <c r="AR88" s="172"/>
      <c r="AS88" s="172"/>
      <c r="AT88" s="172"/>
      <c r="AU88" s="172"/>
      <c r="AV88" s="172"/>
      <c r="AW88" s="172"/>
      <c r="AY88" s="169"/>
    </row>
    <row r="89" spans="1:51" ht="15" x14ac:dyDescent="0.25">
      <c r="A89" s="170" t="str">
        <f t="shared" si="31"/>
        <v>Imports of Biodiesel</v>
      </c>
      <c r="B89" s="30" t="str">
        <f t="shared" si="36"/>
        <v>IMPBID</v>
      </c>
      <c r="D89" s="171" t="str">
        <f>NameConv!C7</f>
        <v>BID</v>
      </c>
      <c r="E89" s="30">
        <v>0</v>
      </c>
      <c r="F89" s="93">
        <f>F84*1.05</f>
        <v>125.88022133069603</v>
      </c>
      <c r="G89" s="93">
        <f t="shared" ref="G89:I90" si="40">G84*1.05</f>
        <v>144.02665854800659</v>
      </c>
      <c r="H89" s="93">
        <f t="shared" si="40"/>
        <v>138.15943117817068</v>
      </c>
      <c r="I89" s="93">
        <f t="shared" si="40"/>
        <v>124.74862576140292</v>
      </c>
      <c r="J89" s="93">
        <v>0</v>
      </c>
      <c r="K89" s="93"/>
      <c r="L89" s="93"/>
      <c r="M89"/>
      <c r="N89"/>
      <c r="O89"/>
      <c r="P89"/>
      <c r="Q89" t="str">
        <f t="shared" si="34"/>
        <v/>
      </c>
      <c r="V89" s="36"/>
      <c r="W89" s="36"/>
      <c r="X89" s="36"/>
      <c r="Y89" s="36"/>
      <c r="Z89" s="36"/>
      <c r="AA89" s="36"/>
      <c r="AB89" s="36"/>
      <c r="AC89" s="36"/>
      <c r="AD89" s="172"/>
      <c r="AE89" s="172"/>
      <c r="AF89" s="172"/>
      <c r="AG89" s="172"/>
      <c r="AH89" s="172"/>
      <c r="AI89" s="172"/>
      <c r="AJ89" s="172"/>
      <c r="AK89" s="172"/>
      <c r="AL89" s="172"/>
      <c r="AM89" s="172"/>
      <c r="AN89" s="172"/>
      <c r="AO89" s="172"/>
      <c r="AP89" s="172"/>
      <c r="AQ89" s="172"/>
      <c r="AR89" s="172"/>
      <c r="AS89" s="172"/>
      <c r="AT89" s="172"/>
      <c r="AU89" s="172"/>
      <c r="AV89" s="172"/>
      <c r="AW89" s="172"/>
      <c r="AY89" s="169"/>
    </row>
    <row r="90" spans="1:51" ht="15" x14ac:dyDescent="0.25">
      <c r="A90" s="170" t="str">
        <f t="shared" si="31"/>
        <v>Imports of Bioethanol</v>
      </c>
      <c r="B90" s="30" t="str">
        <f>"IMP"&amp;D90</f>
        <v>IMPBIE</v>
      </c>
      <c r="D90" s="171" t="str">
        <f>NameConv!C6</f>
        <v>BIE</v>
      </c>
      <c r="E90" s="30">
        <v>0</v>
      </c>
      <c r="F90" s="93">
        <f>F85*1.05</f>
        <v>136.17380821683679</v>
      </c>
      <c r="G90" s="93">
        <f t="shared" si="40"/>
        <v>152.21449956503875</v>
      </c>
      <c r="H90" s="93">
        <f t="shared" si="40"/>
        <v>146.31374425733389</v>
      </c>
      <c r="I90" s="93">
        <f t="shared" si="40"/>
        <v>132.82630355400852</v>
      </c>
      <c r="J90" s="93">
        <v>0</v>
      </c>
      <c r="K90" s="93"/>
      <c r="L90" s="93"/>
      <c r="M90"/>
      <c r="N90"/>
      <c r="O90"/>
      <c r="P90"/>
      <c r="Q90" t="str">
        <f t="shared" si="34"/>
        <v/>
      </c>
      <c r="V90" s="36"/>
      <c r="W90" s="36"/>
      <c r="X90" s="36"/>
      <c r="Y90" s="36"/>
      <c r="Z90" s="36"/>
      <c r="AA90" s="36"/>
      <c r="AB90" s="36"/>
      <c r="AC90" s="36"/>
      <c r="AD90" s="172"/>
      <c r="AE90" s="172"/>
      <c r="AF90" s="172"/>
      <c r="AG90" s="172"/>
      <c r="AH90" s="172"/>
      <c r="AI90" s="172"/>
      <c r="AJ90" s="172"/>
      <c r="AK90" s="172"/>
      <c r="AL90" s="172"/>
      <c r="AM90" s="172"/>
      <c r="AN90" s="172"/>
      <c r="AO90" s="172"/>
      <c r="AP90" s="172"/>
      <c r="AQ90" s="172"/>
      <c r="AR90" s="172"/>
      <c r="AS90" s="172"/>
      <c r="AT90" s="172"/>
      <c r="AU90" s="172"/>
      <c r="AV90" s="172"/>
      <c r="AW90" s="172"/>
      <c r="AY90" s="169"/>
    </row>
    <row r="91" spans="1:51" ht="15" x14ac:dyDescent="0.25">
      <c r="A91" s="167" t="s">
        <v>362</v>
      </c>
      <c r="B91" s="39"/>
      <c r="D91" s="171"/>
      <c r="F91" s="93"/>
      <c r="G91" s="93"/>
      <c r="H91" s="93"/>
      <c r="I91" s="93"/>
      <c r="J91" s="93"/>
      <c r="K91" s="93"/>
      <c r="L91" s="93"/>
      <c r="M91"/>
      <c r="N91"/>
      <c r="O91"/>
      <c r="P91"/>
      <c r="Q91"/>
      <c r="V91" s="36"/>
      <c r="W91" s="36"/>
      <c r="X91" s="36"/>
      <c r="Y91" s="36"/>
      <c r="Z91" s="36"/>
      <c r="AA91" s="36"/>
      <c r="AB91" s="36"/>
      <c r="AC91" s="36"/>
      <c r="AD91" s="172"/>
      <c r="AE91" s="172"/>
      <c r="AF91" s="172"/>
      <c r="AG91" s="172"/>
      <c r="AH91" s="172"/>
      <c r="AI91" s="172"/>
      <c r="AJ91" s="172"/>
      <c r="AK91" s="172"/>
      <c r="AL91" s="172"/>
      <c r="AM91" s="172"/>
      <c r="AN91" s="172"/>
      <c r="AO91" s="172"/>
      <c r="AP91" s="172"/>
      <c r="AQ91" s="172"/>
      <c r="AR91" s="172"/>
      <c r="AS91" s="172"/>
      <c r="AT91" s="172"/>
      <c r="AU91" s="172"/>
      <c r="AV91" s="172"/>
      <c r="AW91" s="172"/>
      <c r="AY91" s="169"/>
    </row>
    <row r="92" spans="1:51" ht="15" x14ac:dyDescent="0.25">
      <c r="A92" s="170" t="str">
        <f>"Extraction of "&amp;INDEX(FuelNamesLong,MATCH(D92,FuelNamesShort,0))</f>
        <v>Extraction of Gas Southern Mozambique</v>
      </c>
      <c r="B92" s="30" t="str">
        <f>$B$49&amp;RIGHT($D92,3)</f>
        <v>MIRGRS</v>
      </c>
      <c r="D92" s="171" t="str">
        <f>NameConv!C19</f>
        <v>GRS</v>
      </c>
      <c r="E92" s="30">
        <v>0</v>
      </c>
      <c r="F92" s="93">
        <v>100.07852866986421</v>
      </c>
      <c r="G92" s="93">
        <f>F92</f>
        <v>100.07852866986421</v>
      </c>
      <c r="H92" s="93">
        <f ca="1">H93/G93*G92</f>
        <v>100.07852866986421</v>
      </c>
      <c r="I92" s="93">
        <f ca="1">I93/H93*H92</f>
        <v>100.07852866986421</v>
      </c>
      <c r="J92" s="93">
        <v>3</v>
      </c>
      <c r="K92" s="93">
        <v>116</v>
      </c>
      <c r="L92" s="93">
        <v>156</v>
      </c>
      <c r="M92"/>
      <c r="N92"/>
      <c r="O92"/>
      <c r="P92"/>
      <c r="Q92">
        <v>4500</v>
      </c>
      <c r="V92" s="36"/>
      <c r="W92" s="36"/>
      <c r="X92" s="36"/>
      <c r="Y92" s="36"/>
      <c r="Z92" s="36"/>
      <c r="AA92" s="36"/>
      <c r="AB92" s="36"/>
      <c r="AC92" s="36"/>
      <c r="AD92" s="172"/>
      <c r="AE92" s="172"/>
      <c r="AF92" s="172"/>
      <c r="AG92" s="172"/>
      <c r="AH92" s="172"/>
      <c r="AI92" s="172"/>
      <c r="AJ92" s="172"/>
      <c r="AK92" s="172"/>
      <c r="AL92" s="172"/>
      <c r="AM92" s="172"/>
      <c r="AN92" s="172"/>
      <c r="AO92" s="172"/>
      <c r="AP92" s="172"/>
      <c r="AQ92" s="172"/>
      <c r="AR92" s="172"/>
      <c r="AS92" s="172"/>
      <c r="AT92" s="172"/>
      <c r="AU92" s="172"/>
      <c r="AV92" s="172"/>
      <c r="AW92" s="172"/>
      <c r="AY92" s="169"/>
    </row>
    <row r="93" spans="1:51" ht="15" x14ac:dyDescent="0.25">
      <c r="A93" s="170" t="str">
        <f>"Extraction of "&amp;INDEX(FuelNamesLong,MATCH(D93,FuelNamesShort,0))</f>
        <v>Extraction of Gas Northern Mozambique</v>
      </c>
      <c r="B93" s="30" t="str">
        <f>$B$49&amp;RIGHT($D93,3)</f>
        <v>MIRGRM</v>
      </c>
      <c r="D93" s="171" t="str">
        <f>NameConv!C23</f>
        <v>GRM</v>
      </c>
      <c r="E93" s="30">
        <v>0</v>
      </c>
      <c r="F93" s="93">
        <v>100.07852866986421</v>
      </c>
      <c r="G93" s="93">
        <f ca="1">SUMIF($E$37:$G$42,$D93,$G$37:$G$42)*$E$54</f>
        <v>100.07852866986421</v>
      </c>
      <c r="H93" s="93">
        <f ca="1">SUMIF($E$37:$G$42,$D93,$G$37:$G$42)*$E$54</f>
        <v>100.07852866986421</v>
      </c>
      <c r="I93" s="93">
        <f ca="1">SUMIF($E$37:$G$42,$D93,$G$37:$G$42)*$E$54</f>
        <v>100.07852866986421</v>
      </c>
      <c r="J93" s="93"/>
      <c r="K93" s="93"/>
      <c r="L93" s="93"/>
      <c r="M93"/>
      <c r="N93"/>
      <c r="O93"/>
      <c r="P93">
        <f>'Gas Price'!K30</f>
        <v>2032</v>
      </c>
      <c r="Q93">
        <v>170000</v>
      </c>
      <c r="V93" s="36"/>
      <c r="W93" s="36"/>
      <c r="X93" s="36"/>
      <c r="Y93" s="36"/>
      <c r="Z93" s="36"/>
      <c r="AA93" s="36"/>
      <c r="AB93" s="36"/>
      <c r="AC93" s="36"/>
      <c r="AD93" s="172"/>
      <c r="AE93" s="172"/>
      <c r="AF93" s="172"/>
      <c r="AG93" s="172"/>
      <c r="AH93" s="172"/>
      <c r="AI93" s="172"/>
      <c r="AJ93" s="172"/>
      <c r="AK93" s="172"/>
      <c r="AL93" s="172"/>
      <c r="AM93" s="172"/>
      <c r="AN93" s="172"/>
      <c r="AO93" s="172"/>
      <c r="AP93" s="172"/>
      <c r="AQ93" s="172"/>
      <c r="AR93" s="172"/>
      <c r="AS93" s="172"/>
      <c r="AT93" s="172"/>
      <c r="AU93" s="172"/>
      <c r="AV93" s="172"/>
      <c r="AW93" s="172"/>
      <c r="AY93" s="169"/>
    </row>
    <row r="94" spans="1:51" ht="15" x14ac:dyDescent="0.25">
      <c r="A94" s="167" t="s">
        <v>363</v>
      </c>
      <c r="B94" s="39">
        <v>-0.95</v>
      </c>
      <c r="D94" s="171"/>
      <c r="F94" s="93"/>
      <c r="G94" s="93"/>
      <c r="H94" s="93"/>
      <c r="I94" s="93"/>
      <c r="J94" s="93"/>
      <c r="K94" s="93"/>
      <c r="L94" s="93"/>
      <c r="M94"/>
      <c r="N94"/>
      <c r="O94"/>
      <c r="P94"/>
      <c r="Q94"/>
      <c r="V94" s="36"/>
      <c r="W94" s="36"/>
      <c r="X94" s="36"/>
      <c r="Y94" s="36"/>
      <c r="Z94" s="36"/>
      <c r="AA94" s="36"/>
      <c r="AB94" s="36"/>
      <c r="AC94" s="36"/>
      <c r="AD94" s="172"/>
      <c r="AE94" s="172"/>
      <c r="AF94" s="172"/>
      <c r="AG94" s="172"/>
      <c r="AH94" s="172"/>
      <c r="AI94" s="172"/>
      <c r="AJ94" s="172"/>
      <c r="AK94" s="172"/>
      <c r="AL94" s="172"/>
      <c r="AM94" s="172"/>
      <c r="AN94" s="172"/>
      <c r="AO94" s="172"/>
      <c r="AP94" s="172"/>
      <c r="AQ94" s="172"/>
      <c r="AR94" s="172"/>
      <c r="AS94" s="172"/>
      <c r="AT94" s="172"/>
      <c r="AU94" s="172"/>
      <c r="AV94" s="172"/>
      <c r="AW94" s="172"/>
      <c r="AY94" s="169"/>
    </row>
    <row r="95" spans="1:51" ht="15" x14ac:dyDescent="0.25">
      <c r="A95" s="170" t="str">
        <f t="shared" ref="A95:A102" si="41">"Exports of "&amp;INDEX(FuelNamesLong,MATCH(C95,FuelNamesShort,0))</f>
        <v>Exports of Coal</v>
      </c>
      <c r="B95" s="30" t="str">
        <f t="shared" ref="B95:B102" si="42">"PEX"&amp;C95</f>
        <v>PEXCOA</v>
      </c>
      <c r="C95" s="171" t="str">
        <f>NameConv!C11</f>
        <v>COA</v>
      </c>
      <c r="E95" s="30">
        <v>3</v>
      </c>
      <c r="F95" s="93">
        <f>F60*$B$94</f>
        <v>-43.32</v>
      </c>
      <c r="G95" s="93">
        <f>G60*$B$94</f>
        <v>-43.32</v>
      </c>
      <c r="H95" s="93">
        <f>H60*$B$94</f>
        <v>-43.32</v>
      </c>
      <c r="I95" s="93">
        <f>I60*$B$94</f>
        <v>-43.32</v>
      </c>
      <c r="J95" s="93">
        <v>3</v>
      </c>
      <c r="K95" s="93">
        <v>1727</v>
      </c>
      <c r="L95" s="93">
        <v>1727</v>
      </c>
      <c r="M95"/>
      <c r="N95">
        <v>1000</v>
      </c>
      <c r="O95">
        <v>500</v>
      </c>
      <c r="P95"/>
      <c r="Q95" t="str">
        <f t="shared" ref="Q95:Q102" si="43">$Q$60</f>
        <v/>
      </c>
      <c r="V95" s="36"/>
      <c r="W95" s="36"/>
      <c r="X95" s="36"/>
      <c r="Y95" s="36"/>
      <c r="Z95" s="36"/>
      <c r="AA95" s="36"/>
      <c r="AB95" s="36"/>
      <c r="AC95" s="36"/>
      <c r="AD95" s="172"/>
      <c r="AE95" s="172"/>
      <c r="AF95" s="172"/>
      <c r="AG95" s="172"/>
      <c r="AH95" s="172"/>
      <c r="AI95" s="172"/>
      <c r="AJ95" s="172"/>
      <c r="AK95" s="172"/>
      <c r="AL95" s="172"/>
      <c r="AM95" s="172"/>
      <c r="AN95" s="172"/>
      <c r="AO95" s="172"/>
      <c r="AP95" s="172"/>
      <c r="AQ95" s="172"/>
      <c r="AR95" s="172"/>
      <c r="AS95" s="172"/>
      <c r="AT95" s="172"/>
      <c r="AU95" s="172"/>
      <c r="AV95" s="172"/>
      <c r="AW95" s="172"/>
      <c r="AY95" s="169"/>
    </row>
    <row r="96" spans="1:51" ht="15" x14ac:dyDescent="0.25">
      <c r="A96" s="170" t="str">
        <f t="shared" si="41"/>
        <v>Exports of Coal Coking</v>
      </c>
      <c r="B96" s="30" t="str">
        <f t="shared" si="42"/>
        <v>PEXCOK</v>
      </c>
      <c r="C96" s="171" t="str">
        <f>NameConv!C12</f>
        <v>COK</v>
      </c>
      <c r="E96" s="30">
        <v>0</v>
      </c>
      <c r="F96" s="93">
        <f>F78*$B$94</f>
        <v>-64.98</v>
      </c>
      <c r="G96" s="93">
        <f>G78*$B$94</f>
        <v>-64.98</v>
      </c>
      <c r="H96" s="93">
        <f>H78*$B$94</f>
        <v>-64.98</v>
      </c>
      <c r="I96" s="93">
        <f>I78*$B$94</f>
        <v>-64.98</v>
      </c>
      <c r="J96" s="93">
        <v>0</v>
      </c>
      <c r="K96" s="468">
        <f>SUMIF($C$8:$AZ$8,C96,$C$12:$AZ$12)</f>
        <v>20.834015000000001</v>
      </c>
      <c r="L96" s="93"/>
      <c r="M96"/>
      <c r="N96"/>
      <c r="O96"/>
      <c r="P96"/>
      <c r="Q96" t="str">
        <f t="shared" si="43"/>
        <v/>
      </c>
      <c r="V96" s="36"/>
      <c r="W96" s="36"/>
      <c r="X96" s="36"/>
      <c r="Y96" s="36"/>
      <c r="Z96" s="36"/>
      <c r="AA96" s="36"/>
      <c r="AB96" s="36"/>
      <c r="AC96" s="36"/>
      <c r="AD96" s="172"/>
      <c r="AE96" s="172"/>
      <c r="AF96" s="172"/>
      <c r="AG96" s="172"/>
      <c r="AH96" s="172"/>
      <c r="AI96" s="172"/>
      <c r="AJ96" s="172"/>
      <c r="AK96" s="172"/>
      <c r="AL96" s="172"/>
      <c r="AM96" s="172"/>
      <c r="AN96" s="172"/>
      <c r="AO96" s="172"/>
      <c r="AP96" s="172"/>
      <c r="AQ96" s="172"/>
      <c r="AR96" s="172"/>
      <c r="AS96" s="172"/>
      <c r="AT96" s="172"/>
      <c r="AU96" s="172"/>
      <c r="AV96" s="172"/>
      <c r="AW96" s="172"/>
      <c r="AY96" s="169"/>
    </row>
    <row r="97" spans="1:51" ht="15" x14ac:dyDescent="0.25">
      <c r="A97" s="170" t="str">
        <f t="shared" si="41"/>
        <v>Exports of Oil Av Gasoline</v>
      </c>
      <c r="B97" s="30" t="str">
        <f t="shared" si="42"/>
        <v>PEXOAG</v>
      </c>
      <c r="C97" s="171" t="str">
        <f>NameConv!C34</f>
        <v>OAG</v>
      </c>
      <c r="E97" s="30">
        <v>0</v>
      </c>
      <c r="F97" s="93">
        <f t="shared" ref="F97:I97" si="44">F100</f>
        <v>-123.20487410094756</v>
      </c>
      <c r="G97" s="93">
        <f t="shared" si="44"/>
        <v>-137.71788055884457</v>
      </c>
      <c r="H97" s="93">
        <f t="shared" si="44"/>
        <v>-132.37910194711162</v>
      </c>
      <c r="I97" s="93">
        <f t="shared" si="44"/>
        <v>-120.17617940600771</v>
      </c>
      <c r="J97" s="93">
        <v>0</v>
      </c>
      <c r="K97" s="468">
        <f>SUMIF($C$8:$AZ$8,C97,$C$12:$AZ$12)</f>
        <v>0.22564281164383562</v>
      </c>
      <c r="L97" s="93"/>
      <c r="M97"/>
      <c r="N97"/>
      <c r="O97"/>
      <c r="P97"/>
      <c r="Q97" t="str">
        <f t="shared" si="43"/>
        <v/>
      </c>
      <c r="V97" s="36"/>
      <c r="W97" s="36"/>
      <c r="X97" s="36"/>
      <c r="Y97" s="36"/>
      <c r="Z97" s="36"/>
      <c r="AA97" s="36"/>
      <c r="AB97" s="36"/>
      <c r="AC97" s="36"/>
      <c r="AD97" s="172"/>
      <c r="AE97" s="172"/>
      <c r="AF97" s="172"/>
      <c r="AG97" s="172"/>
      <c r="AH97" s="172"/>
      <c r="AI97" s="172"/>
      <c r="AJ97" s="172"/>
      <c r="AK97" s="172"/>
      <c r="AL97" s="172"/>
      <c r="AM97" s="172"/>
      <c r="AN97" s="172"/>
      <c r="AO97" s="172"/>
      <c r="AP97" s="172"/>
      <c r="AQ97" s="172"/>
      <c r="AR97" s="172"/>
      <c r="AS97" s="172"/>
      <c r="AT97" s="172"/>
      <c r="AU97" s="172"/>
      <c r="AV97" s="172"/>
      <c r="AW97" s="172"/>
      <c r="AY97" s="169"/>
    </row>
    <row r="98" spans="1:51" ht="15" x14ac:dyDescent="0.25">
      <c r="A98" s="170" t="str">
        <f t="shared" si="41"/>
        <v>Exports of Oil Crude</v>
      </c>
      <c r="B98" s="30" t="str">
        <f t="shared" si="42"/>
        <v>PEXOCR</v>
      </c>
      <c r="C98" s="171" t="str">
        <f>NameConv!C35</f>
        <v>OCR</v>
      </c>
      <c r="E98" s="30">
        <v>0</v>
      </c>
      <c r="F98" s="93">
        <f t="shared" ref="F98:I102" si="45">SUMIF($E$22:$E$34,$C98,I$22:I$34)*$B$94</f>
        <v>-95.447143291404601</v>
      </c>
      <c r="G98" s="93">
        <f t="shared" si="45"/>
        <v>-108.54773158630327</v>
      </c>
      <c r="H98" s="93">
        <f t="shared" si="45"/>
        <v>-104.18086882133703</v>
      </c>
      <c r="I98" s="93">
        <f t="shared" si="45"/>
        <v>-94.199468215699952</v>
      </c>
      <c r="J98" s="93">
        <v>0</v>
      </c>
      <c r="K98" s="468">
        <f>SUMIF($C$8:$AZ$8,C98,$C$12:$AZ$12)</f>
        <v>20.83803412968</v>
      </c>
      <c r="L98" s="93"/>
      <c r="M98"/>
      <c r="N98"/>
      <c r="O98"/>
      <c r="P98"/>
      <c r="Q98" t="str">
        <f t="shared" si="43"/>
        <v/>
      </c>
      <c r="V98" s="36"/>
      <c r="W98" s="36"/>
      <c r="X98" s="36"/>
      <c r="Y98" s="36"/>
      <c r="Z98" s="36"/>
      <c r="AA98" s="36"/>
      <c r="AB98" s="36"/>
      <c r="AC98" s="36"/>
      <c r="AD98" s="172"/>
      <c r="AE98" s="172"/>
      <c r="AF98" s="172"/>
      <c r="AG98" s="172"/>
      <c r="AH98" s="172"/>
      <c r="AI98" s="172"/>
      <c r="AJ98" s="172"/>
      <c r="AK98" s="172"/>
      <c r="AL98" s="172"/>
      <c r="AM98" s="172"/>
      <c r="AN98" s="172"/>
      <c r="AO98" s="172"/>
      <c r="AP98" s="172"/>
      <c r="AQ98" s="172"/>
      <c r="AR98" s="172"/>
      <c r="AS98" s="172"/>
      <c r="AT98" s="172"/>
      <c r="AU98" s="172"/>
      <c r="AV98" s="172"/>
      <c r="AW98" s="172"/>
      <c r="AY98" s="169"/>
    </row>
    <row r="99" spans="1:51" ht="15" x14ac:dyDescent="0.25">
      <c r="A99" s="170" t="str">
        <f t="shared" si="41"/>
        <v>Exports of Oil Diesel</v>
      </c>
      <c r="B99" s="30" t="str">
        <f t="shared" si="42"/>
        <v>PEXODS</v>
      </c>
      <c r="C99" s="171" t="str">
        <f>NameConv!C36</f>
        <v>ODS</v>
      </c>
      <c r="E99" s="30">
        <v>0</v>
      </c>
      <c r="F99" s="93">
        <f t="shared" si="45"/>
        <v>-113.89162882301068</v>
      </c>
      <c r="G99" s="93">
        <f t="shared" si="45"/>
        <v>-130.30983392438691</v>
      </c>
      <c r="H99" s="93">
        <f t="shared" si="45"/>
        <v>-125.00139011358299</v>
      </c>
      <c r="I99" s="93">
        <f t="shared" si="45"/>
        <v>-112.86780426031693</v>
      </c>
      <c r="J99" s="93">
        <v>0</v>
      </c>
      <c r="K99" s="468">
        <f>SUMIF($C$8:$AZ$8,C99,$C$12:$AZ$12)</f>
        <v>28.73659252275862</v>
      </c>
      <c r="L99" s="93"/>
      <c r="M99"/>
      <c r="N99"/>
      <c r="O99"/>
      <c r="P99"/>
      <c r="Q99" t="str">
        <f t="shared" si="43"/>
        <v/>
      </c>
      <c r="V99" s="36"/>
      <c r="W99" s="36"/>
      <c r="X99" s="36"/>
      <c r="Y99" s="36"/>
      <c r="Z99" s="36"/>
      <c r="AA99" s="36"/>
      <c r="AB99" s="36"/>
      <c r="AC99" s="36"/>
      <c r="AD99" s="172"/>
      <c r="AE99" s="172"/>
      <c r="AF99" s="172"/>
      <c r="AG99" s="172"/>
      <c r="AH99" s="172"/>
      <c r="AI99" s="172"/>
      <c r="AJ99" s="172"/>
      <c r="AK99" s="172"/>
      <c r="AL99" s="172"/>
      <c r="AM99" s="172"/>
      <c r="AN99" s="172"/>
      <c r="AO99" s="172"/>
      <c r="AP99" s="172"/>
      <c r="AQ99" s="172"/>
      <c r="AR99" s="172"/>
      <c r="AS99" s="172"/>
      <c r="AT99" s="172"/>
      <c r="AU99" s="172"/>
      <c r="AV99" s="172"/>
      <c r="AW99" s="172"/>
      <c r="AY99" s="169"/>
    </row>
    <row r="100" spans="1:51" ht="15" x14ac:dyDescent="0.25">
      <c r="A100" s="170" t="str">
        <f t="shared" si="41"/>
        <v>Exports of Oil Gasoline</v>
      </c>
      <c r="B100" s="30" t="str">
        <f t="shared" si="42"/>
        <v>PEXOGS</v>
      </c>
      <c r="C100" s="171" t="str">
        <f>NameConv!C37</f>
        <v>OGS</v>
      </c>
      <c r="E100" s="30">
        <v>0</v>
      </c>
      <c r="F100" s="93">
        <f t="shared" si="45"/>
        <v>-123.20487410094756</v>
      </c>
      <c r="G100" s="93">
        <f t="shared" si="45"/>
        <v>-137.71788055884457</v>
      </c>
      <c r="H100" s="93">
        <f t="shared" si="45"/>
        <v>-132.37910194711162</v>
      </c>
      <c r="I100" s="93">
        <f t="shared" si="45"/>
        <v>-120.17617940600771</v>
      </c>
      <c r="J100" s="93">
        <v>0</v>
      </c>
      <c r="K100" s="468">
        <f>SUMIF($C$8:$AZ$8,C100,$C$12:$AZ$12)</f>
        <v>3.5488458656756761</v>
      </c>
      <c r="L100" s="93"/>
      <c r="M100"/>
      <c r="N100"/>
      <c r="O100"/>
      <c r="P100"/>
      <c r="Q100" t="str">
        <f t="shared" si="43"/>
        <v/>
      </c>
      <c r="V100" s="36"/>
      <c r="W100" s="36"/>
      <c r="X100" s="36"/>
      <c r="Y100" s="36"/>
      <c r="Z100" s="36"/>
      <c r="AA100" s="36"/>
      <c r="AB100" s="36"/>
      <c r="AC100" s="36"/>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Y100" s="169"/>
    </row>
    <row r="101" spans="1:51" ht="15" x14ac:dyDescent="0.25">
      <c r="A101" s="170" t="str">
        <f t="shared" si="41"/>
        <v>Exports of Oil HFO</v>
      </c>
      <c r="B101" s="30" t="str">
        <f t="shared" si="42"/>
        <v>PEXOHF</v>
      </c>
      <c r="C101" s="171" t="str">
        <f>NameConv!C38</f>
        <v>OHF</v>
      </c>
      <c r="E101" s="30">
        <v>0</v>
      </c>
      <c r="F101" s="93">
        <f t="shared" si="45"/>
        <v>-95.447143291404601</v>
      </c>
      <c r="G101" s="93">
        <f t="shared" si="45"/>
        <v>-108.54773158630327</v>
      </c>
      <c r="H101" s="93">
        <f t="shared" si="45"/>
        <v>-104.18086882133703</v>
      </c>
      <c r="I101" s="93">
        <f t="shared" si="45"/>
        <v>-94.199468215699952</v>
      </c>
      <c r="J101" s="93">
        <v>0</v>
      </c>
      <c r="K101" s="468"/>
      <c r="L101" s="93"/>
      <c r="M101"/>
      <c r="N101"/>
      <c r="O101"/>
      <c r="P101"/>
      <c r="Q101" t="str">
        <f t="shared" si="43"/>
        <v/>
      </c>
      <c r="V101" s="36"/>
      <c r="W101" s="36"/>
      <c r="X101" s="36"/>
      <c r="Y101" s="36"/>
      <c r="Z101" s="36"/>
      <c r="AA101" s="36"/>
      <c r="AB101" s="36"/>
      <c r="AC101" s="36"/>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Y101" s="169"/>
    </row>
    <row r="102" spans="1:51" ht="15" x14ac:dyDescent="0.25">
      <c r="A102" s="170" t="str">
        <f t="shared" si="41"/>
        <v>Exports of Oil Kerosene</v>
      </c>
      <c r="B102" s="30" t="str">
        <f t="shared" si="42"/>
        <v>PEXOKE</v>
      </c>
      <c r="C102" s="171" t="str">
        <f>NameConv!C39</f>
        <v>OKE</v>
      </c>
      <c r="E102" s="30">
        <v>0</v>
      </c>
      <c r="F102" s="93">
        <f t="shared" si="45"/>
        <v>-124.22693333700317</v>
      </c>
      <c r="G102" s="93">
        <f t="shared" si="45"/>
        <v>-139.6079011597385</v>
      </c>
      <c r="H102" s="93">
        <f t="shared" si="45"/>
        <v>-134.48091188549338</v>
      </c>
      <c r="I102" s="93">
        <f t="shared" si="45"/>
        <v>-122.76207925864742</v>
      </c>
      <c r="J102" s="93">
        <v>0</v>
      </c>
      <c r="K102" s="468">
        <f>SUMIF($C$8:$AZ$8,C102,$C$12:$AZ$12)</f>
        <v>5.0273560461728382</v>
      </c>
      <c r="L102" s="93"/>
      <c r="M102"/>
      <c r="N102"/>
      <c r="O102"/>
      <c r="P102"/>
      <c r="Q102" t="str">
        <f t="shared" si="43"/>
        <v/>
      </c>
      <c r="V102" s="36"/>
      <c r="W102" s="36"/>
      <c r="X102" s="36"/>
      <c r="Y102" s="36"/>
      <c r="Z102" s="36"/>
      <c r="AA102" s="36"/>
      <c r="AB102" s="36"/>
      <c r="AC102" s="36"/>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Y102" s="169"/>
    </row>
    <row r="103" spans="1:51" x14ac:dyDescent="0.2">
      <c r="A103" s="175"/>
      <c r="B103" s="169"/>
      <c r="E103" s="176"/>
      <c r="F103" s="176"/>
      <c r="G103" s="176"/>
      <c r="H103" s="176"/>
      <c r="I103" s="176"/>
      <c r="J103" s="176"/>
      <c r="K103" s="177"/>
      <c r="L103" s="177"/>
      <c r="M103" s="172"/>
      <c r="N103" s="172"/>
      <c r="O103" s="172"/>
      <c r="P103" s="172"/>
      <c r="Q103" s="172"/>
      <c r="R103" s="172"/>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W103" s="169"/>
    </row>
    <row r="104" spans="1:51" x14ac:dyDescent="0.2">
      <c r="A104" s="175"/>
      <c r="B104" s="169"/>
      <c r="E104" s="176"/>
      <c r="F104" s="176"/>
      <c r="G104" s="176"/>
      <c r="H104" s="178"/>
      <c r="I104" s="179"/>
      <c r="J104" s="177"/>
      <c r="K104" s="177"/>
      <c r="L104" s="172"/>
      <c r="M104" s="172"/>
      <c r="N104" s="172"/>
      <c r="O104" s="172"/>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V104" s="169"/>
    </row>
    <row r="105" spans="1:51" x14ac:dyDescent="0.2">
      <c r="A105" s="175"/>
      <c r="B105" s="169"/>
      <c r="E105" s="176"/>
      <c r="F105" s="176"/>
      <c r="G105" s="176"/>
      <c r="H105" s="176"/>
      <c r="I105" s="176"/>
      <c r="J105" s="177"/>
      <c r="K105" s="177"/>
      <c r="L105" s="172"/>
      <c r="M105" s="172"/>
      <c r="N105" s="172"/>
      <c r="O105" s="172"/>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row>
    <row r="106" spans="1:51" x14ac:dyDescent="0.2">
      <c r="A106" s="175"/>
      <c r="B106" s="169"/>
      <c r="E106" s="176"/>
      <c r="F106" s="176"/>
      <c r="G106" s="176"/>
      <c r="H106" s="178"/>
      <c r="I106" s="176"/>
      <c r="J106" s="177"/>
      <c r="K106" s="177"/>
      <c r="L106" s="172"/>
      <c r="M106" s="172"/>
      <c r="N106" s="172"/>
      <c r="O106" s="172"/>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V106" s="169"/>
    </row>
    <row r="107" spans="1:51" x14ac:dyDescent="0.2">
      <c r="A107" s="175"/>
      <c r="B107" s="169"/>
      <c r="E107" s="176"/>
      <c r="F107" s="176"/>
      <c r="G107" s="176"/>
      <c r="H107" s="179"/>
      <c r="I107" s="179"/>
      <c r="J107" s="172"/>
      <c r="K107" s="172"/>
      <c r="L107" s="172"/>
      <c r="M107" s="172"/>
      <c r="N107" s="172"/>
      <c r="O107" s="172"/>
      <c r="P107" s="172"/>
      <c r="Q107" s="172"/>
      <c r="R107" s="172"/>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row>
    <row r="147" spans="8:8" x14ac:dyDescent="0.2">
      <c r="H147" s="180" t="s">
        <v>365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E36" xr:uid="{A725FED7-1EB6-40C4-B182-FF7DCE6262A9}">
      <formula1>$O$36:$U$36</formula1>
    </dataValidation>
  </dataValidations>
  <hyperlinks>
    <hyperlink ref="H147"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tabColor theme="4"/>
  </sheetPr>
  <dimension ref="A1:P13"/>
  <sheetViews>
    <sheetView tabSelected="1" workbookViewId="0">
      <selection activeCell="L12" sqref="L12"/>
    </sheetView>
  </sheetViews>
  <sheetFormatPr defaultColWidth="11.42578125" defaultRowHeight="12.75" x14ac:dyDescent="0.2"/>
  <cols>
    <col min="1" max="1" width="47" style="28" customWidth="1"/>
    <col min="2" max="2" width="17.28515625" style="28" customWidth="1"/>
    <col min="3" max="11" width="10" style="28" customWidth="1"/>
    <col min="12" max="12" width="9.7109375" style="28" customWidth="1"/>
    <col min="13" max="13" width="7.28515625" style="28" customWidth="1"/>
    <col min="14" max="16384" width="11.42578125" style="28"/>
  </cols>
  <sheetData>
    <row r="1" spans="1:16" ht="18" thickBot="1" x14ac:dyDescent="0.35">
      <c r="A1" s="37"/>
      <c r="B1" s="473" t="s">
        <v>1312</v>
      </c>
      <c r="C1" s="473"/>
      <c r="D1" s="38"/>
      <c r="E1" s="38"/>
      <c r="F1" s="29"/>
      <c r="G1" s="37"/>
      <c r="H1" s="37"/>
      <c r="I1" s="37"/>
    </row>
    <row r="2" spans="1:16" ht="13.5" thickTop="1" x14ac:dyDescent="0.2">
      <c r="A2" s="30"/>
      <c r="B2" s="39"/>
      <c r="C2" s="39"/>
      <c r="D2" s="39"/>
      <c r="E2" s="39"/>
      <c r="F2" s="30"/>
      <c r="G2" s="39"/>
      <c r="H2" s="39"/>
      <c r="I2" s="39"/>
      <c r="J2" s="30"/>
      <c r="K2" s="39" t="s">
        <v>1314</v>
      </c>
      <c r="L2" s="39"/>
    </row>
    <row r="3" spans="1:16" x14ac:dyDescent="0.2">
      <c r="D3" s="28" t="s">
        <v>342</v>
      </c>
    </row>
    <row r="4" spans="1:16" ht="42.75" customHeight="1" x14ac:dyDescent="0.2">
      <c r="A4" s="474" t="s">
        <v>343</v>
      </c>
      <c r="B4" s="157" t="s">
        <v>344</v>
      </c>
      <c r="C4" s="157" t="s">
        <v>345</v>
      </c>
      <c r="D4" s="157" t="s">
        <v>346</v>
      </c>
      <c r="E4" s="157" t="s">
        <v>131</v>
      </c>
      <c r="F4" s="157" t="s">
        <v>662</v>
      </c>
      <c r="G4" s="474" t="s">
        <v>1310</v>
      </c>
      <c r="H4" s="474" t="s">
        <v>1311</v>
      </c>
      <c r="I4" s="157" t="s">
        <v>1320</v>
      </c>
      <c r="J4" s="157" t="s">
        <v>1296</v>
      </c>
      <c r="K4" s="157" t="s">
        <v>663</v>
      </c>
      <c r="L4" s="157" t="s">
        <v>1321</v>
      </c>
      <c r="M4" s="157" t="s">
        <v>1295</v>
      </c>
      <c r="N4" s="157" t="s">
        <v>1297</v>
      </c>
      <c r="O4" s="28" t="s">
        <v>1294</v>
      </c>
      <c r="P4" s="28" t="s">
        <v>1313</v>
      </c>
    </row>
    <row r="5" spans="1:16" ht="26.25" thickBot="1" x14ac:dyDescent="0.25">
      <c r="A5" s="74" t="s">
        <v>356</v>
      </c>
      <c r="B5" s="162"/>
      <c r="C5" s="162"/>
      <c r="D5" s="162"/>
      <c r="E5" s="475" t="s">
        <v>986</v>
      </c>
      <c r="F5" s="475" t="s">
        <v>1293</v>
      </c>
      <c r="G5" s="152" t="s">
        <v>1292</v>
      </c>
      <c r="H5" s="152" t="s">
        <v>1292</v>
      </c>
      <c r="I5" s="152"/>
      <c r="J5" s="152"/>
      <c r="K5" s="152" t="s">
        <v>1291</v>
      </c>
      <c r="L5" s="152"/>
      <c r="M5" s="152" t="s">
        <v>986</v>
      </c>
      <c r="N5" s="163"/>
    </row>
    <row r="6" spans="1:16" ht="15" x14ac:dyDescent="0.25">
      <c r="A6" s="175" t="s">
        <v>1306</v>
      </c>
      <c r="B6" s="169" t="s">
        <v>1307</v>
      </c>
      <c r="C6" s="28" t="s">
        <v>188</v>
      </c>
      <c r="D6" s="28" t="s">
        <v>172</v>
      </c>
      <c r="E6" s="469">
        <f>E7</f>
        <v>80</v>
      </c>
      <c r="F6" s="472">
        <v>0.999</v>
      </c>
      <c r="G6" s="471">
        <v>0.9</v>
      </c>
      <c r="H6" s="471">
        <v>0.5</v>
      </c>
      <c r="I6" s="471"/>
      <c r="J6" s="469">
        <f>'Gas Price'!K27</f>
        <v>2027</v>
      </c>
      <c r="K6" s="476">
        <f>K7</f>
        <v>239.70848957012083</v>
      </c>
      <c r="L6" s="476"/>
      <c r="M6" s="469">
        <f>M7</f>
        <v>-4</v>
      </c>
      <c r="N6" s="172"/>
    </row>
    <row r="7" spans="1:16" x14ac:dyDescent="0.2">
      <c r="A7" s="175" t="s">
        <v>1308</v>
      </c>
      <c r="B7" s="169" t="s">
        <v>1309</v>
      </c>
      <c r="C7" s="28" t="s">
        <v>184</v>
      </c>
      <c r="D7" s="28" t="s">
        <v>188</v>
      </c>
      <c r="E7" s="469">
        <f>HLOOKUP($B7,'Gas Price'!$C$67:$G$78,'Gas Price'!$A$78,FALSE)</f>
        <v>80</v>
      </c>
      <c r="F7" s="472">
        <f>F6</f>
        <v>0.999</v>
      </c>
      <c r="G7" s="471">
        <v>0.9</v>
      </c>
      <c r="H7" s="471">
        <v>0.5</v>
      </c>
      <c r="I7" s="471"/>
      <c r="J7" s="469">
        <f>'Gas Price'!K27</f>
        <v>2027</v>
      </c>
      <c r="K7" s="471">
        <f>IFERROR(HLOOKUP(B7,'Gas Price'!$C$67:$G$77,'Gas Price'!$A$77,FALSE),"")</f>
        <v>239.70848957012083</v>
      </c>
      <c r="L7" s="471"/>
      <c r="M7" s="469">
        <f>-HLOOKUP($B7,'Gas Price'!$C$67:$G$79,'Gas Price'!$A$79,FALSE)</f>
        <v>-4</v>
      </c>
      <c r="N7" s="172"/>
    </row>
    <row r="8" spans="1:16" x14ac:dyDescent="0.2">
      <c r="A8" s="175" t="s">
        <v>1298</v>
      </c>
      <c r="B8" s="169" t="s">
        <v>1299</v>
      </c>
      <c r="C8" s="28" t="s">
        <v>182</v>
      </c>
      <c r="D8" s="28" t="s">
        <v>172</v>
      </c>
      <c r="E8" s="469">
        <f>HLOOKUP($B8,'Gas Price'!$C$67:$G$78,'Gas Price'!$A$78,FALSE)</f>
        <v>80</v>
      </c>
      <c r="F8" s="471">
        <f>F7</f>
        <v>0.999</v>
      </c>
      <c r="G8" s="471">
        <v>0.9</v>
      </c>
      <c r="H8" s="471">
        <v>0.5</v>
      </c>
      <c r="I8" s="471"/>
      <c r="J8" s="470">
        <v>2030</v>
      </c>
      <c r="K8" s="471">
        <f>IFERROR(HLOOKUP(B8,'Gas Price'!$C$67:$G$77,'Gas Price'!$A$77,FALSE),"")</f>
        <v>1198.5424478506043</v>
      </c>
      <c r="L8" s="471"/>
      <c r="M8" s="469">
        <f>-HLOOKUP($B8,'Gas Price'!$C$67:$G$79,'Gas Price'!$A$79,FALSE)</f>
        <v>-4</v>
      </c>
      <c r="N8" s="172"/>
    </row>
    <row r="9" spans="1:16" x14ac:dyDescent="0.2">
      <c r="A9" s="175" t="s">
        <v>1300</v>
      </c>
      <c r="B9" s="169" t="s">
        <v>1301</v>
      </c>
      <c r="C9" s="28" t="s">
        <v>174</v>
      </c>
      <c r="D9" s="28" t="s">
        <v>172</v>
      </c>
      <c r="E9" s="469">
        <f>E8</f>
        <v>80</v>
      </c>
      <c r="F9" s="471">
        <f>F8</f>
        <v>0.999</v>
      </c>
      <c r="G9" s="471">
        <v>0.9</v>
      </c>
      <c r="H9" s="471">
        <v>0.5</v>
      </c>
      <c r="I9" s="471"/>
      <c r="J9" s="469"/>
      <c r="K9" s="471"/>
      <c r="L9" s="471"/>
      <c r="M9" s="469">
        <f>M8</f>
        <v>-4</v>
      </c>
      <c r="N9" s="172">
        <v>150</v>
      </c>
    </row>
    <row r="10" spans="1:16" x14ac:dyDescent="0.2">
      <c r="A10" s="175" t="s">
        <v>1302</v>
      </c>
      <c r="B10" s="169" t="s">
        <v>1303</v>
      </c>
      <c r="C10" s="28" t="s">
        <v>186</v>
      </c>
      <c r="D10" s="28" t="s">
        <v>172</v>
      </c>
      <c r="E10" s="469">
        <f>HLOOKUP($B10,'Gas Price'!$C$67:$G$78,'Gas Price'!$A$78,FALSE)</f>
        <v>80</v>
      </c>
      <c r="F10" s="471">
        <f>F8</f>
        <v>0.999</v>
      </c>
      <c r="G10" s="471">
        <v>0.9</v>
      </c>
      <c r="H10" s="471">
        <v>0.5</v>
      </c>
      <c r="I10" s="471"/>
      <c r="J10" s="469">
        <f>'Gas Price'!K33</f>
        <v>2032</v>
      </c>
      <c r="K10" s="471">
        <f>IFERROR(HLOOKUP(B10,'Gas Price'!$C$67:$G$77,'Gas Price'!$A$77,FALSE),"")</f>
        <v>239.70848957012083</v>
      </c>
      <c r="L10" s="471"/>
      <c r="M10" s="469">
        <f>-HLOOKUP($B10,'Gas Price'!$C$67:$G$79,'Gas Price'!$A$79,FALSE)</f>
        <v>-4</v>
      </c>
      <c r="N10" s="172"/>
    </row>
    <row r="11" spans="1:16" x14ac:dyDescent="0.2">
      <c r="A11" s="175" t="s">
        <v>950</v>
      </c>
      <c r="B11" s="169" t="s">
        <v>1304</v>
      </c>
      <c r="C11" s="28" t="s">
        <v>178</v>
      </c>
      <c r="D11" s="28" t="s">
        <v>188</v>
      </c>
      <c r="E11" s="469">
        <v>50</v>
      </c>
      <c r="F11" s="471">
        <f>F10</f>
        <v>0.999</v>
      </c>
      <c r="G11" s="471"/>
      <c r="H11" s="179"/>
      <c r="I11" s="179"/>
      <c r="J11" s="469">
        <f>'Gas Price'!K36</f>
        <v>2030</v>
      </c>
      <c r="K11" s="471">
        <f>IFERROR(HLOOKUP(B11,'Gas Price'!$C$67:$G$77,'Gas Price'!$A$77,FALSE),"")</f>
        <v>69.134925781250004</v>
      </c>
      <c r="L11" s="471"/>
      <c r="M11" s="469">
        <f>-HLOOKUP($B11,'Gas Price'!$C$67:$G$79,'Gas Price'!$A$79,FALSE)</f>
        <v>-4</v>
      </c>
      <c r="N11" s="172"/>
    </row>
    <row r="12" spans="1:16" x14ac:dyDescent="0.2">
      <c r="A12" s="175" t="s">
        <v>1001</v>
      </c>
      <c r="B12" s="169" t="s">
        <v>1305</v>
      </c>
      <c r="C12" s="28" t="s">
        <v>178</v>
      </c>
      <c r="D12" s="28" t="s">
        <v>188</v>
      </c>
      <c r="E12" s="469">
        <v>5</v>
      </c>
      <c r="F12" s="471">
        <f>F11</f>
        <v>0.999</v>
      </c>
      <c r="G12" s="471"/>
      <c r="H12" s="179"/>
      <c r="I12" s="179"/>
      <c r="J12" s="469">
        <f>'Gas Price'!K39</f>
        <v>2027</v>
      </c>
      <c r="K12" s="471"/>
      <c r="L12" s="471"/>
      <c r="M12" s="469">
        <f>-HLOOKUP($B12,'Gas Price'!$C$67:$G$79,'Gas Price'!$A$79,FALSE)</f>
        <v>-2</v>
      </c>
      <c r="N12" s="172"/>
      <c r="P12" s="28" t="s">
        <v>1315</v>
      </c>
    </row>
    <row r="13" spans="1:16" x14ac:dyDescent="0.2">
      <c r="A13" s="175"/>
      <c r="B13" s="169"/>
      <c r="E13" s="176"/>
      <c r="F13" s="176"/>
      <c r="G13" s="176"/>
      <c r="H13" s="176"/>
      <c r="I13" s="176"/>
      <c r="J13" s="176"/>
      <c r="K13" s="176"/>
      <c r="L13" s="179"/>
      <c r="M13" s="172"/>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96E53-9798-4969-9860-B1BB26C8159F}">
  <sheetPr>
    <tabColor theme="8"/>
  </sheetPr>
  <dimension ref="A1:BJ69"/>
  <sheetViews>
    <sheetView workbookViewId="0">
      <pane xSplit="2" ySplit="5" topLeftCell="C46" activePane="bottomRight" state="frozen"/>
      <selection pane="topRight" activeCell="C1" sqref="C1"/>
      <selection pane="bottomLeft" activeCell="A6" sqref="A6"/>
      <selection pane="bottomRight" activeCell="B1" sqref="B1:E1"/>
    </sheetView>
  </sheetViews>
  <sheetFormatPr defaultRowHeight="15" x14ac:dyDescent="0.25"/>
  <cols>
    <col min="1" max="1" width="31.28515625" customWidth="1"/>
    <col min="2" max="2" width="11.7109375" customWidth="1"/>
  </cols>
  <sheetData>
    <row r="1" spans="1:62" ht="18" thickBot="1" x14ac:dyDescent="0.35">
      <c r="B1" s="181" t="s">
        <v>366</v>
      </c>
      <c r="C1" s="181"/>
      <c r="D1" s="181"/>
      <c r="E1" s="181"/>
      <c r="F1" s="28"/>
    </row>
    <row r="2" spans="1:62" ht="15.75" thickTop="1" x14ac:dyDescent="0.25">
      <c r="B2" s="182"/>
      <c r="C2" s="183"/>
    </row>
    <row r="3" spans="1:62" x14ac:dyDescent="0.25">
      <c r="B3" s="182" t="s">
        <v>367</v>
      </c>
      <c r="C3" s="183"/>
    </row>
    <row r="4" spans="1:62" x14ac:dyDescent="0.25">
      <c r="B4" s="29" t="s">
        <v>133</v>
      </c>
    </row>
    <row r="5" spans="1:62" x14ac:dyDescent="0.25">
      <c r="C5" t="s">
        <v>158</v>
      </c>
      <c r="D5" t="s">
        <v>164</v>
      </c>
      <c r="E5" t="s">
        <v>172</v>
      </c>
      <c r="F5" t="s">
        <v>204</v>
      </c>
      <c r="G5" t="s">
        <v>208</v>
      </c>
      <c r="H5" t="s">
        <v>210</v>
      </c>
      <c r="I5" t="s">
        <v>212</v>
      </c>
      <c r="J5" t="s">
        <v>214</v>
      </c>
      <c r="K5" t="s">
        <v>216</v>
      </c>
      <c r="L5" t="s">
        <v>224</v>
      </c>
    </row>
    <row r="6" spans="1:62" x14ac:dyDescent="0.25">
      <c r="A6" t="s">
        <v>368</v>
      </c>
      <c r="B6" t="s">
        <v>137</v>
      </c>
      <c r="C6">
        <v>96.25</v>
      </c>
      <c r="D6">
        <v>96.25</v>
      </c>
      <c r="E6">
        <v>56.1</v>
      </c>
      <c r="F6">
        <v>70</v>
      </c>
      <c r="G6">
        <v>74.066699999999997</v>
      </c>
      <c r="H6">
        <v>69.3</v>
      </c>
      <c r="I6">
        <v>77.400000000000006</v>
      </c>
      <c r="J6">
        <v>72.900000000000006</v>
      </c>
      <c r="K6">
        <v>63.1</v>
      </c>
      <c r="L6">
        <v>91.7</v>
      </c>
    </row>
    <row r="7" spans="1:62" x14ac:dyDescent="0.25">
      <c r="A7" t="s">
        <v>369</v>
      </c>
      <c r="B7" t="s">
        <v>138</v>
      </c>
      <c r="C7">
        <v>1E-3</v>
      </c>
      <c r="D7">
        <v>1E-3</v>
      </c>
      <c r="E7">
        <v>1E-3</v>
      </c>
      <c r="F7">
        <v>3.0000000000000001E-3</v>
      </c>
      <c r="G7">
        <v>3.0000000000000001E-3</v>
      </c>
      <c r="H7">
        <v>3.0000000000000001E-3</v>
      </c>
      <c r="I7">
        <v>3.0000000000000001E-3</v>
      </c>
      <c r="J7">
        <v>3.0000000000000001E-3</v>
      </c>
      <c r="K7">
        <v>3.0000000000000001E-3</v>
      </c>
      <c r="L7">
        <v>0.03</v>
      </c>
    </row>
    <row r="8" spans="1:62" x14ac:dyDescent="0.25">
      <c r="A8" t="s">
        <v>370</v>
      </c>
      <c r="B8" t="s">
        <v>139</v>
      </c>
      <c r="C8">
        <v>1.4E-3</v>
      </c>
      <c r="D8">
        <v>1.4E-3</v>
      </c>
      <c r="E8">
        <v>1E-4</v>
      </c>
      <c r="F8">
        <v>5.9999999999999995E-4</v>
      </c>
      <c r="G8">
        <v>5.9999999999999995E-4</v>
      </c>
      <c r="H8">
        <v>5.9999999999999995E-4</v>
      </c>
      <c r="I8">
        <v>5.9999999999999995E-4</v>
      </c>
      <c r="J8">
        <v>5.9999999999999995E-4</v>
      </c>
      <c r="K8">
        <v>1E-4</v>
      </c>
      <c r="L8">
        <v>4.0000000000000001E-3</v>
      </c>
    </row>
    <row r="9" spans="1:62" x14ac:dyDescent="0.25">
      <c r="A9" t="s">
        <v>371</v>
      </c>
      <c r="B9" t="s">
        <v>140</v>
      </c>
      <c r="C9">
        <v>0.62619999999999998</v>
      </c>
      <c r="D9">
        <v>0.62619999999999998</v>
      </c>
      <c r="E9">
        <v>0</v>
      </c>
      <c r="F9">
        <v>4.6699999999999998E-2</v>
      </c>
      <c r="G9">
        <v>0.25290000000000001</v>
      </c>
      <c r="H9">
        <v>4.6699999999999998E-2</v>
      </c>
      <c r="I9">
        <v>1.5290999999999999</v>
      </c>
      <c r="J9">
        <v>4.5900000000000003E-2</v>
      </c>
      <c r="K9">
        <v>5.4089999999999998</v>
      </c>
      <c r="L9">
        <v>1.5290999999999999</v>
      </c>
    </row>
    <row r="10" spans="1:62" x14ac:dyDescent="0.25">
      <c r="A10" t="s">
        <v>372</v>
      </c>
      <c r="B10" t="s">
        <v>141</v>
      </c>
      <c r="C10">
        <v>0.3</v>
      </c>
      <c r="D10">
        <v>0.3</v>
      </c>
      <c r="E10">
        <v>0.15</v>
      </c>
      <c r="F10">
        <v>0.3</v>
      </c>
      <c r="G10">
        <v>0.2</v>
      </c>
      <c r="H10">
        <v>0.6</v>
      </c>
      <c r="I10">
        <v>0.2</v>
      </c>
      <c r="J10">
        <v>0.2</v>
      </c>
      <c r="K10">
        <v>1.2460000000000001E-2</v>
      </c>
      <c r="L10">
        <v>0.2</v>
      </c>
    </row>
    <row r="11" spans="1:62" x14ac:dyDescent="0.25">
      <c r="A11" t="s">
        <v>373</v>
      </c>
      <c r="B11" t="s">
        <v>142</v>
      </c>
      <c r="C11">
        <v>0.02</v>
      </c>
      <c r="D11">
        <v>0.02</v>
      </c>
      <c r="E11">
        <v>0.02</v>
      </c>
      <c r="F11">
        <v>0.1</v>
      </c>
      <c r="G11">
        <v>1.4999999999999999E-2</v>
      </c>
      <c r="H11">
        <v>8</v>
      </c>
      <c r="I11">
        <v>0.01</v>
      </c>
      <c r="J11">
        <v>0.01</v>
      </c>
      <c r="K11">
        <v>0.182</v>
      </c>
      <c r="L11">
        <v>0.01</v>
      </c>
    </row>
    <row r="12" spans="1:62" x14ac:dyDescent="0.25">
      <c r="A12" t="s">
        <v>374</v>
      </c>
      <c r="B12" t="s">
        <v>143</v>
      </c>
      <c r="C12">
        <v>5.0000000000000001E-3</v>
      </c>
      <c r="D12">
        <v>5.0000000000000001E-3</v>
      </c>
      <c r="E12">
        <v>5.0000000000000001E-3</v>
      </c>
      <c r="F12">
        <v>0.05</v>
      </c>
      <c r="G12">
        <v>5.0000000000000001E-3</v>
      </c>
      <c r="H12">
        <v>1.5</v>
      </c>
      <c r="I12">
        <v>5.0000000000000001E-3</v>
      </c>
      <c r="J12">
        <v>5.0000000000000001E-3</v>
      </c>
      <c r="K12">
        <v>2.3699999999999999E-2</v>
      </c>
      <c r="L12">
        <v>5.0000000000000001E-3</v>
      </c>
    </row>
    <row r="13" spans="1:62" x14ac:dyDescent="0.25">
      <c r="A13" t="s">
        <v>375</v>
      </c>
      <c r="B13" t="s">
        <v>144</v>
      </c>
      <c r="C13" s="184">
        <v>4.5769644752755773E-2</v>
      </c>
      <c r="D13" s="184">
        <v>4.5769644752755773E-2</v>
      </c>
    </row>
    <row r="15" spans="1:62" x14ac:dyDescent="0.25">
      <c r="A15" t="s">
        <v>0</v>
      </c>
      <c r="C15" t="s">
        <v>5</v>
      </c>
      <c r="M15" t="s">
        <v>6</v>
      </c>
      <c r="W15" t="s">
        <v>7</v>
      </c>
      <c r="AG15" t="s">
        <v>9</v>
      </c>
      <c r="AQ15" t="s">
        <v>8</v>
      </c>
      <c r="BA15" t="s">
        <v>10</v>
      </c>
    </row>
    <row r="16" spans="1:62" x14ac:dyDescent="0.25">
      <c r="B16" s="185" t="s">
        <v>376</v>
      </c>
      <c r="C16" t="str">
        <f t="shared" ref="C16:L16" si="0">$C15&amp;C$5</f>
        <v>AGRCOA</v>
      </c>
      <c r="D16" t="str">
        <f t="shared" si="0"/>
        <v>AGRCLE</v>
      </c>
      <c r="E16" t="str">
        <f t="shared" si="0"/>
        <v>AGRGAS</v>
      </c>
      <c r="F16" t="str">
        <f t="shared" si="0"/>
        <v>AGROAG</v>
      </c>
      <c r="G16" t="str">
        <f t="shared" si="0"/>
        <v>AGRODS</v>
      </c>
      <c r="H16" t="str">
        <f t="shared" si="0"/>
        <v>AGROGS</v>
      </c>
      <c r="I16" t="str">
        <f t="shared" si="0"/>
        <v>AGROHF</v>
      </c>
      <c r="J16" t="str">
        <f t="shared" si="0"/>
        <v>AGROKE</v>
      </c>
      <c r="K16" t="str">
        <f t="shared" si="0"/>
        <v>AGROLP</v>
      </c>
      <c r="L16" t="str">
        <f t="shared" si="0"/>
        <v>AGRWAS</v>
      </c>
      <c r="M16" t="str">
        <f t="shared" ref="M16:V16" si="1">$M15&amp;C$5</f>
        <v>COMCOA</v>
      </c>
      <c r="N16" t="str">
        <f t="shared" si="1"/>
        <v>COMCLE</v>
      </c>
      <c r="O16" t="str">
        <f t="shared" si="1"/>
        <v>COMGAS</v>
      </c>
      <c r="P16" t="str">
        <f t="shared" si="1"/>
        <v>COMOAG</v>
      </c>
      <c r="Q16" t="str">
        <f t="shared" si="1"/>
        <v>COMODS</v>
      </c>
      <c r="R16" t="str">
        <f t="shared" si="1"/>
        <v>COMOGS</v>
      </c>
      <c r="S16" t="str">
        <f t="shared" si="1"/>
        <v>COMOHF</v>
      </c>
      <c r="T16" t="str">
        <f t="shared" si="1"/>
        <v>COMOKE</v>
      </c>
      <c r="U16" t="str">
        <f t="shared" si="1"/>
        <v>COMOLP</v>
      </c>
      <c r="V16" t="str">
        <f t="shared" si="1"/>
        <v>COMWAS</v>
      </c>
      <c r="W16" t="str">
        <f t="shared" ref="W16:AF16" si="2">$W15&amp;C$5</f>
        <v>INDCOA</v>
      </c>
      <c r="X16" t="str">
        <f t="shared" si="2"/>
        <v>INDCLE</v>
      </c>
      <c r="Y16" t="str">
        <f t="shared" si="2"/>
        <v>INDGAS</v>
      </c>
      <c r="Z16" t="str">
        <f t="shared" si="2"/>
        <v>INDOAG</v>
      </c>
      <c r="AA16" t="str">
        <f t="shared" si="2"/>
        <v>INDODS</v>
      </c>
      <c r="AB16" t="str">
        <f t="shared" si="2"/>
        <v>INDOGS</v>
      </c>
      <c r="AC16" t="str">
        <f t="shared" si="2"/>
        <v>INDOHF</v>
      </c>
      <c r="AD16" t="str">
        <f t="shared" si="2"/>
        <v>INDOKE</v>
      </c>
      <c r="AE16" t="str">
        <f t="shared" si="2"/>
        <v>INDOLP</v>
      </c>
      <c r="AF16" t="str">
        <f t="shared" si="2"/>
        <v>INDWAS</v>
      </c>
      <c r="AG16" t="str">
        <f t="shared" ref="AG16:AP16" si="3">$AG15&amp;C$5</f>
        <v>RESCOA</v>
      </c>
      <c r="AH16" t="str">
        <f t="shared" si="3"/>
        <v>RESCLE</v>
      </c>
      <c r="AI16" t="str">
        <f t="shared" si="3"/>
        <v>RESGAS</v>
      </c>
      <c r="AJ16" t="str">
        <f t="shared" si="3"/>
        <v>RESOAG</v>
      </c>
      <c r="AK16" t="str">
        <f t="shared" si="3"/>
        <v>RESODS</v>
      </c>
      <c r="AL16" t="str">
        <f t="shared" si="3"/>
        <v>RESOGS</v>
      </c>
      <c r="AM16" t="str">
        <f t="shared" si="3"/>
        <v>RESOHF</v>
      </c>
      <c r="AN16" t="str">
        <f t="shared" si="3"/>
        <v>RESOKE</v>
      </c>
      <c r="AO16" t="str">
        <f t="shared" si="3"/>
        <v>RESOLP</v>
      </c>
      <c r="AP16" t="str">
        <f t="shared" si="3"/>
        <v>RESWAS</v>
      </c>
      <c r="AQ16" t="str">
        <f t="shared" ref="AQ16:AZ16" si="4">$AQ15&amp;C$5</f>
        <v>TRACOA</v>
      </c>
      <c r="AR16" t="str">
        <f t="shared" si="4"/>
        <v>TRACLE</v>
      </c>
      <c r="AS16" t="str">
        <f t="shared" si="4"/>
        <v>TRAGAS</v>
      </c>
      <c r="AT16" t="str">
        <f t="shared" si="4"/>
        <v>TRAOAG</v>
      </c>
      <c r="AU16" t="str">
        <f t="shared" si="4"/>
        <v>TRAODS</v>
      </c>
      <c r="AV16" t="str">
        <f t="shared" si="4"/>
        <v>TRAOGS</v>
      </c>
      <c r="AW16" t="str">
        <f t="shared" si="4"/>
        <v>TRAOHF</v>
      </c>
      <c r="AX16" t="str">
        <f t="shared" si="4"/>
        <v>TRAOKE</v>
      </c>
      <c r="AY16" t="str">
        <f t="shared" si="4"/>
        <v>TRAOLP</v>
      </c>
      <c r="AZ16" t="str">
        <f t="shared" si="4"/>
        <v>TRAWAS</v>
      </c>
      <c r="BA16" t="str">
        <f>$BA15&amp;C$5</f>
        <v>PWRCOA</v>
      </c>
      <c r="BB16" t="str">
        <f t="shared" ref="BB16:BJ16" si="5">$BA15&amp;D$5</f>
        <v>PWRCLE</v>
      </c>
      <c r="BC16" t="str">
        <f t="shared" si="5"/>
        <v>PWRGAS</v>
      </c>
      <c r="BD16" t="str">
        <f t="shared" si="5"/>
        <v>PWROAG</v>
      </c>
      <c r="BE16" t="str">
        <f t="shared" si="5"/>
        <v>PWRODS</v>
      </c>
      <c r="BF16" t="str">
        <f t="shared" si="5"/>
        <v>PWROGS</v>
      </c>
      <c r="BG16" t="str">
        <f t="shared" si="5"/>
        <v>PWROHF</v>
      </c>
      <c r="BH16" t="str">
        <f t="shared" si="5"/>
        <v>PWROKE</v>
      </c>
      <c r="BI16" t="str">
        <f t="shared" si="5"/>
        <v>PWROLP</v>
      </c>
      <c r="BJ16" t="str">
        <f t="shared" si="5"/>
        <v>PWRWAS</v>
      </c>
    </row>
    <row r="17" spans="1:21" x14ac:dyDescent="0.25">
      <c r="A17" t="str">
        <f>A15&amp;" "&amp;A6</f>
        <v>Agriculture Carbon dioxide</v>
      </c>
      <c r="B17" t="str">
        <f>C15&amp;B6</f>
        <v>AGRCO2S</v>
      </c>
      <c r="C17">
        <f>IF(ISNA(MATCH(C$16,FuelTechs!$D$9:$D$58,0)),"",CombustionEmissions!C6)</f>
        <v>96.25</v>
      </c>
      <c r="D17" t="str">
        <f>IF(ISNA(MATCH(D$16,FuelTechs!$D$9:$D$58,0)),"",CombustionEmissions!D6)</f>
        <v/>
      </c>
      <c r="E17" t="str">
        <f>IF(ISNA(MATCH(E$16,FuelTechs!$D$9:$D$58,0)),"",CombustionEmissions!E6)</f>
        <v/>
      </c>
      <c r="F17" t="str">
        <f>IF(ISNA(MATCH(F$16,FuelTechs!$D$9:$D$58,0)),"",CombustionEmissions!F6)</f>
        <v/>
      </c>
      <c r="G17">
        <f>IF(ISNA(MATCH(G$16,FuelTechs!$D$9:$D$58,0)),"",CombustionEmissions!G6)</f>
        <v>74.066699999999997</v>
      </c>
      <c r="H17">
        <f>IF(ISNA(MATCH(H$16,FuelTechs!$D$9:$D$58,0)),"",CombustionEmissions!H6)</f>
        <v>69.3</v>
      </c>
      <c r="I17">
        <f>IF(ISNA(MATCH(I$16,FuelTechs!$D$9:$D$58,0)),"",CombustionEmissions!I6)</f>
        <v>77.400000000000006</v>
      </c>
      <c r="J17">
        <f>IF(ISNA(MATCH(J$16,FuelTechs!$D$9:$D$58,0)),"",CombustionEmissions!J6)</f>
        <v>72.900000000000006</v>
      </c>
      <c r="K17">
        <f>IF(ISNA(MATCH(K$16,FuelTechs!$D$9:$D$58,0)),"",CombustionEmissions!K6)</f>
        <v>63.1</v>
      </c>
      <c r="L17" t="str">
        <f>IF(ISNA(MATCH(L$16,FuelTechs!$D$9:$D$58,0)),"",CombustionEmissions!L6)</f>
        <v/>
      </c>
    </row>
    <row r="18" spans="1:21" x14ac:dyDescent="0.25">
      <c r="A18" t="str">
        <f>A15&amp;" "&amp;A7</f>
        <v>Agriculture Methane</v>
      </c>
      <c r="B18" t="str">
        <f>C15&amp;B7</f>
        <v>AGRCH4S</v>
      </c>
      <c r="C18">
        <f>IF(ISNA(MATCH(C$16,FuelTechs!$D$9:$D$58,0)),"",CombustionEmissions!C7)</f>
        <v>1E-3</v>
      </c>
      <c r="D18" t="str">
        <f>IF(ISNA(MATCH(D$16,FuelTechs!$D$9:$D$58,0)),"",CombustionEmissions!D7)</f>
        <v/>
      </c>
      <c r="E18" t="str">
        <f>IF(ISNA(MATCH(E$16,FuelTechs!$D$9:$D$58,0)),"",CombustionEmissions!E7)</f>
        <v/>
      </c>
      <c r="F18" t="str">
        <f>IF(ISNA(MATCH(F$16,FuelTechs!$D$9:$D$58,0)),"",CombustionEmissions!F7)</f>
        <v/>
      </c>
      <c r="G18">
        <f>IF(ISNA(MATCH(G$16,FuelTechs!$D$9:$D$58,0)),"",CombustionEmissions!G7)</f>
        <v>3.0000000000000001E-3</v>
      </c>
      <c r="H18">
        <f>IF(ISNA(MATCH(H$16,FuelTechs!$D$9:$D$58,0)),"",CombustionEmissions!H7)</f>
        <v>3.0000000000000001E-3</v>
      </c>
      <c r="I18">
        <f>IF(ISNA(MATCH(I$16,FuelTechs!$D$9:$D$58,0)),"",CombustionEmissions!I7)</f>
        <v>3.0000000000000001E-3</v>
      </c>
      <c r="J18">
        <f>IF(ISNA(MATCH(J$16,FuelTechs!$D$9:$D$58,0)),"",CombustionEmissions!J7)</f>
        <v>3.0000000000000001E-3</v>
      </c>
      <c r="K18">
        <f>IF(ISNA(MATCH(K$16,FuelTechs!$D$9:$D$58,0)),"",CombustionEmissions!K7)</f>
        <v>3.0000000000000001E-3</v>
      </c>
      <c r="L18" t="str">
        <f>IF(ISNA(MATCH(L$16,FuelTechs!$D$9:$D$58,0)),"",CombustionEmissions!L7)</f>
        <v/>
      </c>
    </row>
    <row r="19" spans="1:21" x14ac:dyDescent="0.25">
      <c r="A19" t="str">
        <f>A15&amp;" "&amp;A8</f>
        <v>Agriculture Nitrous Oxide</v>
      </c>
      <c r="B19" t="str">
        <f>C15&amp;B8</f>
        <v>AGRN2OS</v>
      </c>
      <c r="C19">
        <f>IF(ISNA(MATCH(C$16,FuelTechs!$D$9:$D$58,0)),"",CombustionEmissions!C8)</f>
        <v>1.4E-3</v>
      </c>
      <c r="D19" t="str">
        <f>IF(ISNA(MATCH(D$16,FuelTechs!$D$9:$D$58,0)),"",CombustionEmissions!D8)</f>
        <v/>
      </c>
      <c r="E19" t="str">
        <f>IF(ISNA(MATCH(E$16,FuelTechs!$D$9:$D$58,0)),"",CombustionEmissions!E8)</f>
        <v/>
      </c>
      <c r="F19" t="str">
        <f>IF(ISNA(MATCH(F$16,FuelTechs!$D$9:$D$58,0)),"",CombustionEmissions!F8)</f>
        <v/>
      </c>
      <c r="G19">
        <f>IF(ISNA(MATCH(G$16,FuelTechs!$D$9:$D$58,0)),"",CombustionEmissions!G8)</f>
        <v>5.9999999999999995E-4</v>
      </c>
      <c r="H19">
        <f>IF(ISNA(MATCH(H$16,FuelTechs!$D$9:$D$58,0)),"",CombustionEmissions!H8)</f>
        <v>5.9999999999999995E-4</v>
      </c>
      <c r="I19">
        <f>IF(ISNA(MATCH(I$16,FuelTechs!$D$9:$D$58,0)),"",CombustionEmissions!I8)</f>
        <v>5.9999999999999995E-4</v>
      </c>
      <c r="J19">
        <f>IF(ISNA(MATCH(J$16,FuelTechs!$D$9:$D$58,0)),"",CombustionEmissions!J8)</f>
        <v>5.9999999999999995E-4</v>
      </c>
      <c r="K19">
        <f>IF(ISNA(MATCH(K$16,FuelTechs!$D$9:$D$58,0)),"",CombustionEmissions!K8)</f>
        <v>1E-4</v>
      </c>
      <c r="L19" t="str">
        <f>IF(ISNA(MATCH(L$16,FuelTechs!$D$9:$D$58,0)),"",CombustionEmissions!L8)</f>
        <v/>
      </c>
    </row>
    <row r="20" spans="1:21" x14ac:dyDescent="0.25">
      <c r="A20" t="str">
        <f>A15&amp;" "&amp;A9</f>
        <v>Agriculture Sulphur gases</v>
      </c>
      <c r="B20" t="str">
        <f>C15&amp;B9</f>
        <v>AGRSOXS</v>
      </c>
      <c r="C20">
        <f>IF(ISNA(MATCH(C$16,FuelTechs!$D$9:$D$58,0)),"",CombustionEmissions!C9)</f>
        <v>0.62619999999999998</v>
      </c>
      <c r="D20" t="str">
        <f>IF(ISNA(MATCH(D$16,FuelTechs!$D$9:$D$58,0)),"",CombustionEmissions!D9)</f>
        <v/>
      </c>
      <c r="E20" t="str">
        <f>IF(ISNA(MATCH(E$16,FuelTechs!$D$9:$D$58,0)),"",CombustionEmissions!E9)</f>
        <v/>
      </c>
      <c r="F20" t="str">
        <f>IF(ISNA(MATCH(F$16,FuelTechs!$D$9:$D$58,0)),"",CombustionEmissions!F9)</f>
        <v/>
      </c>
      <c r="G20">
        <f>IF(ISNA(MATCH(G$16,FuelTechs!$D$9:$D$58,0)),"",CombustionEmissions!G9)</f>
        <v>0.25290000000000001</v>
      </c>
      <c r="H20">
        <f>IF(ISNA(MATCH(H$16,FuelTechs!$D$9:$D$58,0)),"",CombustionEmissions!H9)</f>
        <v>4.6699999999999998E-2</v>
      </c>
      <c r="I20">
        <f>IF(ISNA(MATCH(I$16,FuelTechs!$D$9:$D$58,0)),"",CombustionEmissions!I9)</f>
        <v>1.5290999999999999</v>
      </c>
      <c r="J20">
        <f>IF(ISNA(MATCH(J$16,FuelTechs!$D$9:$D$58,0)),"",CombustionEmissions!J9)</f>
        <v>4.5900000000000003E-2</v>
      </c>
      <c r="K20">
        <f>IF(ISNA(MATCH(K$16,FuelTechs!$D$9:$D$58,0)),"",CombustionEmissions!K9)</f>
        <v>5.4089999999999998</v>
      </c>
      <c r="L20" t="str">
        <f>IF(ISNA(MATCH(L$16,FuelTechs!$D$9:$D$58,0)),"",CombustionEmissions!L9)</f>
        <v/>
      </c>
    </row>
    <row r="21" spans="1:21" x14ac:dyDescent="0.25">
      <c r="A21" t="str">
        <f>A15&amp;" "&amp;A10</f>
        <v>Agriculture Nitrogen gases</v>
      </c>
      <c r="B21" t="str">
        <f>C15&amp;B10</f>
        <v>AGRNOXS</v>
      </c>
      <c r="C21">
        <f>IF(ISNA(MATCH(C$16,FuelTechs!$D$9:$D$58,0)),"",CombustionEmissions!C10)</f>
        <v>0.3</v>
      </c>
      <c r="D21" t="str">
        <f>IF(ISNA(MATCH(D$16,FuelTechs!$D$9:$D$58,0)),"",CombustionEmissions!D10)</f>
        <v/>
      </c>
      <c r="E21" t="str">
        <f>IF(ISNA(MATCH(E$16,FuelTechs!$D$9:$D$58,0)),"",CombustionEmissions!E10)</f>
        <v/>
      </c>
      <c r="F21" t="str">
        <f>IF(ISNA(MATCH(F$16,FuelTechs!$D$9:$D$58,0)),"",CombustionEmissions!F10)</f>
        <v/>
      </c>
      <c r="G21">
        <f>IF(ISNA(MATCH(G$16,FuelTechs!$D$9:$D$58,0)),"",CombustionEmissions!G10)</f>
        <v>0.2</v>
      </c>
      <c r="H21">
        <f>IF(ISNA(MATCH(H$16,FuelTechs!$D$9:$D$58,0)),"",CombustionEmissions!H10)</f>
        <v>0.6</v>
      </c>
      <c r="I21">
        <f>IF(ISNA(MATCH(I$16,FuelTechs!$D$9:$D$58,0)),"",CombustionEmissions!I10)</f>
        <v>0.2</v>
      </c>
      <c r="J21">
        <f>IF(ISNA(MATCH(J$16,FuelTechs!$D$9:$D$58,0)),"",CombustionEmissions!J10)</f>
        <v>0.2</v>
      </c>
      <c r="K21">
        <f>IF(ISNA(MATCH(K$16,FuelTechs!$D$9:$D$58,0)),"",CombustionEmissions!K10)</f>
        <v>1.2460000000000001E-2</v>
      </c>
      <c r="L21" t="str">
        <f>IF(ISNA(MATCH(L$16,FuelTechs!$D$9:$D$58,0)),"",CombustionEmissions!L10)</f>
        <v/>
      </c>
    </row>
    <row r="22" spans="1:21" x14ac:dyDescent="0.25">
      <c r="A22" t="str">
        <f>A15&amp;" "&amp;A11</f>
        <v>Agriculture Carbon monoxide</v>
      </c>
      <c r="B22" t="str">
        <f>C15&amp;B11</f>
        <v>AGRCMOX</v>
      </c>
      <c r="C22">
        <f>IF(ISNA(MATCH(C$16,FuelTechs!$D$9:$D$58,0)),"",CombustionEmissions!C11)</f>
        <v>0.02</v>
      </c>
      <c r="D22" t="str">
        <f>IF(ISNA(MATCH(D$16,FuelTechs!$D$9:$D$58,0)),"",CombustionEmissions!D11)</f>
        <v/>
      </c>
      <c r="E22" t="str">
        <f>IF(ISNA(MATCH(E$16,FuelTechs!$D$9:$D$58,0)),"",CombustionEmissions!E11)</f>
        <v/>
      </c>
      <c r="F22" t="str">
        <f>IF(ISNA(MATCH(F$16,FuelTechs!$D$9:$D$58,0)),"",CombustionEmissions!F11)</f>
        <v/>
      </c>
      <c r="G22">
        <f>IF(ISNA(MATCH(G$16,FuelTechs!$D$9:$D$58,0)),"",CombustionEmissions!G11)</f>
        <v>1.4999999999999999E-2</v>
      </c>
      <c r="H22">
        <f>IF(ISNA(MATCH(H$16,FuelTechs!$D$9:$D$58,0)),"",CombustionEmissions!H11)</f>
        <v>8</v>
      </c>
      <c r="I22">
        <f>IF(ISNA(MATCH(I$16,FuelTechs!$D$9:$D$58,0)),"",CombustionEmissions!I11)</f>
        <v>0.01</v>
      </c>
      <c r="J22">
        <f>IF(ISNA(MATCH(J$16,FuelTechs!$D$9:$D$58,0)),"",CombustionEmissions!J11)</f>
        <v>0.01</v>
      </c>
      <c r="K22">
        <f>IF(ISNA(MATCH(K$16,FuelTechs!$D$9:$D$58,0)),"",CombustionEmissions!K11)</f>
        <v>0.182</v>
      </c>
      <c r="L22" t="str">
        <f>IF(ISNA(MATCH(L$16,FuelTechs!$D$9:$D$58,0)),"",CombustionEmissions!L11)</f>
        <v/>
      </c>
    </row>
    <row r="23" spans="1:21" x14ac:dyDescent="0.25">
      <c r="A23" t="str">
        <f>A15&amp;" "&amp;A12</f>
        <v>Agriculture NMVOCs</v>
      </c>
      <c r="B23" t="str">
        <f>C15&amp;B12</f>
        <v>AGRNMVS</v>
      </c>
      <c r="C23">
        <f>IF(ISNA(MATCH(C$16,FuelTechs!$D$9:$D$58,0)),"",CombustionEmissions!C12)</f>
        <v>5.0000000000000001E-3</v>
      </c>
      <c r="D23" t="str">
        <f>IF(ISNA(MATCH(D$16,FuelTechs!$D$9:$D$58,0)),"",CombustionEmissions!D12)</f>
        <v/>
      </c>
      <c r="E23" t="str">
        <f>IF(ISNA(MATCH(E$16,FuelTechs!$D$9:$D$58,0)),"",CombustionEmissions!E12)</f>
        <v/>
      </c>
      <c r="F23" t="str">
        <f>IF(ISNA(MATCH(F$16,FuelTechs!$D$9:$D$58,0)),"",CombustionEmissions!F12)</f>
        <v/>
      </c>
      <c r="G23">
        <f>IF(ISNA(MATCH(G$16,FuelTechs!$D$9:$D$58,0)),"",CombustionEmissions!G12)</f>
        <v>5.0000000000000001E-3</v>
      </c>
      <c r="H23">
        <f>IF(ISNA(MATCH(H$16,FuelTechs!$D$9:$D$58,0)),"",CombustionEmissions!H12)</f>
        <v>1.5</v>
      </c>
      <c r="I23">
        <f>IF(ISNA(MATCH(I$16,FuelTechs!$D$9:$D$58,0)),"",CombustionEmissions!I12)</f>
        <v>5.0000000000000001E-3</v>
      </c>
      <c r="J23">
        <f>IF(ISNA(MATCH(J$16,FuelTechs!$D$9:$D$58,0)),"",CombustionEmissions!J12)</f>
        <v>5.0000000000000001E-3</v>
      </c>
      <c r="K23">
        <f>IF(ISNA(MATCH(K$16,FuelTechs!$D$9:$D$58,0)),"",CombustionEmissions!K12)</f>
        <v>2.3699999999999999E-2</v>
      </c>
      <c r="L23" t="str">
        <f>IF(ISNA(MATCH(L$16,FuelTechs!$D$9:$D$58,0)),"",CombustionEmissions!L12)</f>
        <v/>
      </c>
    </row>
    <row r="24" spans="1:21" x14ac:dyDescent="0.25">
      <c r="A24" t="str">
        <f>A15&amp;" "&amp;A13</f>
        <v>Agriculture PM10</v>
      </c>
      <c r="B24" t="str">
        <f>C15&amp;B13</f>
        <v>AGRP10S</v>
      </c>
      <c r="C24">
        <f>IF(ISNA(MATCH(C$16,FuelTechs!$D$9:$D$58,0)),"",CombustionEmissions!C13)</f>
        <v>4.5769644752755773E-2</v>
      </c>
      <c r="D24" t="str">
        <f>IF(ISNA(MATCH(D$16,FuelTechs!$D$9:$D$58,0)),"",CombustionEmissions!D13)</f>
        <v/>
      </c>
      <c r="E24" t="str">
        <f>IF(ISNA(MATCH(E$16,FuelTechs!$D$9:$D$58,0)),"",CombustionEmissions!E13)</f>
        <v/>
      </c>
      <c r="F24" t="str">
        <f>IF(ISNA(MATCH(F$16,FuelTechs!$D$9:$D$58,0)),"",CombustionEmissions!F13)</f>
        <v/>
      </c>
      <c r="G24">
        <f>IF(ISNA(MATCH(G$16,FuelTechs!$D$9:$D$58,0)),"",CombustionEmissions!G13)</f>
        <v>0</v>
      </c>
      <c r="H24">
        <f>IF(ISNA(MATCH(H$16,FuelTechs!$D$9:$D$58,0)),"",CombustionEmissions!H13)</f>
        <v>0</v>
      </c>
      <c r="I24">
        <f>IF(ISNA(MATCH(I$16,FuelTechs!$D$9:$D$58,0)),"",CombustionEmissions!I13)</f>
        <v>0</v>
      </c>
      <c r="J24">
        <f>IF(ISNA(MATCH(J$16,FuelTechs!$D$9:$D$58,0)),"",CombustionEmissions!J13)</f>
        <v>0</v>
      </c>
      <c r="K24">
        <f>IF(ISNA(MATCH(K$16,FuelTechs!$D$9:$D$58,0)),"",CombustionEmissions!K13)</f>
        <v>0</v>
      </c>
      <c r="L24" t="str">
        <f>IF(ISNA(MATCH(L$16,FuelTechs!$D$9:$D$58,0)),"",CombustionEmissions!L13)</f>
        <v/>
      </c>
    </row>
    <row r="25" spans="1:21" x14ac:dyDescent="0.25">
      <c r="A25" t="s">
        <v>364</v>
      </c>
      <c r="B25" t="s">
        <v>228</v>
      </c>
    </row>
    <row r="26" spans="1:21" x14ac:dyDescent="0.25">
      <c r="A26" t="str">
        <f t="shared" ref="A26:A33" si="6">B$25&amp;" "&amp;A6</f>
        <v>Commerce Carbon dioxide</v>
      </c>
      <c r="B26" t="str">
        <f t="shared" ref="B26:B33" si="7">M$15&amp;B6</f>
        <v>COMCO2S</v>
      </c>
      <c r="L26" t="str">
        <f>IF(ISNA(MATCH(V$16,FuelTechs!$D$9:$D$58,0)),"",CombustionEmissions!L6)</f>
        <v/>
      </c>
      <c r="M26">
        <f>IF(ISNA(MATCH(M$16,FuelTechs!$D$9:$D$58,0)),"",CombustionEmissions!C6)</f>
        <v>96.25</v>
      </c>
      <c r="N26" t="str">
        <f>IF(ISNA(MATCH(N$16,FuelTechs!$D$9:$D$58,0)),"",CombustionEmissions!D6)</f>
        <v/>
      </c>
      <c r="O26">
        <f>IF(ISNA(MATCH(O$16,FuelTechs!$D$9:$D$58,0)),"",CombustionEmissions!E6)</f>
        <v>56.1</v>
      </c>
      <c r="P26" t="str">
        <f>IF(ISNA(MATCH(P$16,FuelTechs!$D$9:$D$58,0)),"",CombustionEmissions!F6)</f>
        <v/>
      </c>
      <c r="Q26">
        <f>IF(ISNA(MATCH(Q$16,FuelTechs!$D$9:$D$58,0)),"",CombustionEmissions!G6)</f>
        <v>74.066699999999997</v>
      </c>
      <c r="R26">
        <f>IF(ISNA(MATCH(R$16,FuelTechs!$D$9:$D$58,0)),"",CombustionEmissions!H6)</f>
        <v>69.3</v>
      </c>
      <c r="S26">
        <f>IF(ISNA(MATCH(S$16,FuelTechs!$D$9:$D$58,0)),"",CombustionEmissions!I6)</f>
        <v>77.400000000000006</v>
      </c>
      <c r="T26">
        <f>IF(ISNA(MATCH(T$16,FuelTechs!$D$9:$D$58,0)),"",CombustionEmissions!J6)</f>
        <v>72.900000000000006</v>
      </c>
      <c r="U26">
        <f>IF(ISNA(MATCH(U$16,FuelTechs!$D$9:$D$58,0)),"",CombustionEmissions!K6)</f>
        <v>63.1</v>
      </c>
    </row>
    <row r="27" spans="1:21" x14ac:dyDescent="0.25">
      <c r="A27" t="str">
        <f t="shared" si="6"/>
        <v>Commerce Methane</v>
      </c>
      <c r="B27" t="str">
        <f t="shared" si="7"/>
        <v>COMCH4S</v>
      </c>
      <c r="L27" t="str">
        <f>IF(ISNA(MATCH(V$16,FuelTechs!$D$9:$D$58,0)),"",CombustionEmissions!L7)</f>
        <v/>
      </c>
      <c r="M27">
        <f>IF(ISNA(MATCH(M$16,FuelTechs!$D$9:$D$58,0)),"",CombustionEmissions!C7)</f>
        <v>1E-3</v>
      </c>
      <c r="N27" t="str">
        <f>IF(ISNA(MATCH(N$16,FuelTechs!$D$9:$D$58,0)),"",CombustionEmissions!D7)</f>
        <v/>
      </c>
      <c r="O27">
        <f>IF(ISNA(MATCH(O$16,FuelTechs!$D$9:$D$58,0)),"",CombustionEmissions!E7)</f>
        <v>1E-3</v>
      </c>
      <c r="P27" t="str">
        <f>IF(ISNA(MATCH(P$16,FuelTechs!$D$9:$D$58,0)),"",CombustionEmissions!F7)</f>
        <v/>
      </c>
      <c r="Q27">
        <f>IF(ISNA(MATCH(Q$16,FuelTechs!$D$9:$D$58,0)),"",CombustionEmissions!G7)</f>
        <v>3.0000000000000001E-3</v>
      </c>
      <c r="R27">
        <f>IF(ISNA(MATCH(R$16,FuelTechs!$D$9:$D$58,0)),"",CombustionEmissions!H7)</f>
        <v>3.0000000000000001E-3</v>
      </c>
      <c r="S27">
        <f>IF(ISNA(MATCH(S$16,FuelTechs!$D$9:$D$58,0)),"",CombustionEmissions!I7)</f>
        <v>3.0000000000000001E-3</v>
      </c>
      <c r="T27">
        <f>IF(ISNA(MATCH(T$16,FuelTechs!$D$9:$D$58,0)),"",CombustionEmissions!J7)</f>
        <v>3.0000000000000001E-3</v>
      </c>
      <c r="U27">
        <f>IF(ISNA(MATCH(U$16,FuelTechs!$D$9:$D$58,0)),"",CombustionEmissions!K7)</f>
        <v>3.0000000000000001E-3</v>
      </c>
    </row>
    <row r="28" spans="1:21" x14ac:dyDescent="0.25">
      <c r="A28" t="str">
        <f t="shared" si="6"/>
        <v>Commerce Nitrous Oxide</v>
      </c>
      <c r="B28" t="str">
        <f t="shared" si="7"/>
        <v>COMN2OS</v>
      </c>
      <c r="L28" t="str">
        <f>IF(ISNA(MATCH(V$16,FuelTechs!$D$9:$D$58,0)),"",CombustionEmissions!L8)</f>
        <v/>
      </c>
      <c r="M28">
        <f>IF(ISNA(MATCH(M$16,FuelTechs!$D$9:$D$58,0)),"",CombustionEmissions!C8)</f>
        <v>1.4E-3</v>
      </c>
      <c r="N28" t="str">
        <f>IF(ISNA(MATCH(N$16,FuelTechs!$D$9:$D$58,0)),"",CombustionEmissions!D8)</f>
        <v/>
      </c>
      <c r="O28">
        <f>IF(ISNA(MATCH(O$16,FuelTechs!$D$9:$D$58,0)),"",CombustionEmissions!E8)</f>
        <v>1E-4</v>
      </c>
      <c r="P28" t="str">
        <f>IF(ISNA(MATCH(P$16,FuelTechs!$D$9:$D$58,0)),"",CombustionEmissions!F8)</f>
        <v/>
      </c>
      <c r="Q28">
        <f>IF(ISNA(MATCH(Q$16,FuelTechs!$D$9:$D$58,0)),"",CombustionEmissions!G8)</f>
        <v>5.9999999999999995E-4</v>
      </c>
      <c r="R28">
        <f>IF(ISNA(MATCH(R$16,FuelTechs!$D$9:$D$58,0)),"",CombustionEmissions!H8)</f>
        <v>5.9999999999999995E-4</v>
      </c>
      <c r="S28">
        <f>IF(ISNA(MATCH(S$16,FuelTechs!$D$9:$D$58,0)),"",CombustionEmissions!I8)</f>
        <v>5.9999999999999995E-4</v>
      </c>
      <c r="T28">
        <f>IF(ISNA(MATCH(T$16,FuelTechs!$D$9:$D$58,0)),"",CombustionEmissions!J8)</f>
        <v>5.9999999999999995E-4</v>
      </c>
      <c r="U28">
        <f>IF(ISNA(MATCH(U$16,FuelTechs!$D$9:$D$58,0)),"",CombustionEmissions!K8)</f>
        <v>1E-4</v>
      </c>
    </row>
    <row r="29" spans="1:21" x14ac:dyDescent="0.25">
      <c r="A29" t="str">
        <f t="shared" si="6"/>
        <v>Commerce Sulphur gases</v>
      </c>
      <c r="B29" t="str">
        <f t="shared" si="7"/>
        <v>COMSOXS</v>
      </c>
      <c r="L29" t="str">
        <f>IF(ISNA(MATCH(V$16,FuelTechs!$D$9:$D$58,0)),"",CombustionEmissions!L9)</f>
        <v/>
      </c>
      <c r="M29">
        <f>IF(ISNA(MATCH(M$16,FuelTechs!$D$9:$D$58,0)),"",CombustionEmissions!C9)</f>
        <v>0.62619999999999998</v>
      </c>
      <c r="N29" t="str">
        <f>IF(ISNA(MATCH(N$16,FuelTechs!$D$9:$D$58,0)),"",CombustionEmissions!D9)</f>
        <v/>
      </c>
      <c r="O29">
        <f>IF(ISNA(MATCH(O$16,FuelTechs!$D$9:$D$58,0)),"",CombustionEmissions!E9)</f>
        <v>0</v>
      </c>
      <c r="P29" t="str">
        <f>IF(ISNA(MATCH(P$16,FuelTechs!$D$9:$D$58,0)),"",CombustionEmissions!F9)</f>
        <v/>
      </c>
      <c r="Q29">
        <f>IF(ISNA(MATCH(Q$16,FuelTechs!$D$9:$D$58,0)),"",CombustionEmissions!G9)</f>
        <v>0.25290000000000001</v>
      </c>
      <c r="R29">
        <f>IF(ISNA(MATCH(R$16,FuelTechs!$D$9:$D$58,0)),"",CombustionEmissions!H9)</f>
        <v>4.6699999999999998E-2</v>
      </c>
      <c r="S29">
        <f>IF(ISNA(MATCH(S$16,FuelTechs!$D$9:$D$58,0)),"",CombustionEmissions!I9)</f>
        <v>1.5290999999999999</v>
      </c>
      <c r="T29">
        <f>IF(ISNA(MATCH(T$16,FuelTechs!$D$9:$D$58,0)),"",CombustionEmissions!J9)</f>
        <v>4.5900000000000003E-2</v>
      </c>
      <c r="U29">
        <f>IF(ISNA(MATCH(U$16,FuelTechs!$D$9:$D$58,0)),"",CombustionEmissions!K9)</f>
        <v>5.4089999999999998</v>
      </c>
    </row>
    <row r="30" spans="1:21" x14ac:dyDescent="0.25">
      <c r="A30" t="str">
        <f t="shared" si="6"/>
        <v>Commerce Nitrogen gases</v>
      </c>
      <c r="B30" t="str">
        <f t="shared" si="7"/>
        <v>COMNOXS</v>
      </c>
      <c r="L30" t="str">
        <f>IF(ISNA(MATCH(V$16,FuelTechs!$D$9:$D$58,0)),"",CombustionEmissions!L10)</f>
        <v/>
      </c>
      <c r="M30">
        <f>IF(ISNA(MATCH(M$16,FuelTechs!$D$9:$D$58,0)),"",CombustionEmissions!C10)</f>
        <v>0.3</v>
      </c>
      <c r="N30" t="str">
        <f>IF(ISNA(MATCH(N$16,FuelTechs!$D$9:$D$58,0)),"",CombustionEmissions!D10)</f>
        <v/>
      </c>
      <c r="O30">
        <f>IF(ISNA(MATCH(O$16,FuelTechs!$D$9:$D$58,0)),"",CombustionEmissions!E10)</f>
        <v>0.15</v>
      </c>
      <c r="P30" t="str">
        <f>IF(ISNA(MATCH(P$16,FuelTechs!$D$9:$D$58,0)),"",CombustionEmissions!F10)</f>
        <v/>
      </c>
      <c r="Q30">
        <f>IF(ISNA(MATCH(Q$16,FuelTechs!$D$9:$D$58,0)),"",CombustionEmissions!G10)</f>
        <v>0.2</v>
      </c>
      <c r="R30">
        <f>IF(ISNA(MATCH(R$16,FuelTechs!$D$9:$D$58,0)),"",CombustionEmissions!H10)</f>
        <v>0.6</v>
      </c>
      <c r="S30">
        <f>IF(ISNA(MATCH(S$16,FuelTechs!$D$9:$D$58,0)),"",CombustionEmissions!I10)</f>
        <v>0.2</v>
      </c>
      <c r="T30">
        <f>IF(ISNA(MATCH(T$16,FuelTechs!$D$9:$D$58,0)),"",CombustionEmissions!J10)</f>
        <v>0.2</v>
      </c>
      <c r="U30">
        <f>IF(ISNA(MATCH(U$16,FuelTechs!$D$9:$D$58,0)),"",CombustionEmissions!K10)</f>
        <v>1.2460000000000001E-2</v>
      </c>
    </row>
    <row r="31" spans="1:21" x14ac:dyDescent="0.25">
      <c r="A31" t="str">
        <f t="shared" si="6"/>
        <v>Commerce Carbon monoxide</v>
      </c>
      <c r="B31" t="str">
        <f t="shared" si="7"/>
        <v>COMCMOX</v>
      </c>
      <c r="L31" t="str">
        <f>IF(ISNA(MATCH(V$16,FuelTechs!$D$9:$D$58,0)),"",CombustionEmissions!L11)</f>
        <v/>
      </c>
      <c r="M31">
        <f>IF(ISNA(MATCH(M$16,FuelTechs!$D$9:$D$58,0)),"",CombustionEmissions!C11)</f>
        <v>0.02</v>
      </c>
      <c r="N31" t="str">
        <f>IF(ISNA(MATCH(N$16,FuelTechs!$D$9:$D$58,0)),"",CombustionEmissions!D11)</f>
        <v/>
      </c>
      <c r="O31">
        <f>IF(ISNA(MATCH(O$16,FuelTechs!$D$9:$D$58,0)),"",CombustionEmissions!E11)</f>
        <v>0.02</v>
      </c>
      <c r="P31" t="str">
        <f>IF(ISNA(MATCH(P$16,FuelTechs!$D$9:$D$58,0)),"",CombustionEmissions!F11)</f>
        <v/>
      </c>
      <c r="Q31">
        <f>IF(ISNA(MATCH(Q$16,FuelTechs!$D$9:$D$58,0)),"",CombustionEmissions!G11)</f>
        <v>1.4999999999999999E-2</v>
      </c>
      <c r="R31">
        <f>IF(ISNA(MATCH(R$16,FuelTechs!$D$9:$D$58,0)),"",CombustionEmissions!H11)</f>
        <v>8</v>
      </c>
      <c r="S31">
        <f>IF(ISNA(MATCH(S$16,FuelTechs!$D$9:$D$58,0)),"",CombustionEmissions!I11)</f>
        <v>0.01</v>
      </c>
      <c r="T31">
        <f>IF(ISNA(MATCH(T$16,FuelTechs!$D$9:$D$58,0)),"",CombustionEmissions!J11)</f>
        <v>0.01</v>
      </c>
      <c r="U31">
        <f>IF(ISNA(MATCH(U$16,FuelTechs!$D$9:$D$58,0)),"",CombustionEmissions!K11)</f>
        <v>0.182</v>
      </c>
    </row>
    <row r="32" spans="1:21" x14ac:dyDescent="0.25">
      <c r="A32" t="str">
        <f t="shared" si="6"/>
        <v>Commerce NMVOCs</v>
      </c>
      <c r="B32" t="str">
        <f t="shared" si="7"/>
        <v>COMNMVS</v>
      </c>
      <c r="L32" t="str">
        <f>IF(ISNA(MATCH(V$16,FuelTechs!$D$9:$D$58,0)),"",CombustionEmissions!L12)</f>
        <v/>
      </c>
      <c r="M32">
        <f>IF(ISNA(MATCH(M$16,FuelTechs!$D$9:$D$58,0)),"",CombustionEmissions!C12)</f>
        <v>5.0000000000000001E-3</v>
      </c>
      <c r="N32" t="str">
        <f>IF(ISNA(MATCH(N$16,FuelTechs!$D$9:$D$58,0)),"",CombustionEmissions!D12)</f>
        <v/>
      </c>
      <c r="O32">
        <f>IF(ISNA(MATCH(O$16,FuelTechs!$D$9:$D$58,0)),"",CombustionEmissions!E12)</f>
        <v>5.0000000000000001E-3</v>
      </c>
      <c r="P32" t="str">
        <f>IF(ISNA(MATCH(P$16,FuelTechs!$D$9:$D$58,0)),"",CombustionEmissions!F12)</f>
        <v/>
      </c>
      <c r="Q32">
        <f>IF(ISNA(MATCH(Q$16,FuelTechs!$D$9:$D$58,0)),"",CombustionEmissions!G12)</f>
        <v>5.0000000000000001E-3</v>
      </c>
      <c r="R32">
        <f>IF(ISNA(MATCH(R$16,FuelTechs!$D$9:$D$58,0)),"",CombustionEmissions!H12)</f>
        <v>1.5</v>
      </c>
      <c r="S32">
        <f>IF(ISNA(MATCH(S$16,FuelTechs!$D$9:$D$58,0)),"",CombustionEmissions!I12)</f>
        <v>5.0000000000000001E-3</v>
      </c>
      <c r="T32">
        <f>IF(ISNA(MATCH(T$16,FuelTechs!$D$9:$D$58,0)),"",CombustionEmissions!J12)</f>
        <v>5.0000000000000001E-3</v>
      </c>
      <c r="U32">
        <f>IF(ISNA(MATCH(U$16,FuelTechs!$D$9:$D$58,0)),"",CombustionEmissions!K12)</f>
        <v>2.3699999999999999E-2</v>
      </c>
    </row>
    <row r="33" spans="1:41" x14ac:dyDescent="0.25">
      <c r="A33" t="str">
        <f t="shared" si="6"/>
        <v>Commerce PM10</v>
      </c>
      <c r="B33" t="str">
        <f t="shared" si="7"/>
        <v>COMP10S</v>
      </c>
      <c r="L33" t="str">
        <f>IF(ISNA(MATCH(V$16,FuelTechs!$D$9:$D$58,0)),"",CombustionEmissions!L13)</f>
        <v/>
      </c>
      <c r="M33">
        <f>IF(ISNA(MATCH(M$16,FuelTechs!$D$9:$D$58,0)),"",CombustionEmissions!C13)</f>
        <v>4.5769644752755773E-2</v>
      </c>
      <c r="N33" t="str">
        <f>IF(ISNA(MATCH(N$16,FuelTechs!$D$9:$D$58,0)),"",CombustionEmissions!D13)</f>
        <v/>
      </c>
      <c r="O33">
        <f>IF(ISNA(MATCH(O$16,FuelTechs!$D$9:$D$58,0)),"",CombustionEmissions!E13)</f>
        <v>0</v>
      </c>
      <c r="P33" t="str">
        <f>IF(ISNA(MATCH(P$16,FuelTechs!$D$9:$D$58,0)),"",CombustionEmissions!F13)</f>
        <v/>
      </c>
      <c r="Q33">
        <f>IF(ISNA(MATCH(Q$16,FuelTechs!$D$9:$D$58,0)),"",CombustionEmissions!G13)</f>
        <v>0</v>
      </c>
      <c r="R33">
        <f>IF(ISNA(MATCH(R$16,FuelTechs!$D$9:$D$58,0)),"",CombustionEmissions!H13)</f>
        <v>0</v>
      </c>
      <c r="S33">
        <f>IF(ISNA(MATCH(S$16,FuelTechs!$D$9:$D$58,0)),"",CombustionEmissions!I13)</f>
        <v>0</v>
      </c>
      <c r="T33">
        <f>IF(ISNA(MATCH(T$16,FuelTechs!$D$9:$D$58,0)),"",CombustionEmissions!J13)</f>
        <v>0</v>
      </c>
      <c r="U33">
        <f>IF(ISNA(MATCH(U$16,FuelTechs!$D$9:$D$58,0)),"",CombustionEmissions!K13)</f>
        <v>0</v>
      </c>
    </row>
    <row r="34" spans="1:41" x14ac:dyDescent="0.25">
      <c r="A34" t="s">
        <v>364</v>
      </c>
      <c r="B34" t="s">
        <v>1</v>
      </c>
    </row>
    <row r="35" spans="1:41" x14ac:dyDescent="0.25">
      <c r="A35" t="str">
        <f t="shared" ref="A35:A42" si="8">B$34&amp;" "&amp;A6</f>
        <v>Industry Carbon dioxide</v>
      </c>
      <c r="B35" t="str">
        <f t="shared" ref="B35:B42" si="9">W$15&amp;B6</f>
        <v>INDCO2S</v>
      </c>
      <c r="W35">
        <f>IF(ISNA(MATCH(W$16,FuelTechs!$D$9:$D$58,0)),"",CombustionEmissions!C6)</f>
        <v>96.25</v>
      </c>
      <c r="X35">
        <f>IF(ISNA(MATCH(X$16,FuelTechs!$D$9:$D$58,0)),"",CombustionEmissions!D6)</f>
        <v>96.25</v>
      </c>
      <c r="Y35">
        <f>IF(ISNA(MATCH(Y$16,FuelTechs!$D$9:$D$58,0)),"",CombustionEmissions!E6)</f>
        <v>56.1</v>
      </c>
      <c r="Z35" t="str">
        <f>IF(ISNA(MATCH(Z$16,FuelTechs!$D$9:$D$58,0)),"",CombustionEmissions!F6)</f>
        <v/>
      </c>
      <c r="AA35">
        <f>IF(ISNA(MATCH(AA$16,FuelTechs!$D$9:$D$58,0)),"",CombustionEmissions!G6)</f>
        <v>74.066699999999997</v>
      </c>
      <c r="AB35">
        <f>IF(ISNA(MATCH(AB$16,FuelTechs!$D$9:$D$58,0)),"",CombustionEmissions!H6)</f>
        <v>69.3</v>
      </c>
      <c r="AC35">
        <f>IF(ISNA(MATCH(AC$16,FuelTechs!$D$9:$D$58,0)),"",CombustionEmissions!I6)</f>
        <v>77.400000000000006</v>
      </c>
      <c r="AD35" t="str">
        <f>IF(ISNA(MATCH(AD$16,FuelTechs!$D$9:$D$58,0)),"",CombustionEmissions!J6)</f>
        <v/>
      </c>
      <c r="AE35">
        <f>IF(ISNA(MATCH(AE$16,FuelTechs!$D$9:$D$58,0)),"",CombustionEmissions!K6)</f>
        <v>63.1</v>
      </c>
      <c r="AF35">
        <f>IF(ISNA(MATCH(AF$16,FuelTechs!$D$9:$D$58,0)),"",CombustionEmissions!L6)</f>
        <v>91.7</v>
      </c>
    </row>
    <row r="36" spans="1:41" x14ac:dyDescent="0.25">
      <c r="A36" t="str">
        <f t="shared" si="8"/>
        <v>Industry Methane</v>
      </c>
      <c r="B36" t="str">
        <f t="shared" si="9"/>
        <v>INDCH4S</v>
      </c>
      <c r="W36">
        <f>IF(ISNA(MATCH(W$16,FuelTechs!$D$9:$D$58,0)),"",CombustionEmissions!C7)</f>
        <v>1E-3</v>
      </c>
      <c r="X36">
        <f>IF(ISNA(MATCH(X$16,FuelTechs!$D$9:$D$58,0)),"",CombustionEmissions!D7)</f>
        <v>1E-3</v>
      </c>
      <c r="Y36">
        <f>IF(ISNA(MATCH(Y$16,FuelTechs!$D$9:$D$58,0)),"",CombustionEmissions!E7)</f>
        <v>1E-3</v>
      </c>
      <c r="Z36" t="str">
        <f>IF(ISNA(MATCH(Z$16,FuelTechs!$D$9:$D$58,0)),"",CombustionEmissions!F7)</f>
        <v/>
      </c>
      <c r="AA36">
        <f>IF(ISNA(MATCH(AA$16,FuelTechs!$D$9:$D$58,0)),"",CombustionEmissions!G7)</f>
        <v>3.0000000000000001E-3</v>
      </c>
      <c r="AB36">
        <f>IF(ISNA(MATCH(AB$16,FuelTechs!$D$9:$D$58,0)),"",CombustionEmissions!H7)</f>
        <v>3.0000000000000001E-3</v>
      </c>
      <c r="AC36">
        <f>IF(ISNA(MATCH(AC$16,FuelTechs!$D$9:$D$58,0)),"",CombustionEmissions!I7)</f>
        <v>3.0000000000000001E-3</v>
      </c>
      <c r="AD36" t="str">
        <f>IF(ISNA(MATCH(AD$16,FuelTechs!$D$9:$D$58,0)),"",CombustionEmissions!J7)</f>
        <v/>
      </c>
      <c r="AE36">
        <f>IF(ISNA(MATCH(AE$16,FuelTechs!$D$9:$D$58,0)),"",CombustionEmissions!K7)</f>
        <v>3.0000000000000001E-3</v>
      </c>
      <c r="AF36">
        <f>IF(ISNA(MATCH(AF$16,FuelTechs!$D$9:$D$58,0)),"",CombustionEmissions!L7)</f>
        <v>0.03</v>
      </c>
    </row>
    <row r="37" spans="1:41" x14ac:dyDescent="0.25">
      <c r="A37" t="str">
        <f t="shared" si="8"/>
        <v>Industry Nitrous Oxide</v>
      </c>
      <c r="B37" t="str">
        <f t="shared" si="9"/>
        <v>INDN2OS</v>
      </c>
      <c r="W37">
        <f>IF(ISNA(MATCH(W$16,FuelTechs!$D$9:$D$58,0)),"",CombustionEmissions!C8)</f>
        <v>1.4E-3</v>
      </c>
      <c r="X37">
        <f>IF(ISNA(MATCH(X$16,FuelTechs!$D$9:$D$58,0)),"",CombustionEmissions!D8)</f>
        <v>1.4E-3</v>
      </c>
      <c r="Y37">
        <f>IF(ISNA(MATCH(Y$16,FuelTechs!$D$9:$D$58,0)),"",CombustionEmissions!E8)</f>
        <v>1E-4</v>
      </c>
      <c r="Z37" t="str">
        <f>IF(ISNA(MATCH(Z$16,FuelTechs!$D$9:$D$58,0)),"",CombustionEmissions!F8)</f>
        <v/>
      </c>
      <c r="AA37">
        <f>IF(ISNA(MATCH(AA$16,FuelTechs!$D$9:$D$58,0)),"",CombustionEmissions!G8)</f>
        <v>5.9999999999999995E-4</v>
      </c>
      <c r="AB37">
        <f>IF(ISNA(MATCH(AB$16,FuelTechs!$D$9:$D$58,0)),"",CombustionEmissions!H8)</f>
        <v>5.9999999999999995E-4</v>
      </c>
      <c r="AC37">
        <f>IF(ISNA(MATCH(AC$16,FuelTechs!$D$9:$D$58,0)),"",CombustionEmissions!I8)</f>
        <v>5.9999999999999995E-4</v>
      </c>
      <c r="AD37" t="str">
        <f>IF(ISNA(MATCH(AD$16,FuelTechs!$D$9:$D$58,0)),"",CombustionEmissions!J8)</f>
        <v/>
      </c>
      <c r="AE37">
        <f>IF(ISNA(MATCH(AE$16,FuelTechs!$D$9:$D$58,0)),"",CombustionEmissions!K8)</f>
        <v>1E-4</v>
      </c>
      <c r="AF37">
        <f>IF(ISNA(MATCH(AF$16,FuelTechs!$D$9:$D$58,0)),"",CombustionEmissions!L8)</f>
        <v>4.0000000000000001E-3</v>
      </c>
    </row>
    <row r="38" spans="1:41" x14ac:dyDescent="0.25">
      <c r="A38" t="str">
        <f t="shared" si="8"/>
        <v>Industry Sulphur gases</v>
      </c>
      <c r="B38" t="str">
        <f t="shared" si="9"/>
        <v>INDSOXS</v>
      </c>
      <c r="W38">
        <f>IF(ISNA(MATCH(W$16,FuelTechs!$D$9:$D$58,0)),"",CombustionEmissions!C9)</f>
        <v>0.62619999999999998</v>
      </c>
      <c r="X38">
        <f>IF(ISNA(MATCH(X$16,FuelTechs!$D$9:$D$58,0)),"",CombustionEmissions!D9)</f>
        <v>0.62619999999999998</v>
      </c>
      <c r="Y38">
        <f>IF(ISNA(MATCH(Y$16,FuelTechs!$D$9:$D$58,0)),"",CombustionEmissions!E9)</f>
        <v>0</v>
      </c>
      <c r="Z38" t="str">
        <f>IF(ISNA(MATCH(Z$16,FuelTechs!$D$9:$D$58,0)),"",CombustionEmissions!F9)</f>
        <v/>
      </c>
      <c r="AA38">
        <f>IF(ISNA(MATCH(AA$16,FuelTechs!$D$9:$D$58,0)),"",CombustionEmissions!G9)</f>
        <v>0.25290000000000001</v>
      </c>
      <c r="AB38">
        <f>IF(ISNA(MATCH(AB$16,FuelTechs!$D$9:$D$58,0)),"",CombustionEmissions!H9)</f>
        <v>4.6699999999999998E-2</v>
      </c>
      <c r="AC38">
        <f>IF(ISNA(MATCH(AC$16,FuelTechs!$D$9:$D$58,0)),"",CombustionEmissions!I9)</f>
        <v>1.5290999999999999</v>
      </c>
      <c r="AD38" t="str">
        <f>IF(ISNA(MATCH(AD$16,FuelTechs!$D$9:$D$58,0)),"",CombustionEmissions!J9)</f>
        <v/>
      </c>
      <c r="AE38">
        <f>IF(ISNA(MATCH(AE$16,FuelTechs!$D$9:$D$58,0)),"",CombustionEmissions!K9)</f>
        <v>5.4089999999999998</v>
      </c>
      <c r="AF38">
        <f>IF(ISNA(MATCH(AF$16,FuelTechs!$D$9:$D$58,0)),"",CombustionEmissions!L9)</f>
        <v>1.5290999999999999</v>
      </c>
    </row>
    <row r="39" spans="1:41" x14ac:dyDescent="0.25">
      <c r="A39" t="str">
        <f t="shared" si="8"/>
        <v>Industry Nitrogen gases</v>
      </c>
      <c r="B39" t="str">
        <f t="shared" si="9"/>
        <v>INDNOXS</v>
      </c>
      <c r="W39">
        <f>IF(ISNA(MATCH(W$16,FuelTechs!$D$9:$D$58,0)),"",CombustionEmissions!C10)</f>
        <v>0.3</v>
      </c>
      <c r="X39">
        <f>IF(ISNA(MATCH(X$16,FuelTechs!$D$9:$D$58,0)),"",CombustionEmissions!D10)</f>
        <v>0.3</v>
      </c>
      <c r="Y39">
        <f>IF(ISNA(MATCH(Y$16,FuelTechs!$D$9:$D$58,0)),"",CombustionEmissions!E10)</f>
        <v>0.15</v>
      </c>
      <c r="Z39" t="str">
        <f>IF(ISNA(MATCH(Z$16,FuelTechs!$D$9:$D$58,0)),"",CombustionEmissions!F10)</f>
        <v/>
      </c>
      <c r="AA39">
        <f>IF(ISNA(MATCH(AA$16,FuelTechs!$D$9:$D$58,0)),"",CombustionEmissions!G10)</f>
        <v>0.2</v>
      </c>
      <c r="AB39">
        <f>IF(ISNA(MATCH(AB$16,FuelTechs!$D$9:$D$58,0)),"",CombustionEmissions!H10)</f>
        <v>0.6</v>
      </c>
      <c r="AC39">
        <f>IF(ISNA(MATCH(AC$16,FuelTechs!$D$9:$D$58,0)),"",CombustionEmissions!I10)</f>
        <v>0.2</v>
      </c>
      <c r="AD39" t="str">
        <f>IF(ISNA(MATCH(AD$16,FuelTechs!$D$9:$D$58,0)),"",CombustionEmissions!J10)</f>
        <v/>
      </c>
      <c r="AE39">
        <f>IF(ISNA(MATCH(AE$16,FuelTechs!$D$9:$D$58,0)),"",CombustionEmissions!K10)</f>
        <v>1.2460000000000001E-2</v>
      </c>
      <c r="AF39">
        <f>IF(ISNA(MATCH(AF$16,FuelTechs!$D$9:$D$58,0)),"",CombustionEmissions!L10)</f>
        <v>0.2</v>
      </c>
    </row>
    <row r="40" spans="1:41" x14ac:dyDescent="0.25">
      <c r="A40" t="str">
        <f t="shared" si="8"/>
        <v>Industry Carbon monoxide</v>
      </c>
      <c r="B40" t="str">
        <f t="shared" si="9"/>
        <v>INDCMOX</v>
      </c>
      <c r="W40">
        <f>IF(ISNA(MATCH(W$16,FuelTechs!$D$9:$D$58,0)),"",CombustionEmissions!C11)</f>
        <v>0.02</v>
      </c>
      <c r="X40">
        <f>IF(ISNA(MATCH(X$16,FuelTechs!$D$9:$D$58,0)),"",CombustionEmissions!D11)</f>
        <v>0.02</v>
      </c>
      <c r="Y40">
        <f>IF(ISNA(MATCH(Y$16,FuelTechs!$D$9:$D$58,0)),"",CombustionEmissions!E11)</f>
        <v>0.02</v>
      </c>
      <c r="Z40" t="str">
        <f>IF(ISNA(MATCH(Z$16,FuelTechs!$D$9:$D$58,0)),"",CombustionEmissions!F11)</f>
        <v/>
      </c>
      <c r="AA40">
        <f>IF(ISNA(MATCH(AA$16,FuelTechs!$D$9:$D$58,0)),"",CombustionEmissions!G11)</f>
        <v>1.4999999999999999E-2</v>
      </c>
      <c r="AB40">
        <f>IF(ISNA(MATCH(AB$16,FuelTechs!$D$9:$D$58,0)),"",CombustionEmissions!H11)</f>
        <v>8</v>
      </c>
      <c r="AC40">
        <f>IF(ISNA(MATCH(AC$16,FuelTechs!$D$9:$D$58,0)),"",CombustionEmissions!I11)</f>
        <v>0.01</v>
      </c>
      <c r="AD40" t="str">
        <f>IF(ISNA(MATCH(AD$16,FuelTechs!$D$9:$D$58,0)),"",CombustionEmissions!J11)</f>
        <v/>
      </c>
      <c r="AE40">
        <f>IF(ISNA(MATCH(AE$16,FuelTechs!$D$9:$D$58,0)),"",CombustionEmissions!K11)</f>
        <v>0.182</v>
      </c>
      <c r="AF40">
        <f>IF(ISNA(MATCH(AF$16,FuelTechs!$D$9:$D$58,0)),"",CombustionEmissions!L11)</f>
        <v>0.01</v>
      </c>
    </row>
    <row r="41" spans="1:41" x14ac:dyDescent="0.25">
      <c r="A41" t="str">
        <f t="shared" si="8"/>
        <v>Industry NMVOCs</v>
      </c>
      <c r="B41" t="str">
        <f t="shared" si="9"/>
        <v>INDNMVS</v>
      </c>
      <c r="W41">
        <f>IF(ISNA(MATCH(W$16,FuelTechs!$D$9:$D$58,0)),"",CombustionEmissions!C12)</f>
        <v>5.0000000000000001E-3</v>
      </c>
      <c r="X41">
        <f>IF(ISNA(MATCH(X$16,FuelTechs!$D$9:$D$58,0)),"",CombustionEmissions!D12)</f>
        <v>5.0000000000000001E-3</v>
      </c>
      <c r="Y41">
        <f>IF(ISNA(MATCH(Y$16,FuelTechs!$D$9:$D$58,0)),"",CombustionEmissions!E12)</f>
        <v>5.0000000000000001E-3</v>
      </c>
      <c r="Z41" t="str">
        <f>IF(ISNA(MATCH(Z$16,FuelTechs!$D$9:$D$58,0)),"",CombustionEmissions!F12)</f>
        <v/>
      </c>
      <c r="AA41">
        <f>IF(ISNA(MATCH(AA$16,FuelTechs!$D$9:$D$58,0)),"",CombustionEmissions!G12)</f>
        <v>5.0000000000000001E-3</v>
      </c>
      <c r="AB41">
        <f>IF(ISNA(MATCH(AB$16,FuelTechs!$D$9:$D$58,0)),"",CombustionEmissions!H12)</f>
        <v>1.5</v>
      </c>
      <c r="AC41">
        <f>IF(ISNA(MATCH(AC$16,FuelTechs!$D$9:$D$58,0)),"",CombustionEmissions!I12)</f>
        <v>5.0000000000000001E-3</v>
      </c>
      <c r="AD41" t="str">
        <f>IF(ISNA(MATCH(AD$16,FuelTechs!$D$9:$D$58,0)),"",CombustionEmissions!J12)</f>
        <v/>
      </c>
      <c r="AE41">
        <f>IF(ISNA(MATCH(AE$16,FuelTechs!$D$9:$D$58,0)),"",CombustionEmissions!K12)</f>
        <v>2.3699999999999999E-2</v>
      </c>
      <c r="AF41">
        <f>IF(ISNA(MATCH(AF$16,FuelTechs!$D$9:$D$58,0)),"",CombustionEmissions!L12)</f>
        <v>5.0000000000000001E-3</v>
      </c>
    </row>
    <row r="42" spans="1:41" x14ac:dyDescent="0.25">
      <c r="A42" t="str">
        <f t="shared" si="8"/>
        <v>Industry PM10</v>
      </c>
      <c r="B42" t="str">
        <f t="shared" si="9"/>
        <v>INDP10S</v>
      </c>
      <c r="W42">
        <f>IF(ISNA(MATCH(W$16,FuelTechs!$D$9:$D$58,0)),"",CombustionEmissions!C13)</f>
        <v>4.5769644752755773E-2</v>
      </c>
      <c r="X42">
        <f>IF(ISNA(MATCH(X$16,FuelTechs!$D$9:$D$58,0)),"",CombustionEmissions!D13)</f>
        <v>4.5769644752755773E-2</v>
      </c>
      <c r="Y42">
        <f>IF(ISNA(MATCH(Y$16,FuelTechs!$D$9:$D$58,0)),"",CombustionEmissions!E13)</f>
        <v>0</v>
      </c>
      <c r="Z42" t="str">
        <f>IF(ISNA(MATCH(Z$16,FuelTechs!$D$9:$D$58,0)),"",CombustionEmissions!F13)</f>
        <v/>
      </c>
      <c r="AA42">
        <f>IF(ISNA(MATCH(AA$16,FuelTechs!$D$9:$D$58,0)),"",CombustionEmissions!G13)</f>
        <v>0</v>
      </c>
      <c r="AB42">
        <f>IF(ISNA(MATCH(AB$16,FuelTechs!$D$9:$D$58,0)),"",CombustionEmissions!H13)</f>
        <v>0</v>
      </c>
      <c r="AC42">
        <f>IF(ISNA(MATCH(AC$16,FuelTechs!$D$9:$D$58,0)),"",CombustionEmissions!I13)</f>
        <v>0</v>
      </c>
      <c r="AD42" t="str">
        <f>IF(ISNA(MATCH(AD$16,FuelTechs!$D$9:$D$58,0)),"",CombustionEmissions!J13)</f>
        <v/>
      </c>
      <c r="AE42">
        <f>IF(ISNA(MATCH(AE$16,FuelTechs!$D$9:$D$58,0)),"",CombustionEmissions!K13)</f>
        <v>0</v>
      </c>
      <c r="AF42">
        <f>IF(ISNA(MATCH(AF$16,FuelTechs!$D$9:$D$58,0)),"",CombustionEmissions!L13)</f>
        <v>0</v>
      </c>
    </row>
    <row r="43" spans="1:41" x14ac:dyDescent="0.25">
      <c r="A43" t="s">
        <v>364</v>
      </c>
      <c r="B43" t="s">
        <v>3</v>
      </c>
    </row>
    <row r="44" spans="1:41" x14ac:dyDescent="0.25">
      <c r="A44" t="str">
        <f t="shared" ref="A44:A51" si="10">B$43&amp;" "&amp;A6</f>
        <v>Residential Carbon dioxide</v>
      </c>
      <c r="B44" t="str">
        <f t="shared" ref="B44:B51" si="11">AG$15&amp;B6</f>
        <v>RESCO2S</v>
      </c>
      <c r="L44" t="str">
        <f>IF(ISNA(MATCH(AP$16,FuelTechs!$D$9:$D$58,0)),"",CombustionEmissions!L6)</f>
        <v/>
      </c>
      <c r="AG44">
        <f>IF(ISNA(MATCH(AG$16,FuelTechs!$D$9:$D$58,0)),"",CombustionEmissions!C6)</f>
        <v>96.25</v>
      </c>
      <c r="AH44" t="str">
        <f>IF(ISNA(MATCH(AH$16,FuelTechs!$D$9:$D$58,0)),"",CombustionEmissions!D6)</f>
        <v/>
      </c>
      <c r="AI44">
        <f>IF(ISNA(MATCH(AI$16,FuelTechs!$D$9:$D$58,0)),"",CombustionEmissions!E6)</f>
        <v>56.1</v>
      </c>
      <c r="AJ44" t="str">
        <f>IF(ISNA(MATCH(AJ$16,FuelTechs!$D$9:$D$58,0)),"",CombustionEmissions!F6)</f>
        <v/>
      </c>
      <c r="AK44" t="str">
        <f>IF(ISNA(MATCH(AK$16,FuelTechs!$D$9:$D$58,0)),"",CombustionEmissions!G6)</f>
        <v/>
      </c>
      <c r="AL44" t="str">
        <f>IF(ISNA(MATCH(AL$16,FuelTechs!$D$9:$D$58,0)),"",CombustionEmissions!H6)</f>
        <v/>
      </c>
      <c r="AM44" t="str">
        <f>IF(ISNA(MATCH(AM$16,FuelTechs!$D$9:$D$58,0)),"",CombustionEmissions!I6)</f>
        <v/>
      </c>
      <c r="AN44">
        <f>IF(ISNA(MATCH(AN$16,FuelTechs!$D$9:$D$58,0)),"",CombustionEmissions!J6)</f>
        <v>72.900000000000006</v>
      </c>
      <c r="AO44">
        <f>IF(ISNA(MATCH(AO$16,FuelTechs!$D$9:$D$58,0)),"",CombustionEmissions!K6)</f>
        <v>63.1</v>
      </c>
    </row>
    <row r="45" spans="1:41" x14ac:dyDescent="0.25">
      <c r="A45" t="str">
        <f t="shared" si="10"/>
        <v>Residential Methane</v>
      </c>
      <c r="B45" t="str">
        <f t="shared" si="11"/>
        <v>RESCH4S</v>
      </c>
      <c r="L45" t="str">
        <f>IF(ISNA(MATCH(AP$16,FuelTechs!$D$9:$D$58,0)),"",CombustionEmissions!L7)</f>
        <v/>
      </c>
      <c r="AG45">
        <f>IF(ISNA(MATCH(AG$16,FuelTechs!$D$9:$D$58,0)),"",CombustionEmissions!C7)</f>
        <v>1E-3</v>
      </c>
      <c r="AH45" t="str">
        <f>IF(ISNA(MATCH(AH$16,FuelTechs!$D$9:$D$58,0)),"",CombustionEmissions!D7)</f>
        <v/>
      </c>
      <c r="AI45">
        <f>IF(ISNA(MATCH(AI$16,FuelTechs!$D$9:$D$58,0)),"",CombustionEmissions!E7)</f>
        <v>1E-3</v>
      </c>
      <c r="AJ45" t="str">
        <f>IF(ISNA(MATCH(AJ$16,FuelTechs!$D$9:$D$58,0)),"",CombustionEmissions!F7)</f>
        <v/>
      </c>
      <c r="AK45" t="str">
        <f>IF(ISNA(MATCH(AK$16,FuelTechs!$D$9:$D$58,0)),"",CombustionEmissions!G7)</f>
        <v/>
      </c>
      <c r="AL45" t="str">
        <f>IF(ISNA(MATCH(AL$16,FuelTechs!$D$9:$D$58,0)),"",CombustionEmissions!H7)</f>
        <v/>
      </c>
      <c r="AM45" t="str">
        <f>IF(ISNA(MATCH(AM$16,FuelTechs!$D$9:$D$58,0)),"",CombustionEmissions!I7)</f>
        <v/>
      </c>
      <c r="AN45">
        <f>IF(ISNA(MATCH(AN$16,FuelTechs!$D$9:$D$58,0)),"",CombustionEmissions!J7)</f>
        <v>3.0000000000000001E-3</v>
      </c>
      <c r="AO45">
        <f>IF(ISNA(MATCH(AO$16,FuelTechs!$D$9:$D$58,0)),"",CombustionEmissions!K7)</f>
        <v>3.0000000000000001E-3</v>
      </c>
    </row>
    <row r="46" spans="1:41" x14ac:dyDescent="0.25">
      <c r="A46" t="str">
        <f t="shared" si="10"/>
        <v>Residential Nitrous Oxide</v>
      </c>
      <c r="B46" t="str">
        <f t="shared" si="11"/>
        <v>RESN2OS</v>
      </c>
      <c r="L46" t="str">
        <f>IF(ISNA(MATCH(AP$16,FuelTechs!$D$9:$D$58,0)),"",CombustionEmissions!L8)</f>
        <v/>
      </c>
      <c r="AG46">
        <f>IF(ISNA(MATCH(AG$16,FuelTechs!$D$9:$D$58,0)),"",CombustionEmissions!C8)</f>
        <v>1.4E-3</v>
      </c>
      <c r="AH46" t="str">
        <f>IF(ISNA(MATCH(AH$16,FuelTechs!$D$9:$D$58,0)),"",CombustionEmissions!D8)</f>
        <v/>
      </c>
      <c r="AI46">
        <f>IF(ISNA(MATCH(AI$16,FuelTechs!$D$9:$D$58,0)),"",CombustionEmissions!E8)</f>
        <v>1E-4</v>
      </c>
      <c r="AJ46" t="str">
        <f>IF(ISNA(MATCH(AJ$16,FuelTechs!$D$9:$D$58,0)),"",CombustionEmissions!F8)</f>
        <v/>
      </c>
      <c r="AK46" t="str">
        <f>IF(ISNA(MATCH(AK$16,FuelTechs!$D$9:$D$58,0)),"",CombustionEmissions!G8)</f>
        <v/>
      </c>
      <c r="AL46" t="str">
        <f>IF(ISNA(MATCH(AL$16,FuelTechs!$D$9:$D$58,0)),"",CombustionEmissions!H8)</f>
        <v/>
      </c>
      <c r="AM46" t="str">
        <f>IF(ISNA(MATCH(AM$16,FuelTechs!$D$9:$D$58,0)),"",CombustionEmissions!I8)</f>
        <v/>
      </c>
      <c r="AN46">
        <f>IF(ISNA(MATCH(AN$16,FuelTechs!$D$9:$D$58,0)),"",CombustionEmissions!J8)</f>
        <v>5.9999999999999995E-4</v>
      </c>
      <c r="AO46">
        <f>IF(ISNA(MATCH(AO$16,FuelTechs!$D$9:$D$58,0)),"",CombustionEmissions!K8)</f>
        <v>1E-4</v>
      </c>
    </row>
    <row r="47" spans="1:41" x14ac:dyDescent="0.25">
      <c r="A47" t="str">
        <f t="shared" si="10"/>
        <v>Residential Sulphur gases</v>
      </c>
      <c r="B47" t="str">
        <f t="shared" si="11"/>
        <v>RESSOXS</v>
      </c>
      <c r="L47" t="str">
        <f>IF(ISNA(MATCH(AP$16,FuelTechs!$D$9:$D$58,0)),"",CombustionEmissions!L9)</f>
        <v/>
      </c>
      <c r="AG47">
        <f>IF(ISNA(MATCH(AG$16,FuelTechs!$D$9:$D$58,0)),"",CombustionEmissions!C9)</f>
        <v>0.62619999999999998</v>
      </c>
      <c r="AH47" t="str">
        <f>IF(ISNA(MATCH(AH$16,FuelTechs!$D$9:$D$58,0)),"",CombustionEmissions!D9)</f>
        <v/>
      </c>
      <c r="AI47">
        <f>IF(ISNA(MATCH(AI$16,FuelTechs!$D$9:$D$58,0)),"",CombustionEmissions!E9)</f>
        <v>0</v>
      </c>
      <c r="AJ47" t="str">
        <f>IF(ISNA(MATCH(AJ$16,FuelTechs!$D$9:$D$58,0)),"",CombustionEmissions!F9)</f>
        <v/>
      </c>
      <c r="AK47" t="str">
        <f>IF(ISNA(MATCH(AK$16,FuelTechs!$D$9:$D$58,0)),"",CombustionEmissions!G9)</f>
        <v/>
      </c>
      <c r="AL47" t="str">
        <f>IF(ISNA(MATCH(AL$16,FuelTechs!$D$9:$D$58,0)),"",CombustionEmissions!H9)</f>
        <v/>
      </c>
      <c r="AM47" t="str">
        <f>IF(ISNA(MATCH(AM$16,FuelTechs!$D$9:$D$58,0)),"",CombustionEmissions!I9)</f>
        <v/>
      </c>
      <c r="AN47">
        <f>IF(ISNA(MATCH(AN$16,FuelTechs!$D$9:$D$58,0)),"",CombustionEmissions!J9)</f>
        <v>4.5900000000000003E-2</v>
      </c>
      <c r="AO47">
        <f>IF(ISNA(MATCH(AO$16,FuelTechs!$D$9:$D$58,0)),"",CombustionEmissions!K9)</f>
        <v>5.4089999999999998</v>
      </c>
    </row>
    <row r="48" spans="1:41" x14ac:dyDescent="0.25">
      <c r="A48" t="str">
        <f t="shared" si="10"/>
        <v>Residential Nitrogen gases</v>
      </c>
      <c r="B48" t="str">
        <f t="shared" si="11"/>
        <v>RESNOXS</v>
      </c>
      <c r="L48" t="str">
        <f>IF(ISNA(MATCH(AP$16,FuelTechs!$D$9:$D$58,0)),"",CombustionEmissions!L10)</f>
        <v/>
      </c>
      <c r="AG48">
        <f>IF(ISNA(MATCH(AG$16,FuelTechs!$D$9:$D$58,0)),"",CombustionEmissions!C10)</f>
        <v>0.3</v>
      </c>
      <c r="AH48" t="str">
        <f>IF(ISNA(MATCH(AH$16,FuelTechs!$D$9:$D$58,0)),"",CombustionEmissions!D10)</f>
        <v/>
      </c>
      <c r="AI48">
        <f>IF(ISNA(MATCH(AI$16,FuelTechs!$D$9:$D$58,0)),"",CombustionEmissions!E10)</f>
        <v>0.15</v>
      </c>
      <c r="AJ48" t="str">
        <f>IF(ISNA(MATCH(AJ$16,FuelTechs!$D$9:$D$58,0)),"",CombustionEmissions!F10)</f>
        <v/>
      </c>
      <c r="AK48" t="str">
        <f>IF(ISNA(MATCH(AK$16,FuelTechs!$D$9:$D$58,0)),"",CombustionEmissions!G10)</f>
        <v/>
      </c>
      <c r="AL48" t="str">
        <f>IF(ISNA(MATCH(AL$16,FuelTechs!$D$9:$D$58,0)),"",CombustionEmissions!H10)</f>
        <v/>
      </c>
      <c r="AM48" t="str">
        <f>IF(ISNA(MATCH(AM$16,FuelTechs!$D$9:$D$58,0)),"",CombustionEmissions!I10)</f>
        <v/>
      </c>
      <c r="AN48">
        <f>IF(ISNA(MATCH(AN$16,FuelTechs!$D$9:$D$58,0)),"",CombustionEmissions!J10)</f>
        <v>0.2</v>
      </c>
      <c r="AO48">
        <f>IF(ISNA(MATCH(AO$16,FuelTechs!$D$9:$D$58,0)),"",CombustionEmissions!K10)</f>
        <v>1.2460000000000001E-2</v>
      </c>
    </row>
    <row r="49" spans="1:62" x14ac:dyDescent="0.25">
      <c r="A49" t="str">
        <f t="shared" si="10"/>
        <v>Residential Carbon monoxide</v>
      </c>
      <c r="B49" t="str">
        <f t="shared" si="11"/>
        <v>RESCMOX</v>
      </c>
      <c r="L49" t="str">
        <f>IF(ISNA(MATCH(AP$16,FuelTechs!$D$9:$D$58,0)),"",CombustionEmissions!L11)</f>
        <v/>
      </c>
      <c r="AG49">
        <f>IF(ISNA(MATCH(AG$16,FuelTechs!$D$9:$D$58,0)),"",CombustionEmissions!C11)</f>
        <v>0.02</v>
      </c>
      <c r="AH49" t="str">
        <f>IF(ISNA(MATCH(AH$16,FuelTechs!$D$9:$D$58,0)),"",CombustionEmissions!D11)</f>
        <v/>
      </c>
      <c r="AI49">
        <f>IF(ISNA(MATCH(AI$16,FuelTechs!$D$9:$D$58,0)),"",CombustionEmissions!E11)</f>
        <v>0.02</v>
      </c>
      <c r="AJ49" t="str">
        <f>IF(ISNA(MATCH(AJ$16,FuelTechs!$D$9:$D$58,0)),"",CombustionEmissions!F11)</f>
        <v/>
      </c>
      <c r="AK49" t="str">
        <f>IF(ISNA(MATCH(AK$16,FuelTechs!$D$9:$D$58,0)),"",CombustionEmissions!G11)</f>
        <v/>
      </c>
      <c r="AL49" t="str">
        <f>IF(ISNA(MATCH(AL$16,FuelTechs!$D$9:$D$58,0)),"",CombustionEmissions!H11)</f>
        <v/>
      </c>
      <c r="AM49" t="str">
        <f>IF(ISNA(MATCH(AM$16,FuelTechs!$D$9:$D$58,0)),"",CombustionEmissions!I11)</f>
        <v/>
      </c>
      <c r="AN49">
        <f>IF(ISNA(MATCH(AN$16,FuelTechs!$D$9:$D$58,0)),"",CombustionEmissions!J11)</f>
        <v>0.01</v>
      </c>
      <c r="AO49">
        <f>IF(ISNA(MATCH(AO$16,FuelTechs!$D$9:$D$58,0)),"",CombustionEmissions!K11)</f>
        <v>0.182</v>
      </c>
    </row>
    <row r="50" spans="1:62" x14ac:dyDescent="0.25">
      <c r="A50" t="str">
        <f t="shared" si="10"/>
        <v>Residential NMVOCs</v>
      </c>
      <c r="B50" t="str">
        <f t="shared" si="11"/>
        <v>RESNMVS</v>
      </c>
      <c r="L50" t="str">
        <f>IF(ISNA(MATCH(AP$16,FuelTechs!$D$9:$D$58,0)),"",CombustionEmissions!L12)</f>
        <v/>
      </c>
      <c r="AG50">
        <f>IF(ISNA(MATCH(AG$16,FuelTechs!$D$9:$D$58,0)),"",CombustionEmissions!C12)</f>
        <v>5.0000000000000001E-3</v>
      </c>
      <c r="AH50" t="str">
        <f>IF(ISNA(MATCH(AH$16,FuelTechs!$D$9:$D$58,0)),"",CombustionEmissions!D12)</f>
        <v/>
      </c>
      <c r="AI50">
        <f>IF(ISNA(MATCH(AI$16,FuelTechs!$D$9:$D$58,0)),"",CombustionEmissions!E12)</f>
        <v>5.0000000000000001E-3</v>
      </c>
      <c r="AJ50" t="str">
        <f>IF(ISNA(MATCH(AJ$16,FuelTechs!$D$9:$D$58,0)),"",CombustionEmissions!F12)</f>
        <v/>
      </c>
      <c r="AK50" t="str">
        <f>IF(ISNA(MATCH(AK$16,FuelTechs!$D$9:$D$58,0)),"",CombustionEmissions!G12)</f>
        <v/>
      </c>
      <c r="AL50" t="str">
        <f>IF(ISNA(MATCH(AL$16,FuelTechs!$D$9:$D$58,0)),"",CombustionEmissions!H12)</f>
        <v/>
      </c>
      <c r="AM50" t="str">
        <f>IF(ISNA(MATCH(AM$16,FuelTechs!$D$9:$D$58,0)),"",CombustionEmissions!I12)</f>
        <v/>
      </c>
      <c r="AN50">
        <f>IF(ISNA(MATCH(AN$16,FuelTechs!$D$9:$D$58,0)),"",CombustionEmissions!J12)</f>
        <v>5.0000000000000001E-3</v>
      </c>
      <c r="AO50">
        <f>IF(ISNA(MATCH(AO$16,FuelTechs!$D$9:$D$58,0)),"",CombustionEmissions!K12)</f>
        <v>2.3699999999999999E-2</v>
      </c>
    </row>
    <row r="51" spans="1:62" x14ac:dyDescent="0.25">
      <c r="A51" t="str">
        <f t="shared" si="10"/>
        <v>Residential PM10</v>
      </c>
      <c r="B51" t="str">
        <f t="shared" si="11"/>
        <v>RESP10S</v>
      </c>
      <c r="L51" t="str">
        <f>IF(ISNA(MATCH(AP$16,FuelTechs!$D$9:$D$58,0)),"",CombustionEmissions!L13)</f>
        <v/>
      </c>
      <c r="AG51">
        <f>IF(ISNA(MATCH(AG$16,FuelTechs!$D$9:$D$58,0)),"",CombustionEmissions!C13)</f>
        <v>4.5769644752755773E-2</v>
      </c>
      <c r="AH51" t="str">
        <f>IF(ISNA(MATCH(AH$16,FuelTechs!$D$9:$D$58,0)),"",CombustionEmissions!D13)</f>
        <v/>
      </c>
      <c r="AI51">
        <f>IF(ISNA(MATCH(AI$16,FuelTechs!$D$9:$D$58,0)),"",CombustionEmissions!E13)</f>
        <v>0</v>
      </c>
      <c r="AJ51" t="str">
        <f>IF(ISNA(MATCH(AJ$16,FuelTechs!$D$9:$D$58,0)),"",CombustionEmissions!F13)</f>
        <v/>
      </c>
      <c r="AK51" t="str">
        <f>IF(ISNA(MATCH(AK$16,FuelTechs!$D$9:$D$58,0)),"",CombustionEmissions!G13)</f>
        <v/>
      </c>
      <c r="AL51" t="str">
        <f>IF(ISNA(MATCH(AL$16,FuelTechs!$D$9:$D$58,0)),"",CombustionEmissions!H13)</f>
        <v/>
      </c>
      <c r="AM51" t="str">
        <f>IF(ISNA(MATCH(AM$16,FuelTechs!$D$9:$D$58,0)),"",CombustionEmissions!I13)</f>
        <v/>
      </c>
      <c r="AN51">
        <f>IF(ISNA(MATCH(AN$16,FuelTechs!$D$9:$D$58,0)),"",CombustionEmissions!J13)</f>
        <v>0</v>
      </c>
      <c r="AO51">
        <f>IF(ISNA(MATCH(AO$16,FuelTechs!$D$9:$D$58,0)),"",CombustionEmissions!K13)</f>
        <v>0</v>
      </c>
    </row>
    <row r="52" spans="1:62" x14ac:dyDescent="0.25">
      <c r="A52" t="s">
        <v>364</v>
      </c>
      <c r="B52" t="s">
        <v>2</v>
      </c>
    </row>
    <row r="53" spans="1:62" x14ac:dyDescent="0.25">
      <c r="A53" t="str">
        <f t="shared" ref="A53:A60" si="12">B$52&amp;" "&amp;A6</f>
        <v>Transport Carbon dioxide</v>
      </c>
      <c r="B53" t="str">
        <f t="shared" ref="B53:B60" si="13">AQ$15&amp;B6</f>
        <v>TRACO2S</v>
      </c>
      <c r="C53" t="str">
        <f>IF(ISNA(MATCH(AQ$16,FuelTechs!$D$9:$D$58,0)),"",CombustionEmissions!C6)</f>
        <v/>
      </c>
      <c r="D53" t="str">
        <f>IF(ISNA(MATCH(AR$16,FuelTechs!$D$9:$D$58,0)),"",CombustionEmissions!D6)</f>
        <v/>
      </c>
      <c r="K53" t="str">
        <f>IF(ISNA(MATCH(AY$16,FuelTechs!$D$9:$D$58,0)),"",CombustionEmissions!K6)</f>
        <v/>
      </c>
      <c r="L53" t="str">
        <f>IF(ISNA(MATCH(AZ$16,FuelTechs!$D$9:$D$58,0)),"",CombustionEmissions!L6)</f>
        <v/>
      </c>
      <c r="AQ53">
        <f>IF(ISNA(MATCH(AS$16,FuelTechs!$D$9:$D$58,0)),"",CombustionEmissions!E6)</f>
        <v>56.1</v>
      </c>
      <c r="AR53">
        <f>IF(ISNA(MATCH(AT$16,FuelTechs!$D$9:$D$58,0)),"",CombustionEmissions!F6)</f>
        <v>70</v>
      </c>
      <c r="AS53">
        <f>IF(ISNA(MATCH(AU$16,FuelTechs!$D$9:$D$58,0)),"",CombustionEmissions!G6)</f>
        <v>74.066699999999997</v>
      </c>
      <c r="AT53">
        <f>IF(ISNA(MATCH(AV$16,FuelTechs!$D$9:$D$58,0)),"",CombustionEmissions!H6)</f>
        <v>69.3</v>
      </c>
      <c r="AU53">
        <f>IF(ISNA(MATCH(AW$16,FuelTechs!$D$9:$D$58,0)),"",CombustionEmissions!I6)</f>
        <v>77.400000000000006</v>
      </c>
      <c r="AV53">
        <f>IF(ISNA(MATCH(AX$16,FuelTechs!$D$9:$D$58,0)),"",CombustionEmissions!J6)</f>
        <v>72.900000000000006</v>
      </c>
    </row>
    <row r="54" spans="1:62" x14ac:dyDescent="0.25">
      <c r="A54" t="str">
        <f t="shared" si="12"/>
        <v>Transport Methane</v>
      </c>
      <c r="B54" t="str">
        <f t="shared" si="13"/>
        <v>TRACH4S</v>
      </c>
      <c r="C54" t="str">
        <f>IF(ISNA(MATCH(AQ$16,FuelTechs!$D$9:$D$58,0)),"",CombustionEmissions!C7)</f>
        <v/>
      </c>
      <c r="D54" t="str">
        <f>IF(ISNA(MATCH(AR$16,FuelTechs!$D$9:$D$58,0)),"",CombustionEmissions!D7)</f>
        <v/>
      </c>
      <c r="K54" t="str">
        <f>IF(ISNA(MATCH(AY$16,FuelTechs!$D$9:$D$58,0)),"",CombustionEmissions!K7)</f>
        <v/>
      </c>
      <c r="L54" t="str">
        <f>IF(ISNA(MATCH(AZ$16,FuelTechs!$D$9:$D$58,0)),"",CombustionEmissions!L7)</f>
        <v/>
      </c>
      <c r="AQ54">
        <f>IF(ISNA(MATCH(AS$16,FuelTechs!$D$9:$D$58,0)),"",CombustionEmissions!E7)</f>
        <v>1E-3</v>
      </c>
      <c r="AR54">
        <f>IF(ISNA(MATCH(AT$16,FuelTechs!$D$9:$D$58,0)),"",CombustionEmissions!F7)</f>
        <v>3.0000000000000001E-3</v>
      </c>
      <c r="AS54">
        <f>IF(ISNA(MATCH(AU$16,FuelTechs!$D$9:$D$58,0)),"",CombustionEmissions!G7)</f>
        <v>3.0000000000000001E-3</v>
      </c>
      <c r="AT54">
        <f>IF(ISNA(MATCH(AV$16,FuelTechs!$D$9:$D$58,0)),"",CombustionEmissions!H7)</f>
        <v>3.0000000000000001E-3</v>
      </c>
      <c r="AU54">
        <f>IF(ISNA(MATCH(AW$16,FuelTechs!$D$9:$D$58,0)),"",CombustionEmissions!I7)</f>
        <v>3.0000000000000001E-3</v>
      </c>
      <c r="AV54">
        <f>IF(ISNA(MATCH(AX$16,FuelTechs!$D$9:$D$58,0)),"",CombustionEmissions!J7)</f>
        <v>3.0000000000000001E-3</v>
      </c>
    </row>
    <row r="55" spans="1:62" x14ac:dyDescent="0.25">
      <c r="A55" t="str">
        <f t="shared" si="12"/>
        <v>Transport Nitrous Oxide</v>
      </c>
      <c r="B55" t="str">
        <f t="shared" si="13"/>
        <v>TRAN2OS</v>
      </c>
      <c r="C55" t="str">
        <f>IF(ISNA(MATCH(AQ$16,FuelTechs!$D$9:$D$58,0)),"",CombustionEmissions!C8)</f>
        <v/>
      </c>
      <c r="D55" t="str">
        <f>IF(ISNA(MATCH(AR$16,FuelTechs!$D$9:$D$58,0)),"",CombustionEmissions!D8)</f>
        <v/>
      </c>
      <c r="K55" t="str">
        <f>IF(ISNA(MATCH(AY$16,FuelTechs!$D$9:$D$58,0)),"",CombustionEmissions!K8)</f>
        <v/>
      </c>
      <c r="L55" t="str">
        <f>IF(ISNA(MATCH(AZ$16,FuelTechs!$D$9:$D$58,0)),"",CombustionEmissions!L8)</f>
        <v/>
      </c>
      <c r="AQ55">
        <f>IF(ISNA(MATCH(AS$16,FuelTechs!$D$9:$D$58,0)),"",CombustionEmissions!E8)</f>
        <v>1E-4</v>
      </c>
      <c r="AR55">
        <f>IF(ISNA(MATCH(AT$16,FuelTechs!$D$9:$D$58,0)),"",CombustionEmissions!F8)</f>
        <v>5.9999999999999995E-4</v>
      </c>
      <c r="AS55">
        <f>IF(ISNA(MATCH(AU$16,FuelTechs!$D$9:$D$58,0)),"",CombustionEmissions!G8)</f>
        <v>5.9999999999999995E-4</v>
      </c>
      <c r="AT55">
        <f>IF(ISNA(MATCH(AV$16,FuelTechs!$D$9:$D$58,0)),"",CombustionEmissions!H8)</f>
        <v>5.9999999999999995E-4</v>
      </c>
      <c r="AU55">
        <f>IF(ISNA(MATCH(AW$16,FuelTechs!$D$9:$D$58,0)),"",CombustionEmissions!I8)</f>
        <v>5.9999999999999995E-4</v>
      </c>
      <c r="AV55">
        <f>IF(ISNA(MATCH(AX$16,FuelTechs!$D$9:$D$58,0)),"",CombustionEmissions!J8)</f>
        <v>5.9999999999999995E-4</v>
      </c>
    </row>
    <row r="56" spans="1:62" x14ac:dyDescent="0.25">
      <c r="A56" t="str">
        <f t="shared" si="12"/>
        <v>Transport Sulphur gases</v>
      </c>
      <c r="B56" t="str">
        <f t="shared" si="13"/>
        <v>TRASOXS</v>
      </c>
      <c r="C56" t="str">
        <f>IF(ISNA(MATCH(AQ$16,FuelTechs!$D$9:$D$58,0)),"",CombustionEmissions!C9)</f>
        <v/>
      </c>
      <c r="D56" t="str">
        <f>IF(ISNA(MATCH(AR$16,FuelTechs!$D$9:$D$58,0)),"",CombustionEmissions!D9)</f>
        <v/>
      </c>
      <c r="K56" t="str">
        <f>IF(ISNA(MATCH(AY$16,FuelTechs!$D$9:$D$58,0)),"",CombustionEmissions!K9)</f>
        <v/>
      </c>
      <c r="L56" t="str">
        <f>IF(ISNA(MATCH(AZ$16,FuelTechs!$D$9:$D$58,0)),"",CombustionEmissions!L9)</f>
        <v/>
      </c>
      <c r="AQ56">
        <f>IF(ISNA(MATCH(AS$16,FuelTechs!$D$9:$D$58,0)),"",CombustionEmissions!E9)</f>
        <v>0</v>
      </c>
      <c r="AR56">
        <f>IF(ISNA(MATCH(AT$16,FuelTechs!$D$9:$D$58,0)),"",CombustionEmissions!F9)</f>
        <v>4.6699999999999998E-2</v>
      </c>
      <c r="AS56">
        <f>IF(ISNA(MATCH(AU$16,FuelTechs!$D$9:$D$58,0)),"",CombustionEmissions!G9)</f>
        <v>0.25290000000000001</v>
      </c>
      <c r="AT56">
        <f>IF(ISNA(MATCH(AV$16,FuelTechs!$D$9:$D$58,0)),"",CombustionEmissions!H9)</f>
        <v>4.6699999999999998E-2</v>
      </c>
      <c r="AU56">
        <f>IF(ISNA(MATCH(AW$16,FuelTechs!$D$9:$D$58,0)),"",CombustionEmissions!I9)</f>
        <v>1.5290999999999999</v>
      </c>
      <c r="AV56">
        <f>IF(ISNA(MATCH(AX$16,FuelTechs!$D$9:$D$58,0)),"",CombustionEmissions!J9)</f>
        <v>4.5900000000000003E-2</v>
      </c>
    </row>
    <row r="57" spans="1:62" x14ac:dyDescent="0.25">
      <c r="A57" t="str">
        <f t="shared" si="12"/>
        <v>Transport Nitrogen gases</v>
      </c>
      <c r="B57" t="str">
        <f t="shared" si="13"/>
        <v>TRANOXS</v>
      </c>
      <c r="C57" t="str">
        <f>IF(ISNA(MATCH(AQ$16,FuelTechs!$D$9:$D$58,0)),"",CombustionEmissions!C10)</f>
        <v/>
      </c>
      <c r="D57" t="str">
        <f>IF(ISNA(MATCH(AR$16,FuelTechs!$D$9:$D$58,0)),"",CombustionEmissions!D10)</f>
        <v/>
      </c>
      <c r="K57" t="str">
        <f>IF(ISNA(MATCH(AY$16,FuelTechs!$D$9:$D$58,0)),"",CombustionEmissions!K10)</f>
        <v/>
      </c>
      <c r="L57" t="str">
        <f>IF(ISNA(MATCH(AZ$16,FuelTechs!$D$9:$D$58,0)),"",CombustionEmissions!L10)</f>
        <v/>
      </c>
      <c r="AQ57">
        <f>IF(ISNA(MATCH(AS$16,FuelTechs!$D$9:$D$58,0)),"",CombustionEmissions!E10)</f>
        <v>0.15</v>
      </c>
      <c r="AR57">
        <f>IF(ISNA(MATCH(AT$16,FuelTechs!$D$9:$D$58,0)),"",CombustionEmissions!F10)</f>
        <v>0.3</v>
      </c>
      <c r="AS57">
        <f>IF(ISNA(MATCH(AU$16,FuelTechs!$D$9:$D$58,0)),"",CombustionEmissions!G10)</f>
        <v>0.2</v>
      </c>
      <c r="AT57">
        <f>IF(ISNA(MATCH(AV$16,FuelTechs!$D$9:$D$58,0)),"",CombustionEmissions!H10)</f>
        <v>0.6</v>
      </c>
      <c r="AU57">
        <f>IF(ISNA(MATCH(AW$16,FuelTechs!$D$9:$D$58,0)),"",CombustionEmissions!I10)</f>
        <v>0.2</v>
      </c>
      <c r="AV57">
        <f>IF(ISNA(MATCH(AX$16,FuelTechs!$D$9:$D$58,0)),"",CombustionEmissions!J10)</f>
        <v>0.2</v>
      </c>
    </row>
    <row r="58" spans="1:62" x14ac:dyDescent="0.25">
      <c r="A58" t="str">
        <f t="shared" si="12"/>
        <v>Transport Carbon monoxide</v>
      </c>
      <c r="B58" t="str">
        <f t="shared" si="13"/>
        <v>TRACMOX</v>
      </c>
      <c r="C58" t="str">
        <f>IF(ISNA(MATCH(AQ$16,FuelTechs!$D$9:$D$58,0)),"",CombustionEmissions!C11)</f>
        <v/>
      </c>
      <c r="D58" t="str">
        <f>IF(ISNA(MATCH(AR$16,FuelTechs!$D$9:$D$58,0)),"",CombustionEmissions!D11)</f>
        <v/>
      </c>
      <c r="K58" t="str">
        <f>IF(ISNA(MATCH(AY$16,FuelTechs!$D$9:$D$58,0)),"",CombustionEmissions!K11)</f>
        <v/>
      </c>
      <c r="L58" t="str">
        <f>IF(ISNA(MATCH(AZ$16,FuelTechs!$D$9:$D$58,0)),"",CombustionEmissions!L11)</f>
        <v/>
      </c>
      <c r="AQ58">
        <f>IF(ISNA(MATCH(AS$16,FuelTechs!$D$9:$D$58,0)),"",CombustionEmissions!E11)</f>
        <v>0.02</v>
      </c>
      <c r="AR58">
        <f>IF(ISNA(MATCH(AT$16,FuelTechs!$D$9:$D$58,0)),"",CombustionEmissions!F11)</f>
        <v>0.1</v>
      </c>
      <c r="AS58">
        <f>IF(ISNA(MATCH(AU$16,FuelTechs!$D$9:$D$58,0)),"",CombustionEmissions!G11)</f>
        <v>1.4999999999999999E-2</v>
      </c>
      <c r="AT58">
        <f>IF(ISNA(MATCH(AV$16,FuelTechs!$D$9:$D$58,0)),"",CombustionEmissions!H11)</f>
        <v>8</v>
      </c>
      <c r="AU58">
        <f>IF(ISNA(MATCH(AW$16,FuelTechs!$D$9:$D$58,0)),"",CombustionEmissions!I11)</f>
        <v>0.01</v>
      </c>
      <c r="AV58">
        <f>IF(ISNA(MATCH(AX$16,FuelTechs!$D$9:$D$58,0)),"",CombustionEmissions!J11)</f>
        <v>0.01</v>
      </c>
    </row>
    <row r="59" spans="1:62" x14ac:dyDescent="0.25">
      <c r="A59" t="str">
        <f t="shared" si="12"/>
        <v>Transport NMVOCs</v>
      </c>
      <c r="B59" t="str">
        <f t="shared" si="13"/>
        <v>TRANMVS</v>
      </c>
      <c r="C59" t="str">
        <f>IF(ISNA(MATCH(AQ$16,FuelTechs!$D$9:$D$58,0)),"",CombustionEmissions!C12)</f>
        <v/>
      </c>
      <c r="D59" t="str">
        <f>IF(ISNA(MATCH(AR$16,FuelTechs!$D$9:$D$58,0)),"",CombustionEmissions!D12)</f>
        <v/>
      </c>
      <c r="K59" t="str">
        <f>IF(ISNA(MATCH(AY$16,FuelTechs!$D$9:$D$58,0)),"",CombustionEmissions!K12)</f>
        <v/>
      </c>
      <c r="L59" t="str">
        <f>IF(ISNA(MATCH(AZ$16,FuelTechs!$D$9:$D$58,0)),"",CombustionEmissions!L12)</f>
        <v/>
      </c>
      <c r="AQ59">
        <f>IF(ISNA(MATCH(AS$16,FuelTechs!$D$9:$D$58,0)),"",CombustionEmissions!E12)</f>
        <v>5.0000000000000001E-3</v>
      </c>
      <c r="AR59">
        <f>IF(ISNA(MATCH(AT$16,FuelTechs!$D$9:$D$58,0)),"",CombustionEmissions!F12)</f>
        <v>0.05</v>
      </c>
      <c r="AS59">
        <f>IF(ISNA(MATCH(AU$16,FuelTechs!$D$9:$D$58,0)),"",CombustionEmissions!G12)</f>
        <v>5.0000000000000001E-3</v>
      </c>
      <c r="AT59">
        <f>IF(ISNA(MATCH(AV$16,FuelTechs!$D$9:$D$58,0)),"",CombustionEmissions!H12)</f>
        <v>1.5</v>
      </c>
      <c r="AU59">
        <f>IF(ISNA(MATCH(AW$16,FuelTechs!$D$9:$D$58,0)),"",CombustionEmissions!I12)</f>
        <v>5.0000000000000001E-3</v>
      </c>
      <c r="AV59">
        <f>IF(ISNA(MATCH(AX$16,FuelTechs!$D$9:$D$58,0)),"",CombustionEmissions!J12)</f>
        <v>5.0000000000000001E-3</v>
      </c>
    </row>
    <row r="60" spans="1:62" x14ac:dyDescent="0.25">
      <c r="A60" t="str">
        <f t="shared" si="12"/>
        <v>Transport PM10</v>
      </c>
      <c r="B60" t="str">
        <f t="shared" si="13"/>
        <v>TRAP10S</v>
      </c>
      <c r="C60" t="str">
        <f>IF(ISNA(MATCH(AQ$16,FuelTechs!$D$9:$D$58,0)),"",CombustionEmissions!C13)</f>
        <v/>
      </c>
      <c r="D60" t="str">
        <f>IF(ISNA(MATCH(AR$16,FuelTechs!$D$9:$D$58,0)),"",CombustionEmissions!D13)</f>
        <v/>
      </c>
      <c r="K60" t="str">
        <f>IF(ISNA(MATCH(AY$16,FuelTechs!$D$9:$D$58,0)),"",CombustionEmissions!K13)</f>
        <v/>
      </c>
      <c r="L60" t="str">
        <f>IF(ISNA(MATCH(AZ$16,FuelTechs!$D$9:$D$58,0)),"",CombustionEmissions!L13)</f>
        <v/>
      </c>
      <c r="AQ60">
        <f>IF(ISNA(MATCH(AS$16,FuelTechs!$D$9:$D$58,0)),"",CombustionEmissions!E13)</f>
        <v>0</v>
      </c>
      <c r="AR60">
        <f>IF(ISNA(MATCH(AT$16,FuelTechs!$D$9:$D$58,0)),"",CombustionEmissions!F13)</f>
        <v>0</v>
      </c>
      <c r="AS60">
        <f>IF(ISNA(MATCH(AU$16,FuelTechs!$D$9:$D$58,0)),"",CombustionEmissions!G13)</f>
        <v>0</v>
      </c>
      <c r="AT60">
        <f>IF(ISNA(MATCH(AV$16,FuelTechs!$D$9:$D$58,0)),"",CombustionEmissions!H13)</f>
        <v>0</v>
      </c>
      <c r="AU60">
        <f>IF(ISNA(MATCH(AW$16,FuelTechs!$D$9:$D$58,0)),"",CombustionEmissions!I13)</f>
        <v>0</v>
      </c>
      <c r="AV60">
        <f>IF(ISNA(MATCH(AX$16,FuelTechs!$D$9:$D$58,0)),"",CombustionEmissions!J13)</f>
        <v>0</v>
      </c>
    </row>
    <row r="61" spans="1:62" x14ac:dyDescent="0.25">
      <c r="A61" t="s">
        <v>364</v>
      </c>
      <c r="B61" t="s">
        <v>229</v>
      </c>
    </row>
    <row r="62" spans="1:62" x14ac:dyDescent="0.25">
      <c r="A62" t="str">
        <f>B$61&amp;" "&amp;A6</f>
        <v>Power Carbon dioxide</v>
      </c>
      <c r="B62" t="str">
        <f>BA$15&amp;B6</f>
        <v>PWRCO2S</v>
      </c>
      <c r="BA62" t="str">
        <f>IF(ISNA(MATCH(BA$16,FuelTechs!$D$9:$D$58,0)),"",CombustionEmissions!C6)</f>
        <v/>
      </c>
      <c r="BB62" t="str">
        <f>IF(ISNA(MATCH(BB$16,FuelTechs!$D$9:$D$58,0)),"",CombustionEmissions!D6)</f>
        <v/>
      </c>
      <c r="BC62" t="str">
        <f>IF(ISNA(MATCH(BC$16,FuelTechs!$D$9:$D$58,0)),"",CombustionEmissions!E6)</f>
        <v/>
      </c>
      <c r="BD62" t="str">
        <f>IF(ISNA(MATCH(BD$16,FuelTechs!$D$9:$D$58,0)),"",CombustionEmissions!F6)</f>
        <v/>
      </c>
      <c r="BE62">
        <f>IF(ISNA(MATCH(BE$16,FuelTechs!$D$9:$D$58,0)),"",CombustionEmissions!G6)</f>
        <v>74.066699999999997</v>
      </c>
      <c r="BF62" t="str">
        <f>IF(ISNA(MATCH(BF$16,FuelTechs!$D$9:$D$58,0)),"",CombustionEmissions!H6)</f>
        <v/>
      </c>
      <c r="BG62">
        <f>IF(ISNA(MATCH(BG$16,FuelTechs!$D$9:$D$58,0)),"",CombustionEmissions!I6)</f>
        <v>77.400000000000006</v>
      </c>
      <c r="BH62">
        <f>IF(ISNA(MATCH(BH$16,FuelTechs!$D$9:$D$58,0)),"",CombustionEmissions!J6)</f>
        <v>72.900000000000006</v>
      </c>
      <c r="BI62" t="str">
        <f>IF(ISNA(MATCH(BI$16,FuelTechs!$D$9:$D$58,0)),"",CombustionEmissions!K6)</f>
        <v/>
      </c>
      <c r="BJ62" t="str">
        <f>IF(ISNA(MATCH(BJ$16,FuelTechs!$D$9:$D$58,0)),"",CombustionEmissions!L6)</f>
        <v/>
      </c>
    </row>
    <row r="63" spans="1:62" x14ac:dyDescent="0.25">
      <c r="A63" t="str">
        <f t="shared" ref="A63:A69" si="14">B$61&amp;" "&amp;A7</f>
        <v>Power Methane</v>
      </c>
      <c r="B63" t="str">
        <f t="shared" ref="B63:B69" si="15">BA$15&amp;B7</f>
        <v>PWRCH4S</v>
      </c>
      <c r="BA63" t="str">
        <f>IF(ISNA(MATCH(BA$16,FuelTechs!$D$9:$D$58,0)),"",CombustionEmissions!C7)</f>
        <v/>
      </c>
      <c r="BB63" t="str">
        <f>IF(ISNA(MATCH(BB$16,FuelTechs!$D$9:$D$58,0)),"",CombustionEmissions!D7)</f>
        <v/>
      </c>
      <c r="BC63" t="str">
        <f>IF(ISNA(MATCH(BC$16,FuelTechs!$D$9:$D$58,0)),"",CombustionEmissions!E7)</f>
        <v/>
      </c>
      <c r="BD63" t="str">
        <f>IF(ISNA(MATCH(BD$16,FuelTechs!$D$9:$D$58,0)),"",CombustionEmissions!F7)</f>
        <v/>
      </c>
      <c r="BE63">
        <f>IF(ISNA(MATCH(BE$16,FuelTechs!$D$9:$D$58,0)),"",CombustionEmissions!G7)</f>
        <v>3.0000000000000001E-3</v>
      </c>
      <c r="BF63" t="str">
        <f>IF(ISNA(MATCH(BF$16,FuelTechs!$D$9:$D$58,0)),"",CombustionEmissions!H7)</f>
        <v/>
      </c>
      <c r="BG63">
        <f>IF(ISNA(MATCH(BG$16,FuelTechs!$D$9:$D$58,0)),"",CombustionEmissions!I7)</f>
        <v>3.0000000000000001E-3</v>
      </c>
      <c r="BH63">
        <f>IF(ISNA(MATCH(BH$16,FuelTechs!$D$9:$D$58,0)),"",CombustionEmissions!J7)</f>
        <v>3.0000000000000001E-3</v>
      </c>
      <c r="BI63" t="str">
        <f>IF(ISNA(MATCH(BI$16,FuelTechs!$D$9:$D$58,0)),"",CombustionEmissions!K7)</f>
        <v/>
      </c>
      <c r="BJ63" t="str">
        <f>IF(ISNA(MATCH(BJ$16,FuelTechs!$D$9:$D$58,0)),"",CombustionEmissions!L7)</f>
        <v/>
      </c>
    </row>
    <row r="64" spans="1:62" x14ac:dyDescent="0.25">
      <c r="A64" t="str">
        <f t="shared" si="14"/>
        <v>Power Nitrous Oxide</v>
      </c>
      <c r="B64" t="str">
        <f t="shared" si="15"/>
        <v>PWRN2OS</v>
      </c>
      <c r="BA64" t="str">
        <f>IF(ISNA(MATCH(BA$16,FuelTechs!$D$9:$D$58,0)),"",CombustionEmissions!C8)</f>
        <v/>
      </c>
      <c r="BB64" t="str">
        <f>IF(ISNA(MATCH(BB$16,FuelTechs!$D$9:$D$58,0)),"",CombustionEmissions!D8)</f>
        <v/>
      </c>
      <c r="BC64" t="str">
        <f>IF(ISNA(MATCH(BC$16,FuelTechs!$D$9:$D$58,0)),"",CombustionEmissions!E8)</f>
        <v/>
      </c>
      <c r="BD64" t="str">
        <f>IF(ISNA(MATCH(BD$16,FuelTechs!$D$9:$D$58,0)),"",CombustionEmissions!F8)</f>
        <v/>
      </c>
      <c r="BE64">
        <f>IF(ISNA(MATCH(BE$16,FuelTechs!$D$9:$D$58,0)),"",CombustionEmissions!G8)</f>
        <v>5.9999999999999995E-4</v>
      </c>
      <c r="BF64" t="str">
        <f>IF(ISNA(MATCH(BF$16,FuelTechs!$D$9:$D$58,0)),"",CombustionEmissions!H8)</f>
        <v/>
      </c>
      <c r="BG64">
        <f>IF(ISNA(MATCH(BG$16,FuelTechs!$D$9:$D$58,0)),"",CombustionEmissions!I8)</f>
        <v>5.9999999999999995E-4</v>
      </c>
      <c r="BH64">
        <f>IF(ISNA(MATCH(BH$16,FuelTechs!$D$9:$D$58,0)),"",CombustionEmissions!J8)</f>
        <v>5.9999999999999995E-4</v>
      </c>
      <c r="BI64" t="str">
        <f>IF(ISNA(MATCH(BI$16,FuelTechs!$D$9:$D$58,0)),"",CombustionEmissions!K8)</f>
        <v/>
      </c>
      <c r="BJ64" t="str">
        <f>IF(ISNA(MATCH(BJ$16,FuelTechs!$D$9:$D$58,0)),"",CombustionEmissions!L8)</f>
        <v/>
      </c>
    </row>
    <row r="65" spans="1:62" x14ac:dyDescent="0.25">
      <c r="A65" t="str">
        <f t="shared" si="14"/>
        <v>Power Sulphur gases</v>
      </c>
      <c r="B65" t="str">
        <f t="shared" si="15"/>
        <v>PWRSOXS</v>
      </c>
      <c r="BA65" t="str">
        <f>IF(ISNA(MATCH(BA$16,FuelTechs!$D$9:$D$58,0)),"",CombustionEmissions!C9)</f>
        <v/>
      </c>
      <c r="BB65" t="str">
        <f>IF(ISNA(MATCH(BB$16,FuelTechs!$D$9:$D$58,0)),"",CombustionEmissions!D9)</f>
        <v/>
      </c>
      <c r="BC65" t="str">
        <f>IF(ISNA(MATCH(BC$16,FuelTechs!$D$9:$D$58,0)),"",CombustionEmissions!E9)</f>
        <v/>
      </c>
      <c r="BD65" t="str">
        <f>IF(ISNA(MATCH(BD$16,FuelTechs!$D$9:$D$58,0)),"",CombustionEmissions!F9)</f>
        <v/>
      </c>
      <c r="BE65">
        <f>IF(ISNA(MATCH(BE$16,FuelTechs!$D$9:$D$58,0)),"",CombustionEmissions!G9)</f>
        <v>0.25290000000000001</v>
      </c>
      <c r="BF65" t="str">
        <f>IF(ISNA(MATCH(BF$16,FuelTechs!$D$9:$D$58,0)),"",CombustionEmissions!H9)</f>
        <v/>
      </c>
      <c r="BG65">
        <f>IF(ISNA(MATCH(BG$16,FuelTechs!$D$9:$D$58,0)),"",CombustionEmissions!I9)</f>
        <v>1.5290999999999999</v>
      </c>
      <c r="BH65">
        <f>IF(ISNA(MATCH(BH$16,FuelTechs!$D$9:$D$58,0)),"",CombustionEmissions!J9)</f>
        <v>4.5900000000000003E-2</v>
      </c>
      <c r="BI65" t="str">
        <f>IF(ISNA(MATCH(BI$16,FuelTechs!$D$9:$D$58,0)),"",CombustionEmissions!K9)</f>
        <v/>
      </c>
      <c r="BJ65" t="str">
        <f>IF(ISNA(MATCH(BJ$16,FuelTechs!$D$9:$D$58,0)),"",CombustionEmissions!L9)</f>
        <v/>
      </c>
    </row>
    <row r="66" spans="1:62" x14ac:dyDescent="0.25">
      <c r="A66" t="str">
        <f t="shared" si="14"/>
        <v>Power Nitrogen gases</v>
      </c>
      <c r="B66" t="str">
        <f t="shared" si="15"/>
        <v>PWRNOXS</v>
      </c>
      <c r="BA66" t="str">
        <f>IF(ISNA(MATCH(BA$16,FuelTechs!$D$9:$D$58,0)),"",CombustionEmissions!C10)</f>
        <v/>
      </c>
      <c r="BB66" t="str">
        <f>IF(ISNA(MATCH(BB$16,FuelTechs!$D$9:$D$58,0)),"",CombustionEmissions!D10)</f>
        <v/>
      </c>
      <c r="BC66" t="str">
        <f>IF(ISNA(MATCH(BC$16,FuelTechs!$D$9:$D$58,0)),"",CombustionEmissions!E10)</f>
        <v/>
      </c>
      <c r="BD66" t="str">
        <f>IF(ISNA(MATCH(BD$16,FuelTechs!$D$9:$D$58,0)),"",CombustionEmissions!F10)</f>
        <v/>
      </c>
      <c r="BE66">
        <f>IF(ISNA(MATCH(BE$16,FuelTechs!$D$9:$D$58,0)),"",CombustionEmissions!G10)</f>
        <v>0.2</v>
      </c>
      <c r="BF66" t="str">
        <f>IF(ISNA(MATCH(BF$16,FuelTechs!$D$9:$D$58,0)),"",CombustionEmissions!H10)</f>
        <v/>
      </c>
      <c r="BG66">
        <f>IF(ISNA(MATCH(BG$16,FuelTechs!$D$9:$D$58,0)),"",CombustionEmissions!I10)</f>
        <v>0.2</v>
      </c>
      <c r="BH66">
        <f>IF(ISNA(MATCH(BH$16,FuelTechs!$D$9:$D$58,0)),"",CombustionEmissions!J10)</f>
        <v>0.2</v>
      </c>
      <c r="BI66" t="str">
        <f>IF(ISNA(MATCH(BI$16,FuelTechs!$D$9:$D$58,0)),"",CombustionEmissions!K10)</f>
        <v/>
      </c>
      <c r="BJ66" t="str">
        <f>IF(ISNA(MATCH(BJ$16,FuelTechs!$D$9:$D$58,0)),"",CombustionEmissions!L10)</f>
        <v/>
      </c>
    </row>
    <row r="67" spans="1:62" x14ac:dyDescent="0.25">
      <c r="A67" t="str">
        <f t="shared" si="14"/>
        <v>Power Carbon monoxide</v>
      </c>
      <c r="B67" t="str">
        <f t="shared" si="15"/>
        <v>PWRCMOX</v>
      </c>
      <c r="BA67" t="str">
        <f>IF(ISNA(MATCH(BA$16,FuelTechs!$D$9:$D$58,0)),"",CombustionEmissions!C11)</f>
        <v/>
      </c>
      <c r="BB67" t="str">
        <f>IF(ISNA(MATCH(BB$16,FuelTechs!$D$9:$D$58,0)),"",CombustionEmissions!D11)</f>
        <v/>
      </c>
      <c r="BC67" t="str">
        <f>IF(ISNA(MATCH(BC$16,FuelTechs!$D$9:$D$58,0)),"",CombustionEmissions!E11)</f>
        <v/>
      </c>
      <c r="BD67" t="str">
        <f>IF(ISNA(MATCH(BD$16,FuelTechs!$D$9:$D$58,0)),"",CombustionEmissions!F11)</f>
        <v/>
      </c>
      <c r="BE67">
        <f>IF(ISNA(MATCH(BE$16,FuelTechs!$D$9:$D$58,0)),"",CombustionEmissions!G11)</f>
        <v>1.4999999999999999E-2</v>
      </c>
      <c r="BF67" t="str">
        <f>IF(ISNA(MATCH(BF$16,FuelTechs!$D$9:$D$58,0)),"",CombustionEmissions!H11)</f>
        <v/>
      </c>
      <c r="BG67">
        <f>IF(ISNA(MATCH(BG$16,FuelTechs!$D$9:$D$58,0)),"",CombustionEmissions!I11)</f>
        <v>0.01</v>
      </c>
      <c r="BH67">
        <f>IF(ISNA(MATCH(BH$16,FuelTechs!$D$9:$D$58,0)),"",CombustionEmissions!J11)</f>
        <v>0.01</v>
      </c>
      <c r="BI67" t="str">
        <f>IF(ISNA(MATCH(BI$16,FuelTechs!$D$9:$D$58,0)),"",CombustionEmissions!K11)</f>
        <v/>
      </c>
      <c r="BJ67" t="str">
        <f>IF(ISNA(MATCH(BJ$16,FuelTechs!$D$9:$D$58,0)),"",CombustionEmissions!L11)</f>
        <v/>
      </c>
    </row>
    <row r="68" spans="1:62" x14ac:dyDescent="0.25">
      <c r="A68" t="str">
        <f t="shared" si="14"/>
        <v>Power NMVOCs</v>
      </c>
      <c r="B68" t="str">
        <f t="shared" si="15"/>
        <v>PWRNMVS</v>
      </c>
      <c r="BA68" t="str">
        <f>IF(ISNA(MATCH(BA$16,FuelTechs!$D$9:$D$58,0)),"",CombustionEmissions!C12)</f>
        <v/>
      </c>
      <c r="BB68" t="str">
        <f>IF(ISNA(MATCH(BB$16,FuelTechs!$D$9:$D$58,0)),"",CombustionEmissions!D12)</f>
        <v/>
      </c>
      <c r="BC68" t="str">
        <f>IF(ISNA(MATCH(BC$16,FuelTechs!$D$9:$D$58,0)),"",CombustionEmissions!E12)</f>
        <v/>
      </c>
      <c r="BD68" t="str">
        <f>IF(ISNA(MATCH(BD$16,FuelTechs!$D$9:$D$58,0)),"",CombustionEmissions!F12)</f>
        <v/>
      </c>
      <c r="BE68">
        <f>IF(ISNA(MATCH(BE$16,FuelTechs!$D$9:$D$58,0)),"",CombustionEmissions!G12)</f>
        <v>5.0000000000000001E-3</v>
      </c>
      <c r="BF68" t="str">
        <f>IF(ISNA(MATCH(BF$16,FuelTechs!$D$9:$D$58,0)),"",CombustionEmissions!H12)</f>
        <v/>
      </c>
      <c r="BG68">
        <f>IF(ISNA(MATCH(BG$16,FuelTechs!$D$9:$D$58,0)),"",CombustionEmissions!I12)</f>
        <v>5.0000000000000001E-3</v>
      </c>
      <c r="BH68">
        <f>IF(ISNA(MATCH(BH$16,FuelTechs!$D$9:$D$58,0)),"",CombustionEmissions!J12)</f>
        <v>5.0000000000000001E-3</v>
      </c>
      <c r="BI68" t="str">
        <f>IF(ISNA(MATCH(BI$16,FuelTechs!$D$9:$D$58,0)),"",CombustionEmissions!K12)</f>
        <v/>
      </c>
      <c r="BJ68" t="str">
        <f>IF(ISNA(MATCH(BJ$16,FuelTechs!$D$9:$D$58,0)),"",CombustionEmissions!L12)</f>
        <v/>
      </c>
    </row>
    <row r="69" spans="1:62" x14ac:dyDescent="0.25">
      <c r="A69" t="str">
        <f t="shared" si="14"/>
        <v>Power PM10</v>
      </c>
      <c r="B69" t="str">
        <f t="shared" si="15"/>
        <v>PWRP10S</v>
      </c>
      <c r="BA69" t="str">
        <f>IF(ISNA(MATCH(BA$16,FuelTechs!$D$9:$D$58,0)),"",CombustionEmissions!C13)</f>
        <v/>
      </c>
      <c r="BB69" t="str">
        <f>IF(ISNA(MATCH(BB$16,FuelTechs!$D$9:$D$58,0)),"",CombustionEmissions!D13)</f>
        <v/>
      </c>
      <c r="BC69" t="str">
        <f>IF(ISNA(MATCH(BC$16,FuelTechs!$D$9:$D$58,0)),"",CombustionEmissions!E13)</f>
        <v/>
      </c>
      <c r="BD69" t="str">
        <f>IF(ISNA(MATCH(BD$16,FuelTechs!$D$9:$D$58,0)),"",CombustionEmissions!F13)</f>
        <v/>
      </c>
      <c r="BE69">
        <f>IF(ISNA(MATCH(BE$16,FuelTechs!$D$9:$D$58,0)),"",CombustionEmissions!G13)</f>
        <v>0</v>
      </c>
      <c r="BF69" t="str">
        <f>IF(ISNA(MATCH(BF$16,FuelTechs!$D$9:$D$58,0)),"",CombustionEmissions!H13)</f>
        <v/>
      </c>
      <c r="BG69">
        <f>IF(ISNA(MATCH(BG$16,FuelTechs!$D$9:$D$58,0)),"",CombustionEmissions!I13)</f>
        <v>0</v>
      </c>
      <c r="BH69">
        <f>IF(ISNA(MATCH(BH$16,FuelTechs!$D$9:$D$58,0)),"",CombustionEmissions!J13)</f>
        <v>0</v>
      </c>
      <c r="BI69" t="str">
        <f>IF(ISNA(MATCH(BI$16,FuelTechs!$D$9:$D$58,0)),"",CombustionEmissions!K13)</f>
        <v/>
      </c>
      <c r="BJ69" t="str">
        <f>IF(ISNA(MATCH(BJ$16,FuelTechs!$D$9:$D$58,0)),"",CombustionEmissions!L13)</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81" t="s">
        <v>1182</v>
      </c>
      <c r="C2" s="181"/>
      <c r="D2" s="181"/>
      <c r="E2" s="181"/>
    </row>
    <row r="3" spans="1:31" ht="15.75" thickTop="1" x14ac:dyDescent="0.25"/>
    <row r="6" spans="1:31" ht="15" customHeight="1" x14ac:dyDescent="0.25">
      <c r="A6" t="s">
        <v>379</v>
      </c>
      <c r="U6" s="187" t="s">
        <v>380</v>
      </c>
      <c r="V6" s="188">
        <v>15.3</v>
      </c>
      <c r="W6" s="189" t="s">
        <v>381</v>
      </c>
      <c r="AC6" s="482" t="s">
        <v>382</v>
      </c>
      <c r="AD6" s="482"/>
      <c r="AE6" s="482"/>
    </row>
    <row r="7" spans="1:31" ht="15.75" customHeight="1" x14ac:dyDescent="0.25">
      <c r="A7" s="483" t="s">
        <v>383</v>
      </c>
      <c r="B7" s="485" t="s">
        <v>384</v>
      </c>
      <c r="C7" s="487" t="s">
        <v>385</v>
      </c>
      <c r="D7" s="488"/>
      <c r="E7" s="489"/>
      <c r="F7" s="492" t="s">
        <v>386</v>
      </c>
      <c r="G7" s="190"/>
      <c r="H7" s="190"/>
      <c r="I7" s="190"/>
      <c r="J7" s="190"/>
      <c r="U7" s="187" t="s">
        <v>387</v>
      </c>
      <c r="V7" s="188">
        <v>18.235131074122162</v>
      </c>
      <c r="W7" s="189" t="s">
        <v>388</v>
      </c>
      <c r="AC7" s="191" t="s">
        <v>389</v>
      </c>
      <c r="AD7" s="192">
        <f>AD8*AD9/10^3</f>
        <v>5.4839199999999998E-2</v>
      </c>
      <c r="AE7" s="193" t="s">
        <v>241</v>
      </c>
    </row>
    <row r="8" spans="1:31" x14ac:dyDescent="0.25">
      <c r="A8" s="484"/>
      <c r="B8" s="486"/>
      <c r="C8" s="490"/>
      <c r="D8" s="491"/>
      <c r="E8" s="491"/>
      <c r="F8" s="493"/>
      <c r="G8" s="190"/>
      <c r="H8" s="190"/>
      <c r="I8" s="190"/>
      <c r="J8" s="190"/>
      <c r="V8" t="s">
        <v>390</v>
      </c>
      <c r="W8" t="s">
        <v>390</v>
      </c>
      <c r="X8" t="s">
        <v>390</v>
      </c>
      <c r="Y8" t="s">
        <v>391</v>
      </c>
      <c r="Z8" t="s">
        <v>391</v>
      </c>
      <c r="AA8" t="s">
        <v>391</v>
      </c>
      <c r="AC8" s="194" t="s">
        <v>392</v>
      </c>
      <c r="AD8" s="192">
        <v>52</v>
      </c>
      <c r="AE8" s="193" t="s">
        <v>393</v>
      </c>
    </row>
    <row r="9" spans="1:31" x14ac:dyDescent="0.25">
      <c r="A9" s="195"/>
      <c r="B9" s="196"/>
      <c r="C9" s="197" t="s">
        <v>394</v>
      </c>
      <c r="D9" s="198" t="s">
        <v>395</v>
      </c>
      <c r="E9" s="198" t="s">
        <v>396</v>
      </c>
      <c r="F9" s="199"/>
      <c r="G9" t="s">
        <v>397</v>
      </c>
      <c r="H9" s="200" t="s">
        <v>398</v>
      </c>
      <c r="I9" s="190"/>
      <c r="J9" s="190"/>
      <c r="O9" t="s">
        <v>399</v>
      </c>
      <c r="R9" s="201" t="s">
        <v>400</v>
      </c>
      <c r="S9" t="s">
        <v>401</v>
      </c>
      <c r="T9" t="s">
        <v>402</v>
      </c>
      <c r="U9" t="s">
        <v>403</v>
      </c>
      <c r="V9" s="202">
        <v>7.0000000000000001E-3</v>
      </c>
      <c r="W9" s="202">
        <v>0.02</v>
      </c>
      <c r="X9" s="203">
        <v>0.05</v>
      </c>
      <c r="Y9" s="204">
        <v>0.02</v>
      </c>
      <c r="Z9" s="204">
        <v>0.04</v>
      </c>
      <c r="AA9" s="204">
        <v>0.05</v>
      </c>
      <c r="AC9" s="194" t="s">
        <v>404</v>
      </c>
      <c r="AD9" s="192">
        <v>1.0546</v>
      </c>
      <c r="AE9" s="193" t="s">
        <v>241</v>
      </c>
    </row>
    <row r="10" spans="1:31" x14ac:dyDescent="0.25">
      <c r="A10" s="205" t="s">
        <v>405</v>
      </c>
      <c r="B10" s="10" t="s">
        <v>406</v>
      </c>
      <c r="C10" s="206">
        <v>7</v>
      </c>
      <c r="D10" s="207">
        <v>9</v>
      </c>
      <c r="E10" s="207">
        <f>(C10+D10)/2</f>
        <v>8</v>
      </c>
      <c r="F10" s="208"/>
      <c r="G10" t="s">
        <v>407</v>
      </c>
      <c r="H10" s="200" t="s">
        <v>398</v>
      </c>
      <c r="I10" s="62"/>
      <c r="J10" s="62"/>
      <c r="O10" s="5" t="s">
        <v>408</v>
      </c>
      <c r="Q10" s="10" t="s">
        <v>319</v>
      </c>
      <c r="R10" s="15" t="s">
        <v>409</v>
      </c>
      <c r="S10" s="209">
        <v>1</v>
      </c>
      <c r="T10" s="210">
        <v>0</v>
      </c>
      <c r="U10" s="211">
        <v>0</v>
      </c>
      <c r="V10" s="212">
        <f>$V$7*V$9*$S$10+0.001*$V$7</f>
        <v>0.14588104859297729</v>
      </c>
      <c r="W10" s="212">
        <f>$V$7*W$9*$S$10+0.001*$V$7</f>
        <v>0.38293775255656542</v>
      </c>
      <c r="X10" s="212">
        <f>$V$7*X$9*$S$10+0.001*$V$7</f>
        <v>0.9299916847802302</v>
      </c>
      <c r="Y10" s="213">
        <f>(1-$S$10)*$V$6*Y$9</f>
        <v>0</v>
      </c>
      <c r="Z10" s="213">
        <f>(1-$S$10)*$V$6*Z$9</f>
        <v>0</v>
      </c>
      <c r="AA10" s="213">
        <f>(1-$S$10)*$V$6*AA$9</f>
        <v>0</v>
      </c>
      <c r="AC10" s="194" t="s">
        <v>392</v>
      </c>
      <c r="AD10" s="192">
        <v>5.7272999999999996</v>
      </c>
      <c r="AE10" s="193" t="s">
        <v>410</v>
      </c>
    </row>
    <row r="11" spans="1:31" x14ac:dyDescent="0.25">
      <c r="A11" s="82" t="s">
        <v>411</v>
      </c>
      <c r="B11" s="10" t="s">
        <v>406</v>
      </c>
      <c r="C11" s="67">
        <v>4.8</v>
      </c>
      <c r="D11" s="62">
        <v>13.9</v>
      </c>
      <c r="E11" s="62">
        <f>(C11+D11)/2</f>
        <v>9.35</v>
      </c>
      <c r="F11" s="214">
        <v>65.3</v>
      </c>
      <c r="G11" t="s">
        <v>412</v>
      </c>
      <c r="H11" s="200" t="s">
        <v>398</v>
      </c>
      <c r="I11" s="62"/>
      <c r="J11" s="62"/>
      <c r="O11" s="215">
        <f>Index!C5</f>
        <v>0</v>
      </c>
      <c r="Q11" s="16" t="s">
        <v>319</v>
      </c>
      <c r="R11" s="11" t="s">
        <v>413</v>
      </c>
      <c r="S11" s="216">
        <v>0.5</v>
      </c>
      <c r="T11" s="217">
        <v>0.5</v>
      </c>
      <c r="U11" s="218">
        <v>0</v>
      </c>
      <c r="V11" s="212">
        <f>$V$7*V$9*$S$11+0.001*$V$7</f>
        <v>8.205808983354973E-2</v>
      </c>
      <c r="W11" s="212">
        <f>$V$7*W$9*$S$11+0.001*$V$7</f>
        <v>0.2005864418153438</v>
      </c>
      <c r="X11" s="212">
        <f>$V$7*X$9*$S$11+0.001*$V$7</f>
        <v>0.47411340792717621</v>
      </c>
      <c r="Y11" s="213">
        <f>($T$11)*$V$6*Y$9</f>
        <v>0.153</v>
      </c>
      <c r="Z11" s="213">
        <f>($T$11)*$V$6*Z$9</f>
        <v>0.30599999999999999</v>
      </c>
      <c r="AA11" s="213">
        <f>($T$11)*$V$6*AA$9</f>
        <v>0.38250000000000006</v>
      </c>
      <c r="AC11" s="194" t="s">
        <v>414</v>
      </c>
      <c r="AD11" s="192">
        <v>11</v>
      </c>
      <c r="AE11" s="193" t="s">
        <v>241</v>
      </c>
    </row>
    <row r="12" spans="1:31" x14ac:dyDescent="0.25">
      <c r="A12" s="82" t="s">
        <v>415</v>
      </c>
      <c r="B12" s="10" t="s">
        <v>406</v>
      </c>
      <c r="C12" s="67">
        <v>9.4</v>
      </c>
      <c r="D12" s="62">
        <v>9.4</v>
      </c>
      <c r="E12" s="62">
        <f>(C12+D12)/2</f>
        <v>9.4</v>
      </c>
      <c r="F12" s="214"/>
      <c r="G12" t="s">
        <v>416</v>
      </c>
      <c r="H12" s="200" t="s">
        <v>398</v>
      </c>
      <c r="I12" s="62"/>
      <c r="J12" s="62"/>
      <c r="N12" t="s">
        <v>417</v>
      </c>
      <c r="O12" s="1">
        <f>IF($O$11=1,(1-V19),IF($O$11=2,(1-W19),1))</f>
        <v>1</v>
      </c>
      <c r="Q12" s="16" t="s">
        <v>319</v>
      </c>
      <c r="R12" s="11" t="s">
        <v>418</v>
      </c>
      <c r="S12" s="219">
        <v>0</v>
      </c>
      <c r="T12" s="220">
        <v>0.1</v>
      </c>
      <c r="U12" s="221">
        <v>0.9</v>
      </c>
      <c r="V12" s="212">
        <f>$V$7*V$9*$S$12+0.001*$V$7</f>
        <v>1.8235131074122161E-2</v>
      </c>
      <c r="W12" s="212">
        <f>$V$7*W$9*$S$12+0.001*$V$7</f>
        <v>1.8235131074122161E-2</v>
      </c>
      <c r="X12" s="212">
        <f>$V$7*X$9*$S$12+0.001*$V$7</f>
        <v>1.8235131074122161E-2</v>
      </c>
      <c r="Y12" s="213">
        <f>($T$12)*$V$6*Y$9</f>
        <v>3.0600000000000006E-2</v>
      </c>
      <c r="Z12" s="213">
        <f>($T$12)*$V$6*Z$9</f>
        <v>6.1200000000000011E-2</v>
      </c>
      <c r="AA12" s="213">
        <f>($T$12)*$V$6*AA$9</f>
        <v>7.6500000000000012E-2</v>
      </c>
      <c r="AC12" s="194" t="s">
        <v>419</v>
      </c>
      <c r="AD12" s="192">
        <v>37</v>
      </c>
      <c r="AE12" s="193" t="s">
        <v>420</v>
      </c>
    </row>
    <row r="13" spans="1:31" x14ac:dyDescent="0.25">
      <c r="A13" s="82" t="s">
        <v>421</v>
      </c>
      <c r="B13" s="10" t="s">
        <v>406</v>
      </c>
      <c r="C13" s="67">
        <v>13</v>
      </c>
      <c r="D13" s="62">
        <v>15</v>
      </c>
      <c r="E13" s="62">
        <f>(C13+D13)/2</f>
        <v>14</v>
      </c>
      <c r="F13" s="214">
        <v>71.7</v>
      </c>
      <c r="G13" t="s">
        <v>422</v>
      </c>
      <c r="H13" s="200" t="s">
        <v>398</v>
      </c>
      <c r="I13" s="62"/>
      <c r="J13" s="62"/>
      <c r="N13" t="s">
        <v>423</v>
      </c>
      <c r="O13" s="1">
        <f>IF($O$11=1,(0.96-V19),IF($O$11=2,(0.96-W19),0.96))</f>
        <v>0.96</v>
      </c>
      <c r="Q13" s="222" t="s">
        <v>319</v>
      </c>
      <c r="R13" s="14" t="s">
        <v>424</v>
      </c>
      <c r="S13" s="216">
        <v>0</v>
      </c>
      <c r="T13" s="217">
        <v>0</v>
      </c>
      <c r="U13" s="218">
        <v>1</v>
      </c>
      <c r="V13" s="212">
        <f>$V$7*V$9*$S$13+0.001*$V$7</f>
        <v>1.8235131074122161E-2</v>
      </c>
      <c r="W13" s="212">
        <f>$V$7*W$9*$S$13+0.001*$V$7</f>
        <v>1.8235131074122161E-2</v>
      </c>
      <c r="X13" s="212">
        <f>$V$7*X$9*$S$13+0.001*$V$7</f>
        <v>1.8235131074122161E-2</v>
      </c>
      <c r="Y13" s="213">
        <f>($T$13)*$V$6*Y$9</f>
        <v>0</v>
      </c>
      <c r="Z13" s="213">
        <f>($T$13)*$V$6*Z$9</f>
        <v>0</v>
      </c>
      <c r="AA13" s="213">
        <f>($T$13)*$V$6*AA$9</f>
        <v>0</v>
      </c>
      <c r="AC13" s="194" t="s">
        <v>425</v>
      </c>
      <c r="AD13" s="223">
        <f>AD10/AD8/AD9</f>
        <v>0.10443806620081986</v>
      </c>
      <c r="AE13" s="193" t="s">
        <v>426</v>
      </c>
    </row>
    <row r="14" spans="1:31" ht="15" customHeight="1" x14ac:dyDescent="0.25">
      <c r="A14" s="82" t="s">
        <v>427</v>
      </c>
      <c r="B14" s="10" t="s">
        <v>406</v>
      </c>
      <c r="C14" s="67">
        <v>41.7</v>
      </c>
      <c r="D14" s="62">
        <v>41.7</v>
      </c>
      <c r="E14" s="62">
        <f>(C14+D14)/2</f>
        <v>41.7</v>
      </c>
      <c r="F14" s="214">
        <v>99.6</v>
      </c>
      <c r="G14" t="s">
        <v>428</v>
      </c>
      <c r="H14" s="200" t="s">
        <v>398</v>
      </c>
      <c r="I14" s="62"/>
      <c r="J14" s="62"/>
      <c r="V14" s="202">
        <v>2E-3</v>
      </c>
      <c r="W14" s="202">
        <v>7.0000000000000001E-3</v>
      </c>
      <c r="X14" s="203">
        <v>0.02</v>
      </c>
      <c r="Y14" s="204">
        <v>5.0000000000000001E-3</v>
      </c>
      <c r="Z14" s="204">
        <v>0.01</v>
      </c>
      <c r="AA14" s="204">
        <v>0.02</v>
      </c>
      <c r="AC14" s="194" t="s">
        <v>429</v>
      </c>
      <c r="AD14" s="192">
        <v>21</v>
      </c>
      <c r="AE14" s="193" t="s">
        <v>430</v>
      </c>
    </row>
    <row r="15" spans="1:31" x14ac:dyDescent="0.25">
      <c r="A15" s="82" t="s">
        <v>431</v>
      </c>
      <c r="B15" s="10" t="s">
        <v>406</v>
      </c>
      <c r="C15" s="67"/>
      <c r="D15" s="62"/>
      <c r="F15" s="214">
        <v>72</v>
      </c>
      <c r="G15" t="s">
        <v>432</v>
      </c>
      <c r="H15" s="200" t="s">
        <v>398</v>
      </c>
      <c r="I15" s="62"/>
      <c r="J15" s="62"/>
      <c r="Q15" s="10" t="s">
        <v>433</v>
      </c>
      <c r="R15" s="10" t="s">
        <v>409</v>
      </c>
      <c r="S15" s="219">
        <v>1</v>
      </c>
      <c r="T15" s="220">
        <v>0</v>
      </c>
      <c r="U15" s="221">
        <v>0</v>
      </c>
      <c r="V15" s="212">
        <f>$V$7*V$14*$S$15+0.001*$V$7</f>
        <v>5.4705393222366484E-2</v>
      </c>
      <c r="W15" s="212">
        <f>$V$7*W$14*$S$15+0.001*$V$7</f>
        <v>0.14588104859297729</v>
      </c>
      <c r="X15" s="212">
        <f>$V$7*X$14*$S$15+0.001*$V$7</f>
        <v>0.38293775255656542</v>
      </c>
      <c r="Y15">
        <v>0</v>
      </c>
      <c r="Z15">
        <v>0</v>
      </c>
      <c r="AA15">
        <v>0</v>
      </c>
      <c r="AC15" s="194" t="s">
        <v>434</v>
      </c>
      <c r="AD15" s="192"/>
      <c r="AE15" s="193" t="s">
        <v>435</v>
      </c>
    </row>
    <row r="16" spans="1:31" x14ac:dyDescent="0.25">
      <c r="A16" s="82" t="s">
        <v>436</v>
      </c>
      <c r="B16" s="10" t="s">
        <v>406</v>
      </c>
      <c r="C16" s="67"/>
      <c r="D16" s="62"/>
      <c r="F16" s="214">
        <v>66</v>
      </c>
      <c r="G16" t="s">
        <v>437</v>
      </c>
      <c r="H16" s="200" t="s">
        <v>398</v>
      </c>
      <c r="I16" s="62"/>
      <c r="J16" s="62"/>
      <c r="Q16" s="16"/>
      <c r="R16" s="16" t="s">
        <v>413</v>
      </c>
      <c r="S16" s="219">
        <v>0.5</v>
      </c>
      <c r="T16" s="220">
        <v>0.5</v>
      </c>
      <c r="U16" s="221">
        <v>0</v>
      </c>
      <c r="V16" s="212">
        <f>$V$7*V$14*$S$16+0.001*$V$7</f>
        <v>3.6470262148244323E-2</v>
      </c>
      <c r="W16" s="212">
        <f>$V$7*W$14*$S$16+0.001*$V$7</f>
        <v>8.205808983354973E-2</v>
      </c>
      <c r="X16" s="212">
        <f>$V$7*X$14*$S$16+0.001*$V$7</f>
        <v>0.2005864418153438</v>
      </c>
      <c r="Y16" s="213">
        <f>($T$16)*$V$6*Y$14</f>
        <v>3.8249999999999999E-2</v>
      </c>
      <c r="Z16" s="213">
        <f>($T$16)*$V$6*Z$14</f>
        <v>7.6499999999999999E-2</v>
      </c>
      <c r="AA16" s="213">
        <f>($T$16)*$V$6*AA$14</f>
        <v>0.153</v>
      </c>
      <c r="AC16" s="194" t="s">
        <v>438</v>
      </c>
      <c r="AD16" s="192">
        <v>20</v>
      </c>
      <c r="AE16" s="193" t="s">
        <v>439</v>
      </c>
    </row>
    <row r="17" spans="1:31" x14ac:dyDescent="0.25">
      <c r="A17" s="224" t="s">
        <v>440</v>
      </c>
      <c r="B17" s="8" t="s">
        <v>406</v>
      </c>
      <c r="C17" s="225"/>
      <c r="D17" s="226"/>
      <c r="E17" s="13"/>
      <c r="F17" s="227">
        <v>61</v>
      </c>
      <c r="G17" t="s">
        <v>441</v>
      </c>
      <c r="H17" s="200" t="s">
        <v>398</v>
      </c>
      <c r="I17" s="62"/>
      <c r="J17" s="62"/>
      <c r="Q17" s="16"/>
      <c r="R17" s="16" t="s">
        <v>418</v>
      </c>
      <c r="S17" s="219">
        <v>0</v>
      </c>
      <c r="T17" s="220">
        <v>0.1</v>
      </c>
      <c r="U17" s="221">
        <v>0.9</v>
      </c>
      <c r="V17" s="212">
        <f>$V$7*V$14*$S$17+0.001*$V$7</f>
        <v>1.8235131074122161E-2</v>
      </c>
      <c r="W17" s="212">
        <f>$V$7*W$14*$S$17+0.001*$V$7</f>
        <v>1.8235131074122161E-2</v>
      </c>
      <c r="X17" s="212">
        <f>$V$7*X$14*$S$17+0.001*$V$7</f>
        <v>1.8235131074122161E-2</v>
      </c>
      <c r="Y17" s="213">
        <f>($T$17)*$V$6*Y$14</f>
        <v>7.6500000000000014E-3</v>
      </c>
      <c r="Z17" s="213">
        <f>($T$17)*$V$6*Z$14</f>
        <v>1.5300000000000003E-2</v>
      </c>
      <c r="AA17" s="213">
        <f>($T$17)*$V$6*AA$14</f>
        <v>3.0600000000000006E-2</v>
      </c>
      <c r="AC17" s="194" t="s">
        <v>442</v>
      </c>
      <c r="AD17" s="192">
        <f>AD16*1055*10^-3</f>
        <v>21.1</v>
      </c>
      <c r="AE17" s="193" t="s">
        <v>241</v>
      </c>
    </row>
    <row r="18" spans="1:31" x14ac:dyDescent="0.25">
      <c r="C18" s="62"/>
      <c r="D18" s="62"/>
      <c r="F18" s="62"/>
      <c r="H18" s="200"/>
      <c r="I18" s="62"/>
      <c r="J18" s="62"/>
      <c r="Q18" s="222"/>
      <c r="R18" s="222" t="s">
        <v>424</v>
      </c>
      <c r="S18" s="228">
        <v>0</v>
      </c>
      <c r="T18" s="229">
        <v>0</v>
      </c>
      <c r="U18" s="230">
        <v>1</v>
      </c>
      <c r="V18" s="212">
        <f>$V$7*V$14*$S$18+0.001*$V$7</f>
        <v>1.8235131074122161E-2</v>
      </c>
      <c r="W18" s="212">
        <f>$V$7*W$14*$S$18+0.001*$V$7</f>
        <v>1.8235131074122161E-2</v>
      </c>
      <c r="X18" s="212">
        <f>$V$7*X$14*$S$18+0.001*$V$7</f>
        <v>1.8235131074122161E-2</v>
      </c>
      <c r="Y18">
        <v>0</v>
      </c>
      <c r="Z18">
        <v>0</v>
      </c>
      <c r="AA18">
        <v>0</v>
      </c>
      <c r="AC18" s="194" t="s">
        <v>443</v>
      </c>
      <c r="AD18" s="192">
        <f>1/(AD8*AD17)</f>
        <v>9.1141086401749902E-4</v>
      </c>
      <c r="AE18" s="193" t="s">
        <v>444</v>
      </c>
    </row>
    <row r="19" spans="1:31" x14ac:dyDescent="0.25">
      <c r="C19" s="62"/>
      <c r="D19" s="62"/>
      <c r="F19" s="62"/>
      <c r="H19" s="200"/>
      <c r="I19" s="62"/>
      <c r="J19" s="62"/>
      <c r="V19" s="202">
        <v>1E-3</v>
      </c>
      <c r="W19" s="202">
        <v>3.0000000000000001E-3</v>
      </c>
      <c r="X19" s="202">
        <v>5.0000000000000001E-3</v>
      </c>
      <c r="AC19" s="194" t="s">
        <v>419</v>
      </c>
      <c r="AD19" s="192">
        <v>0.66200000000000003</v>
      </c>
      <c r="AE19" s="193" t="s">
        <v>445</v>
      </c>
    </row>
    <row r="20" spans="1:31" x14ac:dyDescent="0.25">
      <c r="C20" s="62"/>
      <c r="D20" s="62"/>
      <c r="F20" s="62"/>
      <c r="H20" s="200"/>
      <c r="I20" s="62"/>
      <c r="J20" s="62"/>
      <c r="Q20" t="s">
        <v>446</v>
      </c>
      <c r="V20">
        <f>R47</f>
        <v>6.9986433062480854E-2</v>
      </c>
      <c r="W20">
        <f>R48</f>
        <v>9.9454404878262279E-2</v>
      </c>
      <c r="X20">
        <f>W20</f>
        <v>9.9454404878262279E-2</v>
      </c>
      <c r="AC20" s="194" t="s">
        <v>447</v>
      </c>
      <c r="AD20" s="192">
        <v>31.536000000000001</v>
      </c>
      <c r="AE20" s="193" t="s">
        <v>448</v>
      </c>
    </row>
    <row r="21" spans="1:31" x14ac:dyDescent="0.25">
      <c r="C21" s="62"/>
      <c r="D21" s="62"/>
      <c r="F21" s="62"/>
      <c r="H21" s="200"/>
      <c r="I21" s="62"/>
      <c r="J21" s="62"/>
      <c r="Q21" t="s">
        <v>417</v>
      </c>
      <c r="V21">
        <f>V20</f>
        <v>6.9986433062480854E-2</v>
      </c>
      <c r="W21">
        <f>W20</f>
        <v>9.9454404878262279E-2</v>
      </c>
      <c r="X21">
        <f>W21</f>
        <v>9.9454404878262279E-2</v>
      </c>
      <c r="AC21" s="194" t="s">
        <v>449</v>
      </c>
      <c r="AD21" s="192">
        <f>AD11/'[9]MSW Source'!E62</f>
        <v>66.094195755779722</v>
      </c>
      <c r="AE21" s="193" t="s">
        <v>450</v>
      </c>
    </row>
    <row r="22" spans="1:31" x14ac:dyDescent="0.25">
      <c r="C22" s="62"/>
      <c r="D22" s="62"/>
      <c r="F22" s="62"/>
      <c r="H22" s="200"/>
      <c r="I22" s="62"/>
      <c r="J22" s="62"/>
      <c r="AC22" s="194" t="s">
        <v>451</v>
      </c>
      <c r="AD22" s="192">
        <v>5.8</v>
      </c>
      <c r="AE22" s="193" t="s">
        <v>241</v>
      </c>
    </row>
    <row r="23" spans="1:31" x14ac:dyDescent="0.25">
      <c r="C23" s="62"/>
      <c r="D23" s="62"/>
      <c r="F23" s="62"/>
      <c r="H23" s="200"/>
      <c r="I23" s="62"/>
      <c r="J23" s="62"/>
      <c r="AC23" s="194"/>
      <c r="AD23" s="192"/>
      <c r="AE23" s="193"/>
    </row>
    <row r="24" spans="1:31" x14ac:dyDescent="0.25">
      <c r="C24" s="62"/>
      <c r="D24" s="62"/>
      <c r="F24" s="62"/>
      <c r="H24" s="200"/>
      <c r="I24" s="62"/>
      <c r="J24" s="62"/>
    </row>
    <row r="25" spans="1:31" x14ac:dyDescent="0.25">
      <c r="C25" s="62"/>
      <c r="D25" s="62"/>
      <c r="F25" s="62"/>
      <c r="H25" s="200"/>
      <c r="I25" s="62"/>
      <c r="J25" s="62"/>
      <c r="V25" s="231"/>
      <c r="AC25" s="481" t="s">
        <v>452</v>
      </c>
      <c r="AD25" s="481"/>
      <c r="AE25" s="481"/>
    </row>
    <row r="26" spans="1:31" x14ac:dyDescent="0.25">
      <c r="C26" s="62"/>
      <c r="D26" s="62"/>
      <c r="F26" s="62"/>
      <c r="H26" s="200"/>
      <c r="I26" s="62"/>
      <c r="J26" s="62"/>
      <c r="AC26" s="187" t="s">
        <v>387</v>
      </c>
      <c r="AD26" s="188">
        <f>1/AD7</f>
        <v>18.235131074122162</v>
      </c>
      <c r="AE26" s="232" t="s">
        <v>388</v>
      </c>
    </row>
    <row r="27" spans="1:31" x14ac:dyDescent="0.25">
      <c r="C27" s="62"/>
      <c r="D27" s="62"/>
      <c r="F27" s="62"/>
      <c r="H27" s="200"/>
      <c r="I27" s="62"/>
      <c r="J27" s="62"/>
      <c r="AC27" s="187" t="s">
        <v>380</v>
      </c>
      <c r="AD27" s="232">
        <f>15.3*0.001*1000</f>
        <v>15.3</v>
      </c>
      <c r="AE27" s="232" t="s">
        <v>381</v>
      </c>
    </row>
    <row r="28" spans="1:31" x14ac:dyDescent="0.25">
      <c r="C28" s="62"/>
      <c r="D28" s="62"/>
      <c r="F28" s="62"/>
      <c r="H28" s="200"/>
      <c r="I28" s="62"/>
      <c r="J28" s="62"/>
      <c r="AC28" s="187" t="s">
        <v>453</v>
      </c>
      <c r="AD28" s="233">
        <f>20*0.001</f>
        <v>0.02</v>
      </c>
      <c r="AE28" s="232" t="s">
        <v>454</v>
      </c>
    </row>
    <row r="29" spans="1:31" x14ac:dyDescent="0.25">
      <c r="C29" s="62"/>
      <c r="D29" s="62"/>
      <c r="F29" s="62"/>
      <c r="H29" s="200"/>
      <c r="I29" s="62"/>
      <c r="J29" s="62"/>
      <c r="AC29" s="187" t="s">
        <v>455</v>
      </c>
      <c r="AD29" s="232">
        <f>12/16</f>
        <v>0.75</v>
      </c>
      <c r="AE29" s="232" t="s">
        <v>381</v>
      </c>
    </row>
    <row r="30" spans="1:31" x14ac:dyDescent="0.25">
      <c r="C30" s="62"/>
      <c r="D30" s="62"/>
    </row>
    <row r="31" spans="1:31" ht="18.75" customHeight="1" thickBot="1" x14ac:dyDescent="0.3">
      <c r="H31" s="501"/>
      <c r="I31" s="501"/>
      <c r="R31" t="s">
        <v>390</v>
      </c>
      <c r="S31" t="s">
        <v>390</v>
      </c>
      <c r="T31" t="s">
        <v>390</v>
      </c>
      <c r="U31" t="s">
        <v>391</v>
      </c>
      <c r="V31" t="s">
        <v>391</v>
      </c>
      <c r="W31" t="s">
        <v>391</v>
      </c>
    </row>
    <row r="32" spans="1:31" ht="17.25" customHeight="1" x14ac:dyDescent="0.25">
      <c r="L32" s="494" t="s">
        <v>456</v>
      </c>
      <c r="M32" s="502" t="s">
        <v>457</v>
      </c>
      <c r="N32" s="234" t="s">
        <v>458</v>
      </c>
      <c r="O32" s="235" t="s">
        <v>459</v>
      </c>
      <c r="P32" s="236" t="s">
        <v>458</v>
      </c>
      <c r="Q32" s="237" t="s">
        <v>459</v>
      </c>
      <c r="R32" s="494" t="s">
        <v>409</v>
      </c>
      <c r="S32" s="494" t="s">
        <v>413</v>
      </c>
      <c r="T32" s="494" t="s">
        <v>460</v>
      </c>
      <c r="U32" s="494" t="s">
        <v>409</v>
      </c>
      <c r="V32" s="494" t="s">
        <v>413</v>
      </c>
      <c r="W32" s="494" t="s">
        <v>460</v>
      </c>
    </row>
    <row r="33" spans="1:24" x14ac:dyDescent="0.25">
      <c r="A33" t="s">
        <v>461</v>
      </c>
      <c r="C33" t="s">
        <v>462</v>
      </c>
      <c r="D33" t="s">
        <v>462</v>
      </c>
      <c r="E33" t="s">
        <v>462</v>
      </c>
      <c r="F33" s="154" t="s">
        <v>463</v>
      </c>
      <c r="G33" s="154" t="s">
        <v>464</v>
      </c>
      <c r="H33" s="497" t="s">
        <v>465</v>
      </c>
      <c r="I33" s="497"/>
      <c r="J33" s="154" t="s">
        <v>463</v>
      </c>
      <c r="K33" t="s">
        <v>464</v>
      </c>
      <c r="L33" s="495"/>
      <c r="M33" s="503"/>
      <c r="N33" s="16"/>
      <c r="O33" s="82"/>
      <c r="P33" s="82"/>
      <c r="Q33" s="238"/>
      <c r="R33" s="495"/>
      <c r="S33" s="495"/>
      <c r="T33" s="495"/>
      <c r="U33" s="495"/>
      <c r="V33" s="495"/>
      <c r="W33" s="495"/>
    </row>
    <row r="34" spans="1:24" ht="15.75" thickBot="1" x14ac:dyDescent="0.3">
      <c r="A34" t="s">
        <v>466</v>
      </c>
      <c r="F34" s="154" t="s">
        <v>467</v>
      </c>
      <c r="G34" s="154" t="s">
        <v>468</v>
      </c>
      <c r="H34" s="154"/>
      <c r="I34" s="154"/>
      <c r="J34" s="154" t="s">
        <v>467</v>
      </c>
      <c r="K34" t="s">
        <v>467</v>
      </c>
      <c r="L34" s="496"/>
      <c r="M34" s="504"/>
      <c r="N34" s="239" t="s">
        <v>469</v>
      </c>
      <c r="O34" s="240" t="s">
        <v>469</v>
      </c>
      <c r="P34" s="106" t="s">
        <v>469</v>
      </c>
      <c r="Q34" s="241" t="s">
        <v>469</v>
      </c>
      <c r="R34" s="496"/>
      <c r="S34" s="496"/>
      <c r="T34" s="496"/>
      <c r="U34" s="496"/>
      <c r="V34" s="496"/>
      <c r="W34" s="496"/>
    </row>
    <row r="35" spans="1:24" ht="15.75" thickBot="1" x14ac:dyDescent="0.3">
      <c r="A35" s="242" t="s">
        <v>470</v>
      </c>
      <c r="B35" s="243" t="s">
        <v>349</v>
      </c>
      <c r="C35" s="244" t="s">
        <v>394</v>
      </c>
      <c r="D35" s="245" t="s">
        <v>395</v>
      </c>
      <c r="E35" s="8" t="s">
        <v>396</v>
      </c>
      <c r="F35" s="246">
        <v>0.9</v>
      </c>
      <c r="G35" s="246">
        <v>0.1</v>
      </c>
      <c r="H35" s="154"/>
      <c r="I35" s="154"/>
      <c r="J35" s="154"/>
      <c r="L35" s="247"/>
      <c r="M35" s="190"/>
      <c r="R35" s="248"/>
      <c r="S35" s="249"/>
      <c r="T35" s="250"/>
      <c r="U35" s="247"/>
      <c r="V35" s="247"/>
      <c r="W35" s="247"/>
    </row>
    <row r="36" spans="1:24" x14ac:dyDescent="0.25">
      <c r="A36" s="205" t="s">
        <v>471</v>
      </c>
      <c r="B36" s="119" t="s">
        <v>405</v>
      </c>
      <c r="C36" s="119">
        <v>0.9</v>
      </c>
      <c r="D36" s="15">
        <v>2.9</v>
      </c>
      <c r="E36" s="8">
        <f>AVERAGE(C36:D36)</f>
        <v>1.9</v>
      </c>
      <c r="F36">
        <f>D36*$F$35/25</f>
        <v>0.10439999999999999</v>
      </c>
      <c r="G36">
        <f>D36*$G$35</f>
        <v>0.28999999999999998</v>
      </c>
      <c r="H36" s="251">
        <f>F36*25+G36</f>
        <v>2.9</v>
      </c>
      <c r="I36" s="251"/>
      <c r="L36" s="498" t="str">
        <f>A36</f>
        <v>Well completion</v>
      </c>
      <c r="M36" s="236" t="str">
        <f>B36</f>
        <v>Stephenson et al. (2011)</v>
      </c>
      <c r="N36" s="236">
        <f>C36/25</f>
        <v>3.6000000000000004E-2</v>
      </c>
      <c r="O36" s="236">
        <f>(D36*90%)/25</f>
        <v>0.10439999999999999</v>
      </c>
      <c r="P36" s="252">
        <f>N36/18</f>
        <v>2E-3</v>
      </c>
      <c r="Q36" s="252">
        <f>O36/18</f>
        <v>5.7999999999999996E-3</v>
      </c>
      <c r="R36" s="236">
        <f t="shared" ref="R36:R41" si="0">$V$7*Q36*$S$10+1%*$V$7*Q36</f>
        <v>0.10682139783220762</v>
      </c>
      <c r="S36" s="253">
        <f t="shared" ref="S36:S41" si="1">Q36*$V$7*$S$11+1%*$V$7*Q36</f>
        <v>5.3939517717253353E-2</v>
      </c>
      <c r="T36" s="236">
        <f>Q36*$V$7*1%</f>
        <v>1.0576376022990853E-3</v>
      </c>
      <c r="U36" s="236">
        <f>Q36*$V$6*$T$10</f>
        <v>0</v>
      </c>
      <c r="V36" s="236">
        <f>$V$6*Q36*$T$11</f>
        <v>4.437E-2</v>
      </c>
      <c r="W36" s="237">
        <f>$T$13*Q36*$V$6</f>
        <v>0</v>
      </c>
      <c r="X36" t="s">
        <v>472</v>
      </c>
    </row>
    <row r="37" spans="1:24" ht="15" customHeight="1" x14ac:dyDescent="0.25">
      <c r="A37" s="82"/>
      <c r="B37" t="s">
        <v>473</v>
      </c>
      <c r="C37">
        <v>0.1</v>
      </c>
      <c r="D37" s="11">
        <v>9.1999999999999993</v>
      </c>
      <c r="E37" s="8">
        <f t="shared" ref="E37:E49" si="2">AVERAGE(C37:D37)</f>
        <v>4.6499999999999995</v>
      </c>
      <c r="F37">
        <f t="shared" ref="F37:F49" si="3">D37*90%/25</f>
        <v>0.33119999999999999</v>
      </c>
      <c r="G37">
        <f t="shared" ref="G37:G49" si="4">D37*10%</f>
        <v>0.91999999999999993</v>
      </c>
      <c r="H37" s="251">
        <f>F37*25+G37</f>
        <v>9.1999999999999993</v>
      </c>
      <c r="I37" s="251"/>
      <c r="L37" s="499"/>
      <c r="M37" t="str">
        <f t="shared" ref="M37:M45" si="5">B37</f>
        <v>Jiang et al. (2011)</v>
      </c>
      <c r="N37">
        <f t="shared" ref="N37:N45" si="6">C37/25</f>
        <v>4.0000000000000001E-3</v>
      </c>
      <c r="O37">
        <f t="shared" ref="O37:O48" si="7">(D37*90%)/25</f>
        <v>0.33119999999999999</v>
      </c>
      <c r="P37" s="254">
        <f t="shared" ref="P37:Q48" si="8">N37/18</f>
        <v>2.2222222222222223E-4</v>
      </c>
      <c r="Q37" s="254">
        <f>O37/18</f>
        <v>1.84E-2</v>
      </c>
      <c r="R37">
        <f t="shared" si="0"/>
        <v>0.33888167588148627</v>
      </c>
      <c r="S37" s="255">
        <f t="shared" si="1"/>
        <v>0.17111846999956237</v>
      </c>
      <c r="T37">
        <f t="shared" ref="T37:T45" si="9">Q37*$V$7*1%</f>
        <v>3.3552641176384781E-3</v>
      </c>
      <c r="U37">
        <f>Q37*$V$6*$T$10</f>
        <v>0</v>
      </c>
      <c r="V37">
        <f t="shared" ref="V37:V48" si="10">$AD$27*Q37*9%</f>
        <v>2.53368E-2</v>
      </c>
      <c r="W37" s="256">
        <f t="shared" ref="W37:W48" si="11">$T$13*Q37*$V$6</f>
        <v>0</v>
      </c>
    </row>
    <row r="38" spans="1:24" x14ac:dyDescent="0.25">
      <c r="A38" s="82"/>
      <c r="B38" t="s">
        <v>415</v>
      </c>
      <c r="D38" s="11">
        <v>7.8</v>
      </c>
      <c r="E38" s="8">
        <f t="shared" si="2"/>
        <v>7.8</v>
      </c>
      <c r="F38">
        <f>D38*90%/25</f>
        <v>0.28079999999999999</v>
      </c>
      <c r="G38">
        <f t="shared" si="4"/>
        <v>0.78</v>
      </c>
      <c r="H38" s="251">
        <f t="shared" ref="H38:H49" si="12">F38*25+G38</f>
        <v>7.8</v>
      </c>
      <c r="I38" s="251"/>
      <c r="L38" s="499"/>
      <c r="M38" t="str">
        <f t="shared" si="5"/>
        <v>Skone et al. (2011)</v>
      </c>
      <c r="N38">
        <f t="shared" si="6"/>
        <v>0</v>
      </c>
      <c r="O38">
        <f t="shared" si="7"/>
        <v>0.28079999999999999</v>
      </c>
      <c r="P38" s="254">
        <f t="shared" si="8"/>
        <v>0</v>
      </c>
      <c r="Q38" s="254">
        <f>O38/18</f>
        <v>1.5599999999999999E-2</v>
      </c>
      <c r="R38">
        <f t="shared" si="0"/>
        <v>0.28731272520386875</v>
      </c>
      <c r="S38" s="255">
        <f t="shared" si="1"/>
        <v>0.14507870282571592</v>
      </c>
      <c r="T38">
        <f t="shared" si="9"/>
        <v>2.8446804475630574E-3</v>
      </c>
      <c r="U38">
        <f t="shared" ref="U38:U48" si="13">Q38*$V$6*$T$10</f>
        <v>0</v>
      </c>
      <c r="V38">
        <f t="shared" si="10"/>
        <v>2.1481199999999999E-2</v>
      </c>
      <c r="W38" s="256">
        <f t="shared" si="11"/>
        <v>0</v>
      </c>
    </row>
    <row r="39" spans="1:24" x14ac:dyDescent="0.25">
      <c r="A39" s="257" t="s">
        <v>474</v>
      </c>
      <c r="B39" s="251" t="s">
        <v>427</v>
      </c>
      <c r="C39" s="251"/>
      <c r="D39" s="258">
        <v>23.4</v>
      </c>
      <c r="E39" s="259">
        <f t="shared" si="2"/>
        <v>23.4</v>
      </c>
      <c r="F39">
        <f t="shared" si="3"/>
        <v>0.84239999999999993</v>
      </c>
      <c r="G39">
        <f t="shared" si="4"/>
        <v>2.34</v>
      </c>
      <c r="H39" s="251">
        <f t="shared" si="12"/>
        <v>23.4</v>
      </c>
      <c r="I39" s="251"/>
      <c r="K39" s="251"/>
      <c r="L39" s="499"/>
      <c r="M39" t="str">
        <f t="shared" si="5"/>
        <v>Howarth et al. (2011)</v>
      </c>
      <c r="N39">
        <f t="shared" si="6"/>
        <v>0</v>
      </c>
      <c r="O39">
        <f t="shared" si="7"/>
        <v>0.84239999999999993</v>
      </c>
      <c r="P39" s="254">
        <f t="shared" si="8"/>
        <v>0</v>
      </c>
      <c r="Q39" s="254">
        <f>O39/18</f>
        <v>4.6799999999999994E-2</v>
      </c>
      <c r="R39">
        <f t="shared" si="0"/>
        <v>0.86193817561160624</v>
      </c>
      <c r="S39" s="255">
        <f t="shared" si="1"/>
        <v>0.43523610847714767</v>
      </c>
      <c r="T39">
        <f t="shared" si="9"/>
        <v>8.5340413426891713E-3</v>
      </c>
      <c r="U39">
        <f t="shared" si="13"/>
        <v>0</v>
      </c>
      <c r="V39">
        <f t="shared" si="10"/>
        <v>6.444359999999999E-2</v>
      </c>
      <c r="W39" s="256">
        <f t="shared" si="11"/>
        <v>0</v>
      </c>
    </row>
    <row r="40" spans="1:24" x14ac:dyDescent="0.25">
      <c r="A40" s="82"/>
      <c r="B40" t="s">
        <v>475</v>
      </c>
      <c r="D40" s="11">
        <v>17.899999999999999</v>
      </c>
      <c r="E40" s="8">
        <f t="shared" si="2"/>
        <v>17.899999999999999</v>
      </c>
      <c r="F40">
        <f t="shared" si="3"/>
        <v>0.64439999999999997</v>
      </c>
      <c r="G40">
        <f t="shared" si="4"/>
        <v>1.79</v>
      </c>
      <c r="H40" s="251">
        <f t="shared" si="12"/>
        <v>17.899999999999999</v>
      </c>
      <c r="I40" s="251"/>
      <c r="L40" s="499"/>
      <c r="M40" t="str">
        <f t="shared" si="5"/>
        <v>Lechtenbohmer et al. (2005)</v>
      </c>
      <c r="N40">
        <f t="shared" si="6"/>
        <v>0</v>
      </c>
      <c r="O40">
        <f t="shared" si="7"/>
        <v>0.64439999999999997</v>
      </c>
      <c r="P40" s="254">
        <f t="shared" si="8"/>
        <v>0</v>
      </c>
      <c r="Q40" s="254">
        <f>O40/18</f>
        <v>3.5799999999999998E-2</v>
      </c>
      <c r="R40">
        <f t="shared" si="0"/>
        <v>0.65934586937810913</v>
      </c>
      <c r="S40" s="255">
        <f t="shared" si="1"/>
        <v>0.3329370231513224</v>
      </c>
      <c r="T40">
        <f t="shared" si="9"/>
        <v>6.5281769245357337E-3</v>
      </c>
      <c r="U40">
        <f t="shared" si="13"/>
        <v>0</v>
      </c>
      <c r="V40">
        <f t="shared" si="10"/>
        <v>4.9296599999999996E-2</v>
      </c>
      <c r="W40" s="256">
        <f t="shared" si="11"/>
        <v>0</v>
      </c>
    </row>
    <row r="41" spans="1:24" ht="15.75" thickBot="1" x14ac:dyDescent="0.3">
      <c r="A41" s="224"/>
      <c r="B41" s="13" t="s">
        <v>476</v>
      </c>
      <c r="C41" s="13">
        <v>3</v>
      </c>
      <c r="D41" s="14">
        <v>16.899999999999999</v>
      </c>
      <c r="E41" s="8">
        <f t="shared" si="2"/>
        <v>9.9499999999999993</v>
      </c>
      <c r="F41">
        <f>D41*90%/25</f>
        <v>0.60839999999999994</v>
      </c>
      <c r="G41">
        <f t="shared" si="4"/>
        <v>1.69</v>
      </c>
      <c r="H41" s="251">
        <f t="shared" si="12"/>
        <v>16.899999999999999</v>
      </c>
      <c r="I41" s="251"/>
      <c r="L41" s="500"/>
      <c r="M41" s="106" t="str">
        <f t="shared" si="5"/>
        <v>Broderick et al. (2011)</v>
      </c>
      <c r="N41" s="106">
        <f t="shared" si="6"/>
        <v>0.12</v>
      </c>
      <c r="O41" s="106">
        <f t="shared" si="7"/>
        <v>0.60839999999999994</v>
      </c>
      <c r="P41" s="260">
        <f t="shared" si="8"/>
        <v>6.6666666666666662E-3</v>
      </c>
      <c r="Q41" s="260">
        <f>O41/18</f>
        <v>3.3799999999999997E-2</v>
      </c>
      <c r="R41" s="106">
        <f t="shared" si="0"/>
        <v>0.62251090460838232</v>
      </c>
      <c r="S41" s="261">
        <f t="shared" si="1"/>
        <v>0.31433718945571781</v>
      </c>
      <c r="T41" s="106">
        <f t="shared" si="9"/>
        <v>6.1634743030532903E-3</v>
      </c>
      <c r="U41" s="106">
        <f t="shared" si="13"/>
        <v>0</v>
      </c>
      <c r="V41" s="106">
        <f t="shared" si="10"/>
        <v>4.654259999999999E-2</v>
      </c>
      <c r="W41" s="241">
        <f t="shared" si="11"/>
        <v>0</v>
      </c>
    </row>
    <row r="42" spans="1:24" x14ac:dyDescent="0.25">
      <c r="A42" s="205" t="s">
        <v>477</v>
      </c>
      <c r="B42" s="119" t="s">
        <v>405</v>
      </c>
      <c r="C42" s="119"/>
      <c r="D42" s="15">
        <v>4.2</v>
      </c>
      <c r="E42" s="8">
        <f t="shared" si="2"/>
        <v>4.2</v>
      </c>
      <c r="F42">
        <f t="shared" si="3"/>
        <v>0.1512</v>
      </c>
      <c r="G42">
        <f t="shared" si="4"/>
        <v>0.42000000000000004</v>
      </c>
      <c r="H42" s="251">
        <f t="shared" si="12"/>
        <v>4.2</v>
      </c>
      <c r="I42" s="251"/>
      <c r="L42" s="498" t="s">
        <v>433</v>
      </c>
      <c r="M42" s="236" t="str">
        <f t="shared" si="5"/>
        <v>Stephenson et al. (2011)</v>
      </c>
      <c r="N42" s="236">
        <f t="shared" si="6"/>
        <v>0</v>
      </c>
      <c r="O42" s="236">
        <f t="shared" si="7"/>
        <v>0.1512</v>
      </c>
      <c r="P42" s="252">
        <f t="shared" si="8"/>
        <v>0</v>
      </c>
      <c r="Q42" s="252">
        <f t="shared" si="8"/>
        <v>8.3999999999999995E-3</v>
      </c>
      <c r="R42" s="236">
        <f t="shared" ref="R42:R48" si="14">$V$7*Q42+1%*$V$7*Q42</f>
        <v>0.15470685203285242</v>
      </c>
      <c r="S42" s="253">
        <f>Q42*$V$7+1%*$V$7*Q42</f>
        <v>0.15470685203285242</v>
      </c>
      <c r="T42" s="236">
        <f>Q42*$V$7*1%</f>
        <v>1.5317510102262617E-3</v>
      </c>
      <c r="U42" s="236">
        <f t="shared" si="13"/>
        <v>0</v>
      </c>
      <c r="V42" s="236">
        <f t="shared" si="10"/>
        <v>1.1566799999999999E-2</v>
      </c>
      <c r="W42" s="237">
        <f t="shared" si="11"/>
        <v>0</v>
      </c>
    </row>
    <row r="43" spans="1:24" x14ac:dyDescent="0.25">
      <c r="A43" s="82"/>
      <c r="B43" t="s">
        <v>415</v>
      </c>
      <c r="D43" s="11">
        <v>3.5</v>
      </c>
      <c r="E43" s="8">
        <f t="shared" si="2"/>
        <v>3.5</v>
      </c>
      <c r="F43">
        <f t="shared" si="3"/>
        <v>0.126</v>
      </c>
      <c r="G43">
        <f t="shared" si="4"/>
        <v>0.35000000000000003</v>
      </c>
      <c r="H43" s="251">
        <f t="shared" si="12"/>
        <v>3.5</v>
      </c>
      <c r="I43" s="251"/>
      <c r="L43" s="499"/>
      <c r="M43" t="str">
        <f t="shared" si="5"/>
        <v>Skone et al. (2011)</v>
      </c>
      <c r="N43">
        <f t="shared" si="6"/>
        <v>0</v>
      </c>
      <c r="O43">
        <f t="shared" si="7"/>
        <v>0.126</v>
      </c>
      <c r="P43" s="254">
        <f t="shared" si="8"/>
        <v>0</v>
      </c>
      <c r="Q43" s="254">
        <f t="shared" si="8"/>
        <v>7.0000000000000001E-3</v>
      </c>
      <c r="R43">
        <f t="shared" si="14"/>
        <v>0.12892237669404366</v>
      </c>
      <c r="S43" s="255">
        <f>Q43*$V$7+1%*$V$7*Q43</f>
        <v>0.12892237669404366</v>
      </c>
      <c r="T43">
        <f t="shared" si="9"/>
        <v>1.2764591751885514E-3</v>
      </c>
      <c r="U43">
        <f t="shared" si="13"/>
        <v>0</v>
      </c>
      <c r="V43">
        <f t="shared" si="10"/>
        <v>9.639E-3</v>
      </c>
      <c r="W43" s="256">
        <f t="shared" si="11"/>
        <v>0</v>
      </c>
    </row>
    <row r="44" spans="1:24" x14ac:dyDescent="0.25">
      <c r="A44" s="257" t="str">
        <f>A39</f>
        <v>to high ignored</v>
      </c>
      <c r="B44" s="251" t="s">
        <v>427</v>
      </c>
      <c r="C44" s="251"/>
      <c r="D44" s="258">
        <v>2.2000000000000002</v>
      </c>
      <c r="E44" s="259">
        <f t="shared" si="2"/>
        <v>2.2000000000000002</v>
      </c>
      <c r="F44">
        <f t="shared" si="3"/>
        <v>7.9200000000000007E-2</v>
      </c>
      <c r="G44">
        <f t="shared" si="4"/>
        <v>0.22000000000000003</v>
      </c>
      <c r="H44" s="251">
        <f t="shared" si="12"/>
        <v>2.2000000000000002</v>
      </c>
      <c r="I44" s="251"/>
      <c r="K44" s="251"/>
      <c r="L44" s="499"/>
      <c r="M44" t="str">
        <f t="shared" si="5"/>
        <v>Howarth et al. (2011)</v>
      </c>
      <c r="N44">
        <f t="shared" si="6"/>
        <v>0</v>
      </c>
      <c r="O44">
        <f t="shared" si="7"/>
        <v>7.9200000000000007E-2</v>
      </c>
      <c r="P44" s="254">
        <f t="shared" si="8"/>
        <v>0</v>
      </c>
      <c r="Q44" s="254">
        <f t="shared" si="8"/>
        <v>4.4000000000000003E-3</v>
      </c>
      <c r="R44">
        <f t="shared" si="14"/>
        <v>8.1036922493398889E-2</v>
      </c>
      <c r="S44" s="255">
        <f>Q44*$V$7+1%*$V$7*Q44</f>
        <v>8.1036922493398889E-2</v>
      </c>
      <c r="T44">
        <f t="shared" si="9"/>
        <v>8.0234576726137519E-4</v>
      </c>
      <c r="U44">
        <f t="shared" si="13"/>
        <v>0</v>
      </c>
      <c r="V44">
        <f t="shared" si="10"/>
        <v>6.0588000000000005E-3</v>
      </c>
      <c r="W44" s="256">
        <f t="shared" si="11"/>
        <v>0</v>
      </c>
    </row>
    <row r="45" spans="1:24" ht="15.75" thickBot="1" x14ac:dyDescent="0.3">
      <c r="A45" s="224"/>
      <c r="B45" s="13" t="s">
        <v>475</v>
      </c>
      <c r="C45" s="13"/>
      <c r="D45" s="14">
        <v>8.9</v>
      </c>
      <c r="E45" s="8">
        <f t="shared" si="2"/>
        <v>8.9</v>
      </c>
      <c r="F45">
        <f t="shared" si="3"/>
        <v>0.32040000000000002</v>
      </c>
      <c r="G45">
        <f t="shared" si="4"/>
        <v>0.89000000000000012</v>
      </c>
      <c r="H45" s="251">
        <f t="shared" si="12"/>
        <v>8.9</v>
      </c>
      <c r="I45" s="251"/>
      <c r="L45" s="500"/>
      <c r="M45" s="106" t="str">
        <f t="shared" si="5"/>
        <v>Lechtenbohmer et al. (2005)</v>
      </c>
      <c r="N45" s="106">
        <f t="shared" si="6"/>
        <v>0</v>
      </c>
      <c r="O45" s="106">
        <f t="shared" si="7"/>
        <v>0.32040000000000002</v>
      </c>
      <c r="P45" s="260">
        <f t="shared" si="8"/>
        <v>0</v>
      </c>
      <c r="Q45" s="260">
        <f t="shared" si="8"/>
        <v>1.78E-2</v>
      </c>
      <c r="R45">
        <f t="shared" si="14"/>
        <v>0.32783118645056825</v>
      </c>
      <c r="S45" s="255">
        <f>Q45*$V$7+1%*$V$7*Q45</f>
        <v>0.32783118645056825</v>
      </c>
      <c r="T45" s="106">
        <f t="shared" si="9"/>
        <v>3.2458533311937451E-3</v>
      </c>
      <c r="U45" s="106">
        <f>Q45*$V$6*$T$10</f>
        <v>0</v>
      </c>
      <c r="V45" s="106">
        <f t="shared" si="10"/>
        <v>2.45106E-2</v>
      </c>
      <c r="W45" s="241">
        <f t="shared" si="11"/>
        <v>0</v>
      </c>
    </row>
    <row r="46" spans="1:24" ht="15.75" thickBot="1" x14ac:dyDescent="0.3">
      <c r="A46" s="262" t="s">
        <v>478</v>
      </c>
      <c r="B46" s="263" t="s">
        <v>479</v>
      </c>
      <c r="C46" s="263"/>
      <c r="D46" s="264"/>
      <c r="E46" s="8"/>
      <c r="F46">
        <f t="shared" si="3"/>
        <v>0</v>
      </c>
      <c r="G46">
        <f t="shared" si="4"/>
        <v>0</v>
      </c>
      <c r="H46" s="251">
        <f t="shared" si="12"/>
        <v>0</v>
      </c>
      <c r="I46" s="251"/>
      <c r="L46" s="498" t="str">
        <f>A47</f>
        <v>Transport, storage and distribution</v>
      </c>
      <c r="M46" s="236" t="str">
        <f>B47</f>
        <v>Stephenson et al. (2011)</v>
      </c>
      <c r="N46" s="236">
        <f>C47/25</f>
        <v>0</v>
      </c>
      <c r="O46" s="236">
        <f t="shared" si="7"/>
        <v>0</v>
      </c>
      <c r="P46" s="252">
        <f t="shared" si="8"/>
        <v>0</v>
      </c>
      <c r="Q46" s="252">
        <f t="shared" si="8"/>
        <v>0</v>
      </c>
      <c r="R46" s="236">
        <f t="shared" si="14"/>
        <v>0</v>
      </c>
      <c r="S46" s="236">
        <f>$V$7*Q46+1%*$V$7*Q46</f>
        <v>0</v>
      </c>
      <c r="T46" s="236">
        <f>$V$7*Q46+1%*$V$7*Q46</f>
        <v>0</v>
      </c>
      <c r="U46" s="236">
        <f t="shared" si="13"/>
        <v>0</v>
      </c>
      <c r="V46" s="236">
        <f t="shared" si="10"/>
        <v>0</v>
      </c>
      <c r="W46" s="237">
        <f t="shared" si="11"/>
        <v>0</v>
      </c>
    </row>
    <row r="47" spans="1:24" ht="15.75" thickBot="1" x14ac:dyDescent="0.3">
      <c r="A47" s="82" t="s">
        <v>480</v>
      </c>
      <c r="B47" t="s">
        <v>405</v>
      </c>
      <c r="D47" s="11">
        <v>1.9</v>
      </c>
      <c r="E47" s="8">
        <f t="shared" si="2"/>
        <v>1.9</v>
      </c>
      <c r="F47">
        <f t="shared" si="3"/>
        <v>6.8400000000000002E-2</v>
      </c>
      <c r="G47">
        <f t="shared" si="4"/>
        <v>0.19</v>
      </c>
      <c r="H47" s="251">
        <f t="shared" si="12"/>
        <v>1.9</v>
      </c>
      <c r="I47" s="251"/>
      <c r="L47" s="499"/>
      <c r="M47" t="str">
        <f>B48</f>
        <v>Skone et al. (2011)</v>
      </c>
      <c r="N47">
        <f>C48/25</f>
        <v>0</v>
      </c>
      <c r="O47">
        <f t="shared" si="7"/>
        <v>6.8400000000000002E-2</v>
      </c>
      <c r="P47" s="254">
        <f t="shared" si="8"/>
        <v>0</v>
      </c>
      <c r="Q47" s="254">
        <f t="shared" si="8"/>
        <v>3.8E-3</v>
      </c>
      <c r="R47">
        <f t="shared" si="14"/>
        <v>6.9986433062480854E-2</v>
      </c>
      <c r="S47" s="236">
        <f>$V$7*Q47+1%*$V$7*Q47</f>
        <v>6.9986433062480854E-2</v>
      </c>
      <c r="T47" s="236">
        <f>$V$7*Q47+1%*$V$7*Q47</f>
        <v>6.9986433062480854E-2</v>
      </c>
      <c r="U47">
        <f t="shared" si="13"/>
        <v>0</v>
      </c>
      <c r="V47">
        <f t="shared" si="10"/>
        <v>5.2326000000000004E-3</v>
      </c>
      <c r="W47" s="256">
        <f t="shared" si="11"/>
        <v>0</v>
      </c>
    </row>
    <row r="48" spans="1:24" ht="15.75" thickBot="1" x14ac:dyDescent="0.3">
      <c r="A48" s="82"/>
      <c r="B48" t="s">
        <v>415</v>
      </c>
      <c r="D48" s="11">
        <v>2.7</v>
      </c>
      <c r="E48" s="8">
        <f t="shared" si="2"/>
        <v>2.7</v>
      </c>
      <c r="F48">
        <f t="shared" si="3"/>
        <v>9.7200000000000009E-2</v>
      </c>
      <c r="G48">
        <f t="shared" si="4"/>
        <v>0.27</v>
      </c>
      <c r="H48" s="251">
        <f t="shared" si="12"/>
        <v>2.7</v>
      </c>
      <c r="I48" s="251"/>
      <c r="L48" s="500"/>
      <c r="M48" s="106" t="str">
        <f>B49</f>
        <v>Howarth et al. (2011)</v>
      </c>
      <c r="N48" s="106">
        <f>C49/25</f>
        <v>0</v>
      </c>
      <c r="O48" s="106">
        <f t="shared" si="7"/>
        <v>9.7200000000000009E-2</v>
      </c>
      <c r="P48" s="260">
        <f t="shared" si="8"/>
        <v>0</v>
      </c>
      <c r="Q48" s="260">
        <f t="shared" si="8"/>
        <v>5.4000000000000003E-3</v>
      </c>
      <c r="R48">
        <f t="shared" si="14"/>
        <v>9.9454404878262279E-2</v>
      </c>
      <c r="S48" s="236">
        <f>$V$7*Q48+1%*$V$7*Q48</f>
        <v>9.9454404878262279E-2</v>
      </c>
      <c r="T48" s="236">
        <f>$V$7*Q48+1%*$V$7*Q48</f>
        <v>9.9454404878262279E-2</v>
      </c>
      <c r="U48" s="106">
        <f t="shared" si="13"/>
        <v>0</v>
      </c>
      <c r="V48" s="106">
        <f t="shared" si="10"/>
        <v>7.4358000000000011E-3</v>
      </c>
      <c r="W48" s="241">
        <f t="shared" si="11"/>
        <v>0</v>
      </c>
    </row>
    <row r="49" spans="1:18" x14ac:dyDescent="0.25">
      <c r="A49" s="265" t="s">
        <v>474</v>
      </c>
      <c r="B49" s="266" t="s">
        <v>427</v>
      </c>
      <c r="C49" s="266"/>
      <c r="D49" s="267">
        <v>16.2</v>
      </c>
      <c r="E49" s="259">
        <f t="shared" si="2"/>
        <v>16.2</v>
      </c>
      <c r="F49">
        <f t="shared" si="3"/>
        <v>0.58320000000000005</v>
      </c>
      <c r="G49">
        <f t="shared" si="4"/>
        <v>1.62</v>
      </c>
      <c r="H49" s="251">
        <f t="shared" si="12"/>
        <v>16.200000000000003</v>
      </c>
      <c r="I49" s="251"/>
      <c r="K49" s="251"/>
    </row>
    <row r="50" spans="1:18" x14ac:dyDescent="0.25">
      <c r="A50" t="s">
        <v>481</v>
      </c>
      <c r="O50" s="251"/>
      <c r="P50" s="251"/>
      <c r="R50" s="251"/>
    </row>
    <row r="52" spans="1:18" x14ac:dyDescent="0.25">
      <c r="A52" t="s">
        <v>482</v>
      </c>
    </row>
    <row r="53" spans="1:18" x14ac:dyDescent="0.25">
      <c r="A53" t="s">
        <v>483</v>
      </c>
      <c r="F53" t="s">
        <v>484</v>
      </c>
      <c r="G53" t="s">
        <v>485</v>
      </c>
      <c r="H53" t="s">
        <v>486</v>
      </c>
    </row>
    <row r="54" spans="1:18" x14ac:dyDescent="0.25">
      <c r="A54" t="s">
        <v>369</v>
      </c>
      <c r="B54" t="s">
        <v>487</v>
      </c>
      <c r="C54" s="268">
        <v>0.8</v>
      </c>
      <c r="F54" t="s">
        <v>488</v>
      </c>
      <c r="G54">
        <v>56</v>
      </c>
      <c r="H54">
        <f t="shared" ref="H54:H59" si="15">G54*10^9/10^9</f>
        <v>56</v>
      </c>
    </row>
    <row r="55" spans="1:18" x14ac:dyDescent="0.25">
      <c r="A55" t="s">
        <v>489</v>
      </c>
      <c r="B55" t="s">
        <v>391</v>
      </c>
      <c r="F55" t="s">
        <v>490</v>
      </c>
      <c r="G55">
        <v>77</v>
      </c>
      <c r="H55">
        <f t="shared" si="15"/>
        <v>77</v>
      </c>
    </row>
    <row r="56" spans="1:18" x14ac:dyDescent="0.25">
      <c r="A56" t="s">
        <v>491</v>
      </c>
      <c r="B56" t="s">
        <v>492</v>
      </c>
      <c r="F56" t="s">
        <v>493</v>
      </c>
      <c r="G56">
        <v>69</v>
      </c>
      <c r="H56">
        <f t="shared" si="15"/>
        <v>69</v>
      </c>
    </row>
    <row r="57" spans="1:18" x14ac:dyDescent="0.25">
      <c r="A57" t="s">
        <v>494</v>
      </c>
      <c r="B57" t="s">
        <v>495</v>
      </c>
      <c r="F57" t="s">
        <v>496</v>
      </c>
      <c r="G57">
        <v>74</v>
      </c>
      <c r="H57">
        <f t="shared" si="15"/>
        <v>74</v>
      </c>
    </row>
    <row r="58" spans="1:18" x14ac:dyDescent="0.25">
      <c r="A58" t="s">
        <v>497</v>
      </c>
      <c r="B58" t="s">
        <v>498</v>
      </c>
      <c r="F58" t="s">
        <v>499</v>
      </c>
      <c r="G58">
        <v>63</v>
      </c>
      <c r="H58">
        <f t="shared" si="15"/>
        <v>63</v>
      </c>
    </row>
    <row r="59" spans="1:18" x14ac:dyDescent="0.25">
      <c r="A59" t="s">
        <v>500</v>
      </c>
      <c r="B59" t="s">
        <v>501</v>
      </c>
      <c r="F59" t="s">
        <v>157</v>
      </c>
      <c r="G59">
        <v>96</v>
      </c>
      <c r="H59">
        <f t="shared" si="15"/>
        <v>96</v>
      </c>
    </row>
    <row r="60" spans="1:18" x14ac:dyDescent="0.25">
      <c r="A60" t="s">
        <v>502</v>
      </c>
      <c r="B60" t="s">
        <v>503</v>
      </c>
    </row>
    <row r="63" spans="1:18" x14ac:dyDescent="0.25">
      <c r="A63" t="s">
        <v>504</v>
      </c>
    </row>
    <row r="66" spans="1:7" x14ac:dyDescent="0.25">
      <c r="A66" s="269" t="s">
        <v>505</v>
      </c>
    </row>
    <row r="67" spans="1:7" x14ac:dyDescent="0.25">
      <c r="A67" t="s">
        <v>506</v>
      </c>
      <c r="D67" t="str">
        <f>AC12</f>
        <v>1 m3 CH4 =</v>
      </c>
      <c r="E67" s="270">
        <f>AD19</f>
        <v>0.66200000000000003</v>
      </c>
      <c r="F67" s="270" t="str">
        <f>AE19</f>
        <v>kg CH4</v>
      </c>
    </row>
    <row r="68" spans="1:7" x14ac:dyDescent="0.25">
      <c r="A68" s="271" t="s">
        <v>507</v>
      </c>
      <c r="B68" s="62">
        <v>1333</v>
      </c>
      <c r="C68" t="s">
        <v>508</v>
      </c>
      <c r="D68" t="s">
        <v>509</v>
      </c>
      <c r="E68">
        <f>0.77*0.662</f>
        <v>0.50974000000000008</v>
      </c>
      <c r="F68" s="270" t="s">
        <v>510</v>
      </c>
    </row>
    <row r="69" spans="1:7" x14ac:dyDescent="0.25">
      <c r="A69">
        <f>B69/$B$68</f>
        <v>5.7764441110277572E-4</v>
      </c>
      <c r="B69">
        <v>0.77</v>
      </c>
      <c r="C69" t="s">
        <v>508</v>
      </c>
      <c r="D69" t="str">
        <f>D67</f>
        <v>1 m3 CH4 =</v>
      </c>
      <c r="E69" s="270">
        <f>AD12</f>
        <v>37</v>
      </c>
      <c r="F69" t="s">
        <v>420</v>
      </c>
      <c r="G69">
        <f>1/37</f>
        <v>2.7027027027027029E-2</v>
      </c>
    </row>
    <row r="70" spans="1:7" x14ac:dyDescent="0.25">
      <c r="A70">
        <f>B70/$B$68</f>
        <v>1.350337584396099E-4</v>
      </c>
      <c r="B70">
        <v>0.18</v>
      </c>
      <c r="C70" t="s">
        <v>508</v>
      </c>
      <c r="D70" t="str">
        <f>D68</f>
        <v xml:space="preserve">0.77 m3 CH4 = </v>
      </c>
      <c r="E70">
        <f>E68/(1000*1000)</f>
        <v>5.0974000000000012E-7</v>
      </c>
      <c r="F70" t="s">
        <v>511</v>
      </c>
    </row>
    <row r="71" spans="1:7" x14ac:dyDescent="0.25">
      <c r="D71" t="str">
        <f>D69</f>
        <v>1 m3 CH4 =</v>
      </c>
      <c r="E71">
        <f>E70/(0.0243/1000)</f>
        <v>2.0976954732510295E-2</v>
      </c>
      <c r="G71">
        <f>E70/(0.0243/1000)</f>
        <v>2.0976954732510295E-2</v>
      </c>
    </row>
    <row r="72" spans="1:7" x14ac:dyDescent="0.25">
      <c r="A72" t="s">
        <v>512</v>
      </c>
    </row>
    <row r="73" spans="1:7" x14ac:dyDescent="0.25">
      <c r="A73">
        <f>A69*1000/(0.0243*1000)</f>
        <v>2.3771374942501061E-2</v>
      </c>
      <c r="B73" t="s">
        <v>469</v>
      </c>
      <c r="F73">
        <v>24.3</v>
      </c>
      <c r="G73" t="s">
        <v>513</v>
      </c>
    </row>
    <row r="78" spans="1:7" x14ac:dyDescent="0.25">
      <c r="A78" s="26" t="s">
        <v>514</v>
      </c>
    </row>
    <row r="79" spans="1:7" x14ac:dyDescent="0.25">
      <c r="A79" s="8" t="s">
        <v>515</v>
      </c>
      <c r="B79" s="8" t="s">
        <v>516</v>
      </c>
      <c r="C79" s="8" t="s">
        <v>517</v>
      </c>
      <c r="D79" s="510" t="s">
        <v>518</v>
      </c>
      <c r="E79" s="510"/>
    </row>
    <row r="80" spans="1:7" x14ac:dyDescent="0.25">
      <c r="A80" s="8">
        <v>2000</v>
      </c>
      <c r="B80" s="8">
        <v>152430357</v>
      </c>
      <c r="C80" s="8">
        <v>135174090</v>
      </c>
      <c r="D80" s="273">
        <f>B80/(SUM($B$80:$C$80))</f>
        <v>0.53000000031292982</v>
      </c>
      <c r="E80" s="273">
        <f>C80/(SUM($B$80:$C$80))</f>
        <v>0.46999999968707018</v>
      </c>
    </row>
    <row r="81" spans="1:5" x14ac:dyDescent="0.25">
      <c r="A81" s="8">
        <v>2001</v>
      </c>
      <c r="B81" s="8">
        <v>151473376</v>
      </c>
      <c r="C81" s="8">
        <v>134325446</v>
      </c>
      <c r="D81" s="273">
        <f>B81/(SUM($B$81:$C$81))</f>
        <v>0.53000000118964796</v>
      </c>
      <c r="E81" s="273">
        <f>C81/(SUM($B$81:$C$81))</f>
        <v>0.46999999881035198</v>
      </c>
    </row>
    <row r="82" spans="1:5" x14ac:dyDescent="0.25">
      <c r="A82" s="8">
        <v>2002</v>
      </c>
      <c r="B82" s="8">
        <v>149287553</v>
      </c>
      <c r="C82" s="8">
        <v>132387075</v>
      </c>
      <c r="D82" s="273">
        <f>B82/(SUM($B$82:$C$82))</f>
        <v>0.53000000056803132</v>
      </c>
      <c r="E82" s="273">
        <f>C82/(SUM($B$82:$C$82))</f>
        <v>0.46999999943196874</v>
      </c>
    </row>
    <row r="98" spans="1:11" x14ac:dyDescent="0.25">
      <c r="A98" s="274" t="s">
        <v>452</v>
      </c>
      <c r="B98" s="275" t="s">
        <v>519</v>
      </c>
    </row>
    <row r="99" spans="1:11" x14ac:dyDescent="0.25">
      <c r="A99" s="276" t="s">
        <v>520</v>
      </c>
      <c r="C99" s="275"/>
    </row>
    <row r="100" spans="1:11" x14ac:dyDescent="0.25">
      <c r="A100" s="275"/>
    </row>
    <row r="101" spans="1:11" ht="15.75" thickBot="1" x14ac:dyDescent="0.3">
      <c r="A101" s="277" t="s">
        <v>521</v>
      </c>
      <c r="F101" t="s">
        <v>522</v>
      </c>
    </row>
    <row r="102" spans="1:11" ht="36" thickBot="1" x14ac:dyDescent="0.3">
      <c r="A102" s="278" t="s">
        <v>523</v>
      </c>
      <c r="B102" s="279" t="s">
        <v>524</v>
      </c>
      <c r="C102" s="279" t="s">
        <v>525</v>
      </c>
      <c r="D102" s="279" t="s">
        <v>526</v>
      </c>
      <c r="E102" s="279" t="s">
        <v>527</v>
      </c>
    </row>
    <row r="103" spans="1:11" ht="15.75" thickBot="1" x14ac:dyDescent="0.3">
      <c r="A103" s="505" t="s">
        <v>528</v>
      </c>
      <c r="B103" s="280" t="s">
        <v>529</v>
      </c>
      <c r="C103" s="507" t="s">
        <v>530</v>
      </c>
      <c r="D103" s="280">
        <v>0.77</v>
      </c>
      <c r="E103" s="280">
        <v>18</v>
      </c>
    </row>
    <row r="104" spans="1:11" ht="23.25" thickBot="1" x14ac:dyDescent="0.3">
      <c r="A104" s="506"/>
      <c r="B104" s="280" t="s">
        <v>531</v>
      </c>
      <c r="C104" s="508"/>
      <c r="D104" s="280">
        <v>0.18</v>
      </c>
      <c r="E104" s="280">
        <v>2.5</v>
      </c>
      <c r="K104">
        <f>0.77/0.0243</f>
        <v>31.68724279835391</v>
      </c>
    </row>
    <row r="105" spans="1:11" ht="15.75" thickBot="1" x14ac:dyDescent="0.3">
      <c r="A105" s="505" t="s">
        <v>532</v>
      </c>
      <c r="B105" s="280" t="s">
        <v>533</v>
      </c>
      <c r="C105" s="508"/>
      <c r="D105" s="280">
        <v>0</v>
      </c>
      <c r="E105" s="280">
        <v>1.2</v>
      </c>
    </row>
    <row r="106" spans="1:11" ht="15.75" thickBot="1" x14ac:dyDescent="0.3">
      <c r="A106" s="506"/>
      <c r="B106" s="280" t="s">
        <v>534</v>
      </c>
      <c r="C106" s="509"/>
      <c r="D106" s="280">
        <v>0</v>
      </c>
      <c r="E106" s="280">
        <v>0.1</v>
      </c>
    </row>
    <row r="107" spans="1:11" ht="15.75" thickBot="1" x14ac:dyDescent="0.3">
      <c r="A107" s="505" t="s">
        <v>528</v>
      </c>
      <c r="B107" s="280" t="s">
        <v>533</v>
      </c>
      <c r="C107" s="507" t="s">
        <v>535</v>
      </c>
      <c r="D107" s="280">
        <v>7.6999999999999999E-2</v>
      </c>
      <c r="E107" s="280" t="s">
        <v>536</v>
      </c>
    </row>
    <row r="108" spans="1:11" ht="15.75" thickBot="1" x14ac:dyDescent="0.3">
      <c r="A108" s="506"/>
      <c r="B108" s="280" t="s">
        <v>534</v>
      </c>
      <c r="C108" s="508"/>
      <c r="D108" s="280">
        <v>1.7999999999999999E-2</v>
      </c>
      <c r="E108" s="280" t="s">
        <v>536</v>
      </c>
    </row>
    <row r="109" spans="1:11" ht="15.75" thickBot="1" x14ac:dyDescent="0.3">
      <c r="A109" s="505" t="s">
        <v>532</v>
      </c>
      <c r="B109" s="280" t="s">
        <v>533</v>
      </c>
      <c r="C109" s="508"/>
      <c r="D109" s="280">
        <v>0</v>
      </c>
      <c r="E109" s="280" t="s">
        <v>536</v>
      </c>
    </row>
    <row r="110" spans="1:11" ht="15.75" thickBot="1" x14ac:dyDescent="0.3">
      <c r="A110" s="506"/>
      <c r="B110" s="280" t="s">
        <v>534</v>
      </c>
      <c r="C110" s="509"/>
      <c r="D110" s="280">
        <v>0</v>
      </c>
      <c r="E110" s="280" t="s">
        <v>536</v>
      </c>
    </row>
    <row r="112" spans="1:11" x14ac:dyDescent="0.25">
      <c r="A112" s="276" t="s">
        <v>520</v>
      </c>
    </row>
    <row r="113" spans="1:22" x14ac:dyDescent="0.25">
      <c r="A113" s="275" t="s">
        <v>537</v>
      </c>
    </row>
    <row r="116" spans="1:22" x14ac:dyDescent="0.25">
      <c r="A116" s="275" t="s">
        <v>519</v>
      </c>
      <c r="R116" s="275" t="s">
        <v>538</v>
      </c>
    </row>
    <row r="117" spans="1:22" ht="15.75" thickBot="1" x14ac:dyDescent="0.3">
      <c r="A117" t="s">
        <v>539</v>
      </c>
      <c r="H117" t="s">
        <v>540</v>
      </c>
      <c r="N117">
        <f>0.0243/1000</f>
        <v>2.4299999999999998E-5</v>
      </c>
    </row>
    <row r="118" spans="1:22" x14ac:dyDescent="0.25">
      <c r="A118" s="281" t="s">
        <v>541</v>
      </c>
      <c r="B118" s="282" t="s">
        <v>542</v>
      </c>
      <c r="C118" s="282" t="s">
        <v>543</v>
      </c>
      <c r="D118" s="282" t="s">
        <v>544</v>
      </c>
      <c r="E118" s="282" t="s">
        <v>545</v>
      </c>
      <c r="F118" s="281" t="s">
        <v>546</v>
      </c>
      <c r="G118" s="282" t="s">
        <v>547</v>
      </c>
      <c r="H118" s="283" t="s">
        <v>548</v>
      </c>
      <c r="I118" s="283" t="s">
        <v>549</v>
      </c>
      <c r="J118" s="283" t="s">
        <v>550</v>
      </c>
      <c r="K118" s="283" t="s">
        <v>551</v>
      </c>
      <c r="L118" s="283" t="s">
        <v>552</v>
      </c>
      <c r="M118" s="283" t="s">
        <v>553</v>
      </c>
      <c r="N118" s="283" t="s">
        <v>554</v>
      </c>
      <c r="O118" s="283" t="s">
        <v>555</v>
      </c>
      <c r="Q118">
        <f>0.77*10%</f>
        <v>7.7000000000000013E-2</v>
      </c>
      <c r="R118" s="26" t="s">
        <v>556</v>
      </c>
      <c r="S118" s="26" t="s">
        <v>557</v>
      </c>
      <c r="T118" s="26" t="s">
        <v>558</v>
      </c>
      <c r="U118" s="26" t="s">
        <v>559</v>
      </c>
      <c r="V118" s="26">
        <v>2017</v>
      </c>
    </row>
    <row r="119" spans="1:22" x14ac:dyDescent="0.25">
      <c r="A119" s="284">
        <v>2000</v>
      </c>
      <c r="B119" s="285">
        <v>152430357</v>
      </c>
      <c r="C119" s="285">
        <v>135174090</v>
      </c>
      <c r="D119" s="286">
        <f t="shared" ref="D119:E129" si="16">B119/$F119</f>
        <v>0.53000000031292982</v>
      </c>
      <c r="E119" s="286">
        <f t="shared" si="16"/>
        <v>0.46999999968707018</v>
      </c>
      <c r="F119" s="287">
        <f t="shared" ref="F119:F129" si="17">B119+C119</f>
        <v>287604447</v>
      </c>
      <c r="G119" s="286" t="s">
        <v>560</v>
      </c>
      <c r="H119">
        <v>24</v>
      </c>
      <c r="I119">
        <f>1979</f>
        <v>1979</v>
      </c>
      <c r="J119">
        <f>H119+I119</f>
        <v>2003</v>
      </c>
      <c r="K119">
        <f>I119/25</f>
        <v>79.16</v>
      </c>
      <c r="L119">
        <f>H119/F119</f>
        <v>8.3447944739185486E-8</v>
      </c>
      <c r="M119">
        <f>L119/0.0000243</f>
        <v>3.4340717999664806E-3</v>
      </c>
      <c r="N119">
        <f>(K119/F119)/$N$117</f>
        <v>1.1326713486889442E-2</v>
      </c>
      <c r="R119" t="s">
        <v>561</v>
      </c>
      <c r="S119" t="s">
        <v>562</v>
      </c>
      <c r="U119" t="s">
        <v>563</v>
      </c>
      <c r="V119" s="288">
        <v>118761000</v>
      </c>
    </row>
    <row r="120" spans="1:22" x14ac:dyDescent="0.25">
      <c r="A120" s="284">
        <v>2001</v>
      </c>
      <c r="B120" s="285">
        <v>151473376</v>
      </c>
      <c r="C120" s="285">
        <v>134325446</v>
      </c>
      <c r="D120" s="286">
        <f t="shared" si="16"/>
        <v>0.53000000118964796</v>
      </c>
      <c r="E120" s="286">
        <f t="shared" si="16"/>
        <v>0.46999999881035198</v>
      </c>
      <c r="F120" s="287">
        <f t="shared" si="17"/>
        <v>285798822</v>
      </c>
      <c r="G120" s="286">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564</v>
      </c>
      <c r="S120" t="s">
        <v>562</v>
      </c>
      <c r="U120" t="s">
        <v>563</v>
      </c>
      <c r="V120" s="288">
        <v>134699500</v>
      </c>
    </row>
    <row r="121" spans="1:22" x14ac:dyDescent="0.25">
      <c r="A121" s="284">
        <v>2002</v>
      </c>
      <c r="B121" s="285">
        <v>149287553</v>
      </c>
      <c r="C121" s="285">
        <v>132387075</v>
      </c>
      <c r="D121" s="286">
        <f t="shared" si="16"/>
        <v>0.53000000056803132</v>
      </c>
      <c r="E121" s="286">
        <f t="shared" si="16"/>
        <v>0.46999999943196874</v>
      </c>
      <c r="F121" s="287">
        <f t="shared" si="17"/>
        <v>281674628</v>
      </c>
      <c r="G121" s="286">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565</v>
      </c>
      <c r="U121" t="s">
        <v>566</v>
      </c>
      <c r="V121" s="289">
        <f>SUM(V119:V120)/1000000</f>
        <v>253.4605</v>
      </c>
    </row>
    <row r="122" spans="1:22" x14ac:dyDescent="0.25">
      <c r="A122" s="284">
        <v>2003</v>
      </c>
      <c r="B122" s="285">
        <v>161217666</v>
      </c>
      <c r="C122" s="285">
        <v>142966609</v>
      </c>
      <c r="D122" s="286">
        <f t="shared" si="16"/>
        <v>0.53000000082187027</v>
      </c>
      <c r="E122" s="286">
        <f t="shared" si="16"/>
        <v>0.46999999917812979</v>
      </c>
      <c r="F122" s="287">
        <f t="shared" si="17"/>
        <v>304184275</v>
      </c>
      <c r="G122" s="286">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567</v>
      </c>
      <c r="S122" t="s">
        <v>568</v>
      </c>
      <c r="T122" t="s">
        <v>391</v>
      </c>
      <c r="U122" t="s">
        <v>569</v>
      </c>
      <c r="V122" s="290">
        <v>16.853492271</v>
      </c>
    </row>
    <row r="123" spans="1:22" x14ac:dyDescent="0.25">
      <c r="A123" s="284">
        <v>2004</v>
      </c>
      <c r="B123" s="285">
        <v>164944899</v>
      </c>
      <c r="C123" s="285">
        <v>146271891</v>
      </c>
      <c r="D123" s="286">
        <f t="shared" si="16"/>
        <v>0.53000000096395827</v>
      </c>
      <c r="E123" s="286">
        <f t="shared" si="16"/>
        <v>0.46999999903604173</v>
      </c>
      <c r="F123" s="287">
        <f t="shared" si="17"/>
        <v>311216790</v>
      </c>
      <c r="G123" s="286">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570</v>
      </c>
      <c r="S123" t="s">
        <v>568</v>
      </c>
      <c r="T123" t="s">
        <v>391</v>
      </c>
      <c r="U123" t="s">
        <v>569</v>
      </c>
      <c r="V123" s="290">
        <v>3.9397774139999999</v>
      </c>
    </row>
    <row r="124" spans="1:22" x14ac:dyDescent="0.25">
      <c r="A124" s="284">
        <v>2005</v>
      </c>
      <c r="B124" s="285">
        <v>166040627</v>
      </c>
      <c r="C124" s="285">
        <v>147243575</v>
      </c>
      <c r="D124" s="286">
        <f t="shared" si="16"/>
        <v>0.52999999980848056</v>
      </c>
      <c r="E124" s="286">
        <f t="shared" si="16"/>
        <v>0.47000000019151938</v>
      </c>
      <c r="F124" s="287">
        <f t="shared" si="17"/>
        <v>313284202</v>
      </c>
      <c r="G124" s="286">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567</v>
      </c>
      <c r="S124" t="s">
        <v>571</v>
      </c>
      <c r="T124" t="s">
        <v>390</v>
      </c>
      <c r="U124" t="s">
        <v>572</v>
      </c>
      <c r="V124" s="290">
        <v>61.268799900000005</v>
      </c>
    </row>
    <row r="125" spans="1:22" x14ac:dyDescent="0.25">
      <c r="A125" s="284">
        <v>2006</v>
      </c>
      <c r="B125" s="285">
        <v>165935025</v>
      </c>
      <c r="C125" s="285">
        <v>147149928</v>
      </c>
      <c r="D125" s="286">
        <f t="shared" si="16"/>
        <v>0.52999999971253808</v>
      </c>
      <c r="E125" s="286">
        <f t="shared" si="16"/>
        <v>0.47000000028746192</v>
      </c>
      <c r="F125" s="287">
        <f t="shared" si="17"/>
        <v>313084953</v>
      </c>
      <c r="G125" s="286">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570</v>
      </c>
      <c r="S125" t="s">
        <v>571</v>
      </c>
      <c r="T125" t="s">
        <v>390</v>
      </c>
      <c r="U125" t="s">
        <v>572</v>
      </c>
      <c r="V125" s="290">
        <v>14.322576600000001</v>
      </c>
    </row>
    <row r="126" spans="1:22" x14ac:dyDescent="0.25">
      <c r="A126" s="284">
        <v>2007</v>
      </c>
      <c r="B126" s="285">
        <v>167855716</v>
      </c>
      <c r="C126" s="285">
        <v>148853182</v>
      </c>
      <c r="D126" s="286">
        <f t="shared" si="16"/>
        <v>0.53000000018944837</v>
      </c>
      <c r="E126" s="286">
        <f t="shared" si="16"/>
        <v>0.46999999981055157</v>
      </c>
      <c r="F126" s="287">
        <f t="shared" si="17"/>
        <v>316708898</v>
      </c>
      <c r="G126" s="286">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84">
        <v>2008</v>
      </c>
      <c r="B127" s="285">
        <v>170937442</v>
      </c>
      <c r="C127" s="285">
        <v>151586034</v>
      </c>
      <c r="D127" s="286">
        <f t="shared" si="16"/>
        <v>0.52999999913184614</v>
      </c>
      <c r="E127" s="286">
        <f t="shared" si="16"/>
        <v>0.47000000086815386</v>
      </c>
      <c r="F127" s="287">
        <f t="shared" si="17"/>
        <v>322523476</v>
      </c>
      <c r="G127" s="286">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573</v>
      </c>
      <c r="U127" t="s">
        <v>574</v>
      </c>
      <c r="V127">
        <f>SUM(V122:V123)</f>
        <v>20.793269684999999</v>
      </c>
    </row>
    <row r="128" spans="1:22" x14ac:dyDescent="0.25">
      <c r="A128" s="284">
        <v>2009</v>
      </c>
      <c r="B128" s="285">
        <v>169791125</v>
      </c>
      <c r="C128" s="285">
        <v>150569488</v>
      </c>
      <c r="D128" s="286">
        <f t="shared" si="16"/>
        <v>0.53000000034336303</v>
      </c>
      <c r="E128" s="286">
        <f t="shared" si="16"/>
        <v>0.46999999965663697</v>
      </c>
      <c r="F128" s="287">
        <f t="shared" si="17"/>
        <v>320360613</v>
      </c>
      <c r="G128" s="286">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575</v>
      </c>
      <c r="U128" t="s">
        <v>574</v>
      </c>
      <c r="V128">
        <f>SUM(V123:V124)</f>
        <v>65.20857731400001</v>
      </c>
    </row>
    <row r="129" spans="1:22" ht="15.75" thickBot="1" x14ac:dyDescent="0.3">
      <c r="A129" s="291">
        <v>2010</v>
      </c>
      <c r="B129" s="292">
        <v>172502123</v>
      </c>
      <c r="C129" s="292">
        <v>152973581</v>
      </c>
      <c r="D129" s="293">
        <f t="shared" si="16"/>
        <v>0.52999999963130884</v>
      </c>
      <c r="E129" s="293">
        <f t="shared" si="16"/>
        <v>0.47000000036869111</v>
      </c>
      <c r="F129" s="294">
        <f t="shared" si="17"/>
        <v>325475704</v>
      </c>
      <c r="G129" s="293">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576</v>
      </c>
      <c r="M130" s="21">
        <f>SUM(M119:M129)/11</f>
        <v>3.3705740480575387E-3</v>
      </c>
      <c r="N130" s="21">
        <f>SUM(N119:N129)/11</f>
        <v>1.1325309940408588E-2</v>
      </c>
      <c r="P130" s="295">
        <f>M130*0.1</f>
        <v>3.3705740480575389E-4</v>
      </c>
      <c r="Q130">
        <f>N130*0.1</f>
        <v>1.1325309940408588E-3</v>
      </c>
      <c r="R130" t="s">
        <v>391</v>
      </c>
      <c r="U130" t="s">
        <v>577</v>
      </c>
      <c r="V130" s="296">
        <f>V127/V121</f>
        <v>8.2037515451125517E-2</v>
      </c>
    </row>
    <row r="131" spans="1:22" x14ac:dyDescent="0.25">
      <c r="C131" t="s">
        <v>578</v>
      </c>
      <c r="D131" t="s">
        <v>578</v>
      </c>
      <c r="R131" t="s">
        <v>390</v>
      </c>
      <c r="U131" t="s">
        <v>577</v>
      </c>
      <c r="V131" s="296">
        <f>V128/V121</f>
        <v>0.25727313452786532</v>
      </c>
    </row>
    <row r="132" spans="1:22" x14ac:dyDescent="0.25">
      <c r="C132" s="297" t="s">
        <v>579</v>
      </c>
      <c r="D132" t="s">
        <v>580</v>
      </c>
      <c r="E132" s="297" t="s">
        <v>581</v>
      </c>
      <c r="F132" s="298" t="s">
        <v>582</v>
      </c>
      <c r="G132" t="s">
        <v>583</v>
      </c>
      <c r="H132" t="s">
        <v>584</v>
      </c>
      <c r="I132" t="s">
        <v>553</v>
      </c>
      <c r="J132" t="s">
        <v>585</v>
      </c>
      <c r="K132" s="298" t="s">
        <v>586</v>
      </c>
      <c r="L132" t="s">
        <v>587</v>
      </c>
    </row>
    <row r="133" spans="1:22" x14ac:dyDescent="0.25">
      <c r="B133" s="299">
        <v>2000</v>
      </c>
      <c r="C133" s="297">
        <v>325</v>
      </c>
      <c r="D133">
        <f>C133</f>
        <v>325</v>
      </c>
      <c r="E133" s="300">
        <f>[10]Waste!C27/1000</f>
        <v>10.54681185447652</v>
      </c>
      <c r="F133" s="298">
        <v>39532</v>
      </c>
      <c r="G133">
        <f>F133/1000</f>
        <v>39.531999999999996</v>
      </c>
      <c r="H133">
        <f t="shared" ref="H133:H143" si="24">D133/G133</f>
        <v>8.2211878984114151</v>
      </c>
      <c r="I133">
        <f>E133/G133</f>
        <v>0.2667917599533674</v>
      </c>
      <c r="J133" s="93">
        <f>C133-E133</f>
        <v>314.45318814552348</v>
      </c>
      <c r="K133" s="298">
        <f>(J133/25)/G133</f>
        <v>0.31817584553832184</v>
      </c>
      <c r="L133" s="301">
        <f>K133/$V$7</f>
        <v>1.744850882864514E-2</v>
      </c>
      <c r="R133" t="s">
        <v>588</v>
      </c>
    </row>
    <row r="134" spans="1:22" x14ac:dyDescent="0.25">
      <c r="B134" s="302">
        <v>2001</v>
      </c>
      <c r="C134" s="303">
        <v>250</v>
      </c>
      <c r="D134">
        <f t="shared" ref="D134:D143" si="25">C134</f>
        <v>250</v>
      </c>
      <c r="E134" s="300">
        <f>[10]Waste!D27/1000</f>
        <v>16.645231075663826</v>
      </c>
      <c r="F134" s="298">
        <v>41241</v>
      </c>
      <c r="G134">
        <f t="shared" ref="G134:G143" si="26">F134/1000</f>
        <v>41.241</v>
      </c>
      <c r="H134">
        <f t="shared" si="24"/>
        <v>6.0619286632234912</v>
      </c>
      <c r="I134">
        <f t="shared" ref="I134:I142" si="27">E134/G134</f>
        <v>0.40360881345417976</v>
      </c>
      <c r="J134" s="93">
        <f t="shared" ref="J134:J143" si="28">C134-E134</f>
        <v>233.35476892433618</v>
      </c>
      <c r="K134" s="298">
        <f t="shared" ref="K134:K142" si="29">(J134/25)/G134</f>
        <v>0.22633279399077247</v>
      </c>
      <c r="L134" s="301">
        <f t="shared" ref="L134:L143" si="30">K134/$V$7</f>
        <v>1.2411909356218769E-2</v>
      </c>
      <c r="P134">
        <f>N130*0.18/0.77</f>
        <v>2.6474750510046049E-3</v>
      </c>
      <c r="Q134">
        <f>0.1*P134</f>
        <v>2.647475051004605E-4</v>
      </c>
      <c r="R134" t="s">
        <v>589</v>
      </c>
      <c r="U134" t="s">
        <v>590</v>
      </c>
      <c r="V134">
        <v>21</v>
      </c>
    </row>
    <row r="135" spans="1:22" x14ac:dyDescent="0.25">
      <c r="B135" s="299">
        <v>2002</v>
      </c>
      <c r="C135" s="303">
        <v>196</v>
      </c>
      <c r="D135">
        <f t="shared" si="25"/>
        <v>196</v>
      </c>
      <c r="E135" s="300">
        <f>[10]Waste!E27/1000</f>
        <v>12.310313736182735</v>
      </c>
      <c r="F135" s="298">
        <v>43048</v>
      </c>
      <c r="G135">
        <f t="shared" si="26"/>
        <v>43.048000000000002</v>
      </c>
      <c r="H135">
        <f t="shared" si="24"/>
        <v>4.5530570525924547</v>
      </c>
      <c r="I135">
        <f t="shared" si="27"/>
        <v>0.28596714681710494</v>
      </c>
      <c r="J135" s="93">
        <f t="shared" si="28"/>
        <v>183.68968626381726</v>
      </c>
      <c r="K135" s="298">
        <f t="shared" si="29"/>
        <v>0.17068359623101401</v>
      </c>
      <c r="L135" s="301">
        <f t="shared" si="30"/>
        <v>9.3601518704318227E-3</v>
      </c>
      <c r="R135" t="s">
        <v>391</v>
      </c>
      <c r="U135" t="s">
        <v>469</v>
      </c>
      <c r="V135" s="296">
        <f>V130/$V$134</f>
        <v>3.9065483548155009E-3</v>
      </c>
    </row>
    <row r="136" spans="1:22" x14ac:dyDescent="0.25">
      <c r="B136" s="302">
        <v>2003</v>
      </c>
      <c r="C136" s="303">
        <v>1065</v>
      </c>
      <c r="D136">
        <f t="shared" si="25"/>
        <v>1065</v>
      </c>
      <c r="E136" s="300">
        <f>[10]Waste!F27/1000</f>
        <v>15.548949778252988</v>
      </c>
      <c r="F136" s="298">
        <v>48749</v>
      </c>
      <c r="G136">
        <f t="shared" si="26"/>
        <v>48.749000000000002</v>
      </c>
      <c r="H136">
        <f t="shared" si="24"/>
        <v>21.846601981579109</v>
      </c>
      <c r="I136">
        <f t="shared" si="27"/>
        <v>0.31895935872024017</v>
      </c>
      <c r="J136" s="93">
        <f t="shared" si="28"/>
        <v>1049.451050221747</v>
      </c>
      <c r="K136" s="298">
        <f t="shared" si="29"/>
        <v>0.86110570491435467</v>
      </c>
      <c r="L136" s="301">
        <f t="shared" si="30"/>
        <v>4.7222347972939276E-2</v>
      </c>
      <c r="R136" t="s">
        <v>390</v>
      </c>
      <c r="U136" t="s">
        <v>469</v>
      </c>
      <c r="V136" s="296">
        <f>V131/$V$134</f>
        <v>1.2251101644184062E-2</v>
      </c>
    </row>
    <row r="137" spans="1:22" x14ac:dyDescent="0.25">
      <c r="B137" s="299">
        <v>2004</v>
      </c>
      <c r="C137" s="303">
        <v>254</v>
      </c>
      <c r="D137">
        <f t="shared" si="25"/>
        <v>254</v>
      </c>
      <c r="E137" s="300">
        <f>[10]Waste!G27/1000</f>
        <v>18.187467351589461</v>
      </c>
      <c r="F137" s="298">
        <v>50361</v>
      </c>
      <c r="G137">
        <f t="shared" si="26"/>
        <v>50.360999999999997</v>
      </c>
      <c r="H137">
        <f t="shared" si="24"/>
        <v>5.0435853140326845</v>
      </c>
      <c r="I137">
        <f t="shared" si="27"/>
        <v>0.36114190249576977</v>
      </c>
      <c r="J137" s="93">
        <f t="shared" si="28"/>
        <v>235.81253264841052</v>
      </c>
      <c r="K137" s="298">
        <f t="shared" si="29"/>
        <v>0.18729773646147657</v>
      </c>
      <c r="L137" s="301">
        <f t="shared" si="30"/>
        <v>1.0271258029358205E-2</v>
      </c>
    </row>
    <row r="138" spans="1:22" x14ac:dyDescent="0.25">
      <c r="B138" s="302">
        <v>2005</v>
      </c>
      <c r="C138" s="303">
        <v>266</v>
      </c>
      <c r="D138">
        <f t="shared" si="25"/>
        <v>266</v>
      </c>
      <c r="E138" s="300">
        <f>[10]Waste!H27/1000</f>
        <v>16.549473367982134</v>
      </c>
      <c r="F138" s="298">
        <v>53165.84</v>
      </c>
      <c r="G138">
        <f t="shared" si="26"/>
        <v>53.165839999999996</v>
      </c>
      <c r="H138">
        <f t="shared" si="24"/>
        <v>5.0032125891361829</v>
      </c>
      <c r="I138">
        <f t="shared" si="27"/>
        <v>0.31128020112128646</v>
      </c>
      <c r="J138" s="93">
        <f t="shared" si="28"/>
        <v>249.45052663201787</v>
      </c>
      <c r="K138" s="298">
        <f t="shared" si="29"/>
        <v>0.18767729552059584</v>
      </c>
      <c r="L138" s="301">
        <f t="shared" si="30"/>
        <v>1.0292072744513058E-2</v>
      </c>
      <c r="R138" t="s">
        <v>591</v>
      </c>
    </row>
    <row r="139" spans="1:22" x14ac:dyDescent="0.25">
      <c r="B139" s="299">
        <v>2006</v>
      </c>
      <c r="C139" s="303">
        <v>291</v>
      </c>
      <c r="D139">
        <f t="shared" si="25"/>
        <v>291</v>
      </c>
      <c r="E139" s="300">
        <f>[10]Waste!I27/1000</f>
        <v>16.669792311073191</v>
      </c>
      <c r="F139" s="298">
        <v>56037.84</v>
      </c>
      <c r="G139" s="21">
        <f t="shared" si="26"/>
        <v>56.037839999999996</v>
      </c>
      <c r="H139">
        <f t="shared" si="24"/>
        <v>5.1929196414422831</v>
      </c>
      <c r="I139">
        <f t="shared" si="27"/>
        <v>0.29747385536403959</v>
      </c>
      <c r="J139" s="93">
        <f t="shared" si="28"/>
        <v>274.33020768892681</v>
      </c>
      <c r="K139" s="298">
        <f t="shared" si="29"/>
        <v>0.19581783144312975</v>
      </c>
      <c r="L139" s="301">
        <f t="shared" si="30"/>
        <v>1.073849322207608E-2</v>
      </c>
      <c r="R139" t="s">
        <v>589</v>
      </c>
      <c r="U139" t="s">
        <v>590</v>
      </c>
      <c r="V139">
        <v>24</v>
      </c>
    </row>
    <row r="140" spans="1:22" x14ac:dyDescent="0.25">
      <c r="B140" s="302">
        <v>2007</v>
      </c>
      <c r="C140" s="303">
        <v>325</v>
      </c>
      <c r="D140">
        <f t="shared" si="25"/>
        <v>325</v>
      </c>
      <c r="E140" s="300">
        <f>[10]Waste!J27/1000</f>
        <v>17.474810903103542</v>
      </c>
      <c r="F140" s="298">
        <v>58908.41</v>
      </c>
      <c r="G140">
        <f t="shared" si="26"/>
        <v>58.908410000000003</v>
      </c>
      <c r="H140">
        <f t="shared" si="24"/>
        <v>5.5170390781214431</v>
      </c>
      <c r="I140">
        <f t="shared" si="27"/>
        <v>0.296643737339092</v>
      </c>
      <c r="J140" s="93">
        <f t="shared" si="28"/>
        <v>307.52518909689644</v>
      </c>
      <c r="K140" s="298">
        <f t="shared" si="29"/>
        <v>0.20881581363129403</v>
      </c>
      <c r="L140" s="301">
        <f t="shared" si="30"/>
        <v>1.1451292166889259E-2</v>
      </c>
      <c r="R140" t="s">
        <v>391</v>
      </c>
      <c r="U140" t="s">
        <v>469</v>
      </c>
      <c r="V140" s="296">
        <f>V130/$V$139</f>
        <v>3.4182298104635631E-3</v>
      </c>
    </row>
    <row r="141" spans="1:22" x14ac:dyDescent="0.25">
      <c r="B141" s="299">
        <v>2008</v>
      </c>
      <c r="C141" s="303">
        <v>228</v>
      </c>
      <c r="D141">
        <f t="shared" si="25"/>
        <v>228</v>
      </c>
      <c r="E141" s="300">
        <f>[10]Waste!K27/1000</f>
        <v>19.423791484319981</v>
      </c>
      <c r="F141" s="298">
        <v>61777.55</v>
      </c>
      <c r="G141">
        <f t="shared" si="26"/>
        <v>61.777550000000005</v>
      </c>
      <c r="H141">
        <f t="shared" si="24"/>
        <v>3.6906610896676866</v>
      </c>
      <c r="I141">
        <f t="shared" si="27"/>
        <v>0.31441505019736099</v>
      </c>
      <c r="J141" s="93">
        <f t="shared" si="28"/>
        <v>208.57620851568001</v>
      </c>
      <c r="K141" s="298">
        <f t="shared" si="29"/>
        <v>0.13504984157881303</v>
      </c>
      <c r="L141" s="301">
        <f t="shared" si="30"/>
        <v>7.4060252723088431E-3</v>
      </c>
      <c r="R141" t="s">
        <v>487</v>
      </c>
      <c r="U141" t="s">
        <v>469</v>
      </c>
      <c r="V141" s="296">
        <f>V131/$V$139</f>
        <v>1.0719713938661056E-2</v>
      </c>
    </row>
    <row r="142" spans="1:22" x14ac:dyDescent="0.25">
      <c r="B142" s="302">
        <v>2009</v>
      </c>
      <c r="C142" s="303">
        <v>237</v>
      </c>
      <c r="D142">
        <f t="shared" si="25"/>
        <v>237</v>
      </c>
      <c r="E142" s="300">
        <f>[10]Waste!L27/1000</f>
        <v>43.946996690999761</v>
      </c>
      <c r="F142" s="298">
        <v>64645.26</v>
      </c>
      <c r="G142">
        <f t="shared" si="26"/>
        <v>64.645260000000007</v>
      </c>
      <c r="H142">
        <f t="shared" si="24"/>
        <v>3.6661620666387602</v>
      </c>
      <c r="I142">
        <f t="shared" si="27"/>
        <v>0.679817773043217</v>
      </c>
      <c r="J142" s="93">
        <f t="shared" si="28"/>
        <v>193.05300330900025</v>
      </c>
      <c r="K142" s="298">
        <f t="shared" si="29"/>
        <v>0.11945377174382173</v>
      </c>
      <c r="L142" s="301">
        <f t="shared" si="30"/>
        <v>6.5507492794137879E-3</v>
      </c>
    </row>
    <row r="143" spans="1:22" x14ac:dyDescent="0.25">
      <c r="B143" s="299">
        <v>2010</v>
      </c>
      <c r="C143" s="303">
        <v>619</v>
      </c>
      <c r="D143">
        <f t="shared" si="25"/>
        <v>619</v>
      </c>
      <c r="E143" s="297"/>
      <c r="F143" s="298">
        <v>68405.919656963932</v>
      </c>
      <c r="G143">
        <f t="shared" si="26"/>
        <v>68.405919656963931</v>
      </c>
      <c r="H143">
        <f t="shared" si="24"/>
        <v>9.0489244659542258</v>
      </c>
      <c r="J143" s="93">
        <f t="shared" si="28"/>
        <v>619</v>
      </c>
      <c r="K143" s="298">
        <f>(J143/25)/G143</f>
        <v>0.36195697863816906</v>
      </c>
      <c r="L143" s="301">
        <f t="shared" si="30"/>
        <v>1.984943114293428E-2</v>
      </c>
    </row>
    <row r="144" spans="1:22" x14ac:dyDescent="0.25">
      <c r="B144" s="138" t="s">
        <v>592</v>
      </c>
      <c r="C144" s="270">
        <f t="shared" ref="C144:K144" si="31">AVERAGE(C133:C143)</f>
        <v>368.72727272727275</v>
      </c>
      <c r="D144" s="270">
        <f t="shared" si="31"/>
        <v>368.72727272727275</v>
      </c>
      <c r="E144" s="270">
        <f t="shared" si="31"/>
        <v>18.730363855364413</v>
      </c>
      <c r="F144" s="270">
        <f t="shared" si="31"/>
        <v>53261.07451426945</v>
      </c>
      <c r="G144" s="270">
        <f t="shared" si="31"/>
        <v>53.261074514269446</v>
      </c>
      <c r="H144" s="270">
        <f t="shared" si="31"/>
        <v>7.0768436218908848</v>
      </c>
      <c r="I144" s="304">
        <f t="shared" si="31"/>
        <v>0.35360995985056581</v>
      </c>
      <c r="J144" s="270">
        <f t="shared" si="31"/>
        <v>351.69966922239598</v>
      </c>
      <c r="K144" s="304">
        <f t="shared" si="31"/>
        <v>0.27021520088106932</v>
      </c>
    </row>
  </sheetData>
  <mergeCells count="26">
    <mergeCell ref="A107:A108"/>
    <mergeCell ref="C107:C110"/>
    <mergeCell ref="A109:A110"/>
    <mergeCell ref="U32:U34"/>
    <mergeCell ref="V32:V34"/>
    <mergeCell ref="L46:L48"/>
    <mergeCell ref="D79:E79"/>
    <mergeCell ref="A103:A104"/>
    <mergeCell ref="C103:C106"/>
    <mergeCell ref="A105:A106"/>
    <mergeCell ref="W32:W34"/>
    <mergeCell ref="H33:I33"/>
    <mergeCell ref="L36:L41"/>
    <mergeCell ref="L42:L45"/>
    <mergeCell ref="H31:I31"/>
    <mergeCell ref="L32:L34"/>
    <mergeCell ref="M32:M34"/>
    <mergeCell ref="R32:R34"/>
    <mergeCell ref="S32:S34"/>
    <mergeCell ref="T32:T34"/>
    <mergeCell ref="AC25:AE25"/>
    <mergeCell ref="AC6:AE6"/>
    <mergeCell ref="A7:A8"/>
    <mergeCell ref="B7:B8"/>
    <mergeCell ref="C7:E8"/>
    <mergeCell ref="F7:F8"/>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tabColor theme="8"/>
  </sheetPr>
  <dimension ref="A1:BB96"/>
  <sheetViews>
    <sheetView workbookViewId="0">
      <selection activeCell="B33" sqref="B33:B34"/>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4" ht="18" thickBot="1" x14ac:dyDescent="0.35">
      <c r="A1" s="305"/>
      <c r="B1" s="181" t="s">
        <v>593</v>
      </c>
      <c r="C1" s="181"/>
      <c r="D1" s="181"/>
      <c r="E1" s="181"/>
    </row>
    <row r="2" spans="1:14" ht="15.75" thickTop="1" x14ac:dyDescent="0.25"/>
    <row r="5" spans="1:14" x14ac:dyDescent="0.25">
      <c r="B5" s="310" t="s">
        <v>594</v>
      </c>
    </row>
    <row r="6" spans="1:14" x14ac:dyDescent="0.25">
      <c r="B6" s="310" t="s">
        <v>595</v>
      </c>
      <c r="C6" t="s">
        <v>137</v>
      </c>
      <c r="D6" t="s">
        <v>138</v>
      </c>
      <c r="E6" t="s">
        <v>139</v>
      </c>
      <c r="F6" t="s">
        <v>596</v>
      </c>
      <c r="G6" t="s">
        <v>597</v>
      </c>
    </row>
    <row r="7" spans="1:14" x14ac:dyDescent="0.25">
      <c r="B7" t="s">
        <v>598</v>
      </c>
      <c r="C7">
        <v>1</v>
      </c>
      <c r="D7">
        <v>28</v>
      </c>
      <c r="E7">
        <v>265</v>
      </c>
      <c r="F7">
        <v>6630</v>
      </c>
      <c r="G7">
        <v>11000</v>
      </c>
    </row>
    <row r="9" spans="1:14" x14ac:dyDescent="0.25">
      <c r="B9" s="310" t="s">
        <v>594</v>
      </c>
      <c r="C9" s="26" t="s">
        <v>599</v>
      </c>
      <c r="J9" s="26" t="s">
        <v>600</v>
      </c>
      <c r="K9" s="26" t="s">
        <v>601</v>
      </c>
    </row>
    <row r="10" spans="1:14" x14ac:dyDescent="0.25">
      <c r="B10" s="310" t="s">
        <v>595</v>
      </c>
      <c r="C10" t="s">
        <v>602</v>
      </c>
      <c r="D10" t="s">
        <v>603</v>
      </c>
      <c r="E10" t="s">
        <v>604</v>
      </c>
      <c r="F10" t="s">
        <v>605</v>
      </c>
      <c r="G10" t="s">
        <v>606</v>
      </c>
      <c r="H10" t="s">
        <v>607</v>
      </c>
      <c r="I10" t="s">
        <v>608</v>
      </c>
      <c r="J10" t="s">
        <v>609</v>
      </c>
      <c r="K10" t="s">
        <v>610</v>
      </c>
      <c r="L10" t="s">
        <v>611</v>
      </c>
      <c r="M10" t="s">
        <v>612</v>
      </c>
      <c r="N10" t="s">
        <v>613</v>
      </c>
    </row>
    <row r="11" spans="1:14" x14ac:dyDescent="0.25">
      <c r="B11" t="s">
        <v>137</v>
      </c>
      <c r="C11">
        <v>1</v>
      </c>
      <c r="D11">
        <v>1</v>
      </c>
      <c r="E11">
        <v>1</v>
      </c>
      <c r="F11">
        <v>1</v>
      </c>
      <c r="G11">
        <v>1</v>
      </c>
      <c r="H11">
        <v>1</v>
      </c>
      <c r="I11">
        <v>1</v>
      </c>
      <c r="J11">
        <v>1</v>
      </c>
      <c r="K11">
        <v>1</v>
      </c>
      <c r="L11">
        <v>1</v>
      </c>
      <c r="M11">
        <v>1</v>
      </c>
      <c r="N11">
        <v>1</v>
      </c>
    </row>
    <row r="13" spans="1:14" x14ac:dyDescent="0.25">
      <c r="B13" s="310" t="s">
        <v>594</v>
      </c>
      <c r="J13" t="s">
        <v>600</v>
      </c>
    </row>
    <row r="14" spans="1:14" x14ac:dyDescent="0.25">
      <c r="B14" s="310" t="s">
        <v>595</v>
      </c>
      <c r="C14" t="s">
        <v>614</v>
      </c>
      <c r="D14" t="s">
        <v>615</v>
      </c>
      <c r="E14" t="s">
        <v>616</v>
      </c>
      <c r="F14" t="s">
        <v>617</v>
      </c>
      <c r="G14" t="s">
        <v>618</v>
      </c>
      <c r="H14" t="s">
        <v>619</v>
      </c>
      <c r="I14" t="s">
        <v>620</v>
      </c>
      <c r="J14" t="s">
        <v>621</v>
      </c>
    </row>
    <row r="15" spans="1:14" x14ac:dyDescent="0.25">
      <c r="B15" t="s">
        <v>138</v>
      </c>
      <c r="C15">
        <v>1</v>
      </c>
      <c r="D15">
        <v>1</v>
      </c>
      <c r="E15">
        <v>1</v>
      </c>
      <c r="F15">
        <v>1</v>
      </c>
      <c r="G15">
        <v>1</v>
      </c>
      <c r="H15">
        <v>1</v>
      </c>
      <c r="I15">
        <v>1</v>
      </c>
      <c r="J15">
        <v>28</v>
      </c>
    </row>
    <row r="17" spans="2:9" x14ac:dyDescent="0.25">
      <c r="B17" s="310" t="s">
        <v>594</v>
      </c>
    </row>
    <row r="18" spans="2:9" x14ac:dyDescent="0.25">
      <c r="B18" s="310" t="s">
        <v>595</v>
      </c>
      <c r="C18" t="s">
        <v>622</v>
      </c>
      <c r="D18" t="s">
        <v>623</v>
      </c>
      <c r="E18" t="s">
        <v>624</v>
      </c>
      <c r="F18" t="s">
        <v>625</v>
      </c>
      <c r="G18" t="s">
        <v>626</v>
      </c>
      <c r="H18" t="s">
        <v>627</v>
      </c>
      <c r="I18" t="s">
        <v>628</v>
      </c>
    </row>
    <row r="19" spans="2:9" x14ac:dyDescent="0.25">
      <c r="B19" t="s">
        <v>139</v>
      </c>
      <c r="C19">
        <v>1</v>
      </c>
      <c r="D19">
        <v>1</v>
      </c>
      <c r="E19">
        <v>1</v>
      </c>
      <c r="F19">
        <v>1</v>
      </c>
      <c r="G19">
        <v>1</v>
      </c>
      <c r="H19">
        <v>1</v>
      </c>
      <c r="I19">
        <v>1</v>
      </c>
    </row>
    <row r="21" spans="2:9" x14ac:dyDescent="0.25">
      <c r="B21" s="310" t="s">
        <v>594</v>
      </c>
    </row>
    <row r="22" spans="2:9" x14ac:dyDescent="0.25">
      <c r="B22" s="310" t="s">
        <v>595</v>
      </c>
      <c r="C22" t="s">
        <v>629</v>
      </c>
      <c r="D22" t="s">
        <v>630</v>
      </c>
      <c r="E22" t="s">
        <v>631</v>
      </c>
      <c r="F22" t="s">
        <v>632</v>
      </c>
      <c r="G22" t="s">
        <v>633</v>
      </c>
      <c r="H22" t="s">
        <v>634</v>
      </c>
      <c r="I22" t="s">
        <v>635</v>
      </c>
    </row>
    <row r="23" spans="2:9" x14ac:dyDescent="0.25">
      <c r="B23" t="s">
        <v>140</v>
      </c>
      <c r="C23">
        <v>1</v>
      </c>
      <c r="D23">
        <v>1</v>
      </c>
      <c r="E23">
        <v>1</v>
      </c>
      <c r="F23">
        <v>1</v>
      </c>
      <c r="G23">
        <v>1</v>
      </c>
      <c r="H23">
        <v>1</v>
      </c>
      <c r="I23">
        <v>1</v>
      </c>
    </row>
    <row r="25" spans="2:9" x14ac:dyDescent="0.25">
      <c r="B25" s="310" t="s">
        <v>594</v>
      </c>
    </row>
    <row r="26" spans="2:9" x14ac:dyDescent="0.25">
      <c r="B26" s="310" t="s">
        <v>595</v>
      </c>
      <c r="C26" t="s">
        <v>636</v>
      </c>
      <c r="D26" t="s">
        <v>637</v>
      </c>
      <c r="E26" t="s">
        <v>638</v>
      </c>
      <c r="F26" t="s">
        <v>639</v>
      </c>
      <c r="G26" t="s">
        <v>640</v>
      </c>
      <c r="H26" t="s">
        <v>641</v>
      </c>
      <c r="I26" t="s">
        <v>642</v>
      </c>
    </row>
    <row r="27" spans="2:9" x14ac:dyDescent="0.25">
      <c r="B27" t="s">
        <v>141</v>
      </c>
      <c r="C27">
        <v>1</v>
      </c>
      <c r="D27">
        <v>1</v>
      </c>
      <c r="E27">
        <v>1</v>
      </c>
      <c r="F27">
        <v>1</v>
      </c>
      <c r="G27">
        <v>1</v>
      </c>
      <c r="H27">
        <v>1</v>
      </c>
      <c r="I27">
        <v>1</v>
      </c>
    </row>
    <row r="29" spans="2:9" x14ac:dyDescent="0.25">
      <c r="B29" s="310" t="s">
        <v>594</v>
      </c>
    </row>
    <row r="30" spans="2:9" x14ac:dyDescent="0.25">
      <c r="B30" s="310" t="s">
        <v>595</v>
      </c>
      <c r="C30" t="s">
        <v>643</v>
      </c>
      <c r="D30" t="s">
        <v>644</v>
      </c>
      <c r="E30" t="s">
        <v>645</v>
      </c>
      <c r="F30" t="s">
        <v>646</v>
      </c>
      <c r="G30" t="s">
        <v>647</v>
      </c>
      <c r="H30" t="s">
        <v>648</v>
      </c>
      <c r="I30" t="s">
        <v>649</v>
      </c>
    </row>
    <row r="31" spans="2:9" x14ac:dyDescent="0.25">
      <c r="B31" t="s">
        <v>142</v>
      </c>
      <c r="C31">
        <v>1</v>
      </c>
      <c r="D31">
        <v>1</v>
      </c>
      <c r="E31">
        <v>1</v>
      </c>
      <c r="F31">
        <v>1</v>
      </c>
      <c r="G31">
        <v>1</v>
      </c>
      <c r="H31">
        <v>1</v>
      </c>
      <c r="I31">
        <v>1</v>
      </c>
    </row>
    <row r="33" spans="2:54" x14ac:dyDescent="0.25">
      <c r="B33" s="310" t="s">
        <v>594</v>
      </c>
    </row>
    <row r="34" spans="2:54" x14ac:dyDescent="0.25">
      <c r="B34" s="310" t="s">
        <v>595</v>
      </c>
      <c r="C34" t="s">
        <v>650</v>
      </c>
      <c r="D34" t="s">
        <v>651</v>
      </c>
      <c r="E34" t="s">
        <v>652</v>
      </c>
      <c r="F34" t="s">
        <v>653</v>
      </c>
      <c r="G34" t="s">
        <v>654</v>
      </c>
      <c r="H34" t="s">
        <v>655</v>
      </c>
      <c r="I34" t="s">
        <v>656</v>
      </c>
    </row>
    <row r="35" spans="2:54" x14ac:dyDescent="0.25">
      <c r="B35" t="s">
        <v>143</v>
      </c>
      <c r="C35">
        <v>1</v>
      </c>
      <c r="D35">
        <v>1</v>
      </c>
      <c r="E35">
        <v>1</v>
      </c>
      <c r="F35">
        <v>1</v>
      </c>
      <c r="G35">
        <v>1</v>
      </c>
      <c r="H35">
        <v>1</v>
      </c>
      <c r="I35">
        <v>1</v>
      </c>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tabColor theme="8"/>
  </sheetPr>
  <dimension ref="A1:AE110"/>
  <sheetViews>
    <sheetView workbookViewId="0">
      <selection activeCell="Y21" sqref="Y21"/>
    </sheetView>
  </sheetViews>
  <sheetFormatPr defaultColWidth="11.42578125" defaultRowHeight="11.25" x14ac:dyDescent="0.2"/>
  <cols>
    <col min="1" max="4" width="11.42578125" style="182" customWidth="1"/>
    <col min="5" max="5" width="22.140625" style="182" customWidth="1"/>
    <col min="6" max="8" width="11.42578125" style="182" customWidth="1"/>
    <col min="9" max="10" width="5" style="182" customWidth="1"/>
    <col min="11" max="11" width="12" style="182" customWidth="1"/>
    <col min="12" max="12" width="44.7109375" style="182" customWidth="1"/>
    <col min="13" max="13" width="11.42578125" style="182" customWidth="1"/>
    <col min="14" max="14" width="17.28515625" style="182" customWidth="1"/>
    <col min="15" max="16384" width="11.42578125" style="182"/>
  </cols>
  <sheetData>
    <row r="1" spans="1:27" x14ac:dyDescent="0.2">
      <c r="A1" s="306"/>
      <c r="B1" s="306"/>
      <c r="C1" s="306"/>
      <c r="D1" s="306"/>
      <c r="E1" s="306"/>
      <c r="F1" s="306"/>
      <c r="G1" s="306"/>
      <c r="H1" s="306"/>
      <c r="I1" s="306"/>
      <c r="J1" s="306"/>
      <c r="K1" s="183"/>
      <c r="L1" s="183"/>
      <c r="M1" s="183"/>
      <c r="N1" s="183"/>
      <c r="O1" s="183"/>
      <c r="P1" s="183"/>
      <c r="Q1" s="183"/>
    </row>
    <row r="2" spans="1:27" ht="18" thickBot="1" x14ac:dyDescent="0.35">
      <c r="A2" s="183"/>
      <c r="B2" s="181" t="s">
        <v>657</v>
      </c>
      <c r="C2" s="181"/>
      <c r="F2" s="183"/>
      <c r="G2" s="183"/>
      <c r="H2" s="183"/>
      <c r="I2" s="183"/>
      <c r="J2" s="183"/>
      <c r="M2" s="183"/>
      <c r="N2" s="183"/>
      <c r="O2" s="183"/>
      <c r="P2" s="183"/>
      <c r="Q2" s="183"/>
    </row>
    <row r="3" spans="1:27" ht="12" thickTop="1" x14ac:dyDescent="0.2">
      <c r="A3" s="183"/>
      <c r="C3" s="183"/>
      <c r="F3" s="183"/>
      <c r="G3" s="183"/>
      <c r="H3" s="183"/>
      <c r="I3" s="183"/>
      <c r="J3" s="183"/>
      <c r="M3" s="183"/>
      <c r="N3" s="183"/>
      <c r="O3" s="183"/>
      <c r="P3" s="183"/>
      <c r="Q3" s="183"/>
    </row>
    <row r="4" spans="1:27" x14ac:dyDescent="0.2">
      <c r="A4" s="183"/>
      <c r="B4" s="182" t="s">
        <v>1189</v>
      </c>
      <c r="C4" s="183"/>
      <c r="F4" s="183"/>
      <c r="G4" s="183"/>
      <c r="H4" s="183"/>
      <c r="I4" s="183"/>
      <c r="J4" s="183"/>
      <c r="M4" s="183"/>
      <c r="N4" s="183"/>
      <c r="O4" s="183"/>
      <c r="P4" s="183"/>
      <c r="Q4" s="183"/>
    </row>
    <row r="5" spans="1:27" x14ac:dyDescent="0.2">
      <c r="A5" s="183"/>
      <c r="B5" s="183"/>
      <c r="C5" s="183"/>
      <c r="D5" s="183"/>
      <c r="E5" s="183"/>
      <c r="F5" s="183"/>
      <c r="G5" s="183"/>
      <c r="H5" s="183"/>
      <c r="I5" s="183"/>
      <c r="J5" s="183"/>
      <c r="K5" s="183"/>
      <c r="L5" s="183"/>
      <c r="M5" s="183"/>
      <c r="N5" s="183"/>
      <c r="O5" s="183"/>
      <c r="P5" s="183"/>
      <c r="Q5" s="183"/>
    </row>
    <row r="6" spans="1:27" ht="15" x14ac:dyDescent="0.25">
      <c r="A6" s="183"/>
      <c r="D6" s="183"/>
      <c r="E6" s="183"/>
      <c r="F6" s="183"/>
      <c r="G6" s="183"/>
      <c r="H6" s="183"/>
      <c r="I6" s="183"/>
      <c r="J6" s="183"/>
      <c r="K6" s="183"/>
      <c r="L6" s="183"/>
      <c r="M6" s="183"/>
      <c r="N6" s="183"/>
      <c r="O6" s="183"/>
      <c r="P6" s="183"/>
      <c r="Q6" s="183"/>
      <c r="R6" s="465"/>
      <c r="S6" s="465"/>
      <c r="T6" s="465"/>
      <c r="U6" s="310" t="s">
        <v>342</v>
      </c>
      <c r="V6" s="465"/>
      <c r="W6" s="465"/>
      <c r="X6" t="s">
        <v>658</v>
      </c>
      <c r="Y6" s="465"/>
      <c r="Z6" s="310"/>
      <c r="AA6" s="307"/>
    </row>
    <row r="7" spans="1:27" ht="15" x14ac:dyDescent="0.25">
      <c r="A7" s="183"/>
      <c r="D7" s="457" t="s">
        <v>659</v>
      </c>
      <c r="E7" s="310"/>
      <c r="F7" s="310"/>
      <c r="G7" s="310"/>
      <c r="H7" s="310"/>
      <c r="I7" s="186"/>
      <c r="J7" s="186"/>
      <c r="K7" s="457" t="s">
        <v>660</v>
      </c>
      <c r="L7" s="310"/>
      <c r="M7" s="310"/>
      <c r="N7" s="310"/>
      <c r="O7" s="310"/>
      <c r="P7" s="310"/>
      <c r="Q7" s="186"/>
      <c r="R7" s="466" t="s">
        <v>661</v>
      </c>
      <c r="S7" s="466" t="s">
        <v>344</v>
      </c>
      <c r="T7" s="466" t="s">
        <v>345</v>
      </c>
      <c r="U7" s="466" t="s">
        <v>378</v>
      </c>
      <c r="V7" s="467" t="s">
        <v>662</v>
      </c>
      <c r="W7" s="467" t="s">
        <v>131</v>
      </c>
      <c r="X7" s="467" t="s">
        <v>130</v>
      </c>
      <c r="Y7" s="467" t="s">
        <v>663</v>
      </c>
      <c r="Z7" s="467" t="s">
        <v>664</v>
      </c>
      <c r="AA7" s="307"/>
    </row>
    <row r="8" spans="1:27" ht="15.75" thickBot="1" x14ac:dyDescent="0.3">
      <c r="A8" s="183"/>
      <c r="B8" s="306" t="s">
        <v>665</v>
      </c>
      <c r="C8" s="306" t="s">
        <v>666</v>
      </c>
      <c r="D8" s="460" t="s">
        <v>595</v>
      </c>
      <c r="E8" s="460" t="s">
        <v>667</v>
      </c>
      <c r="F8" s="460" t="s">
        <v>668</v>
      </c>
      <c r="G8" s="460" t="s">
        <v>669</v>
      </c>
      <c r="H8" s="460" t="s">
        <v>670</v>
      </c>
      <c r="I8" s="186"/>
      <c r="J8" s="186"/>
      <c r="K8" s="460" t="s">
        <v>344</v>
      </c>
      <c r="L8" s="460" t="s">
        <v>343</v>
      </c>
      <c r="M8" s="460" t="s">
        <v>671</v>
      </c>
      <c r="N8" s="460" t="s">
        <v>672</v>
      </c>
      <c r="O8" s="460" t="s">
        <v>673</v>
      </c>
      <c r="P8" s="460" t="s">
        <v>674</v>
      </c>
      <c r="Q8" s="186"/>
      <c r="R8" s="464" t="s">
        <v>364</v>
      </c>
      <c r="S8" s="464"/>
      <c r="T8" s="464"/>
      <c r="U8" s="464"/>
      <c r="V8" s="464"/>
      <c r="W8" s="464"/>
      <c r="X8" s="464" t="s">
        <v>448</v>
      </c>
      <c r="Y8" s="464" t="s">
        <v>675</v>
      </c>
      <c r="Z8" s="464"/>
      <c r="AA8" s="307"/>
    </row>
    <row r="9" spans="1:27" ht="15" x14ac:dyDescent="0.25">
      <c r="B9" t="s">
        <v>7</v>
      </c>
      <c r="C9" t="s">
        <v>152</v>
      </c>
      <c r="D9" t="str">
        <f>B9&amp;C9</f>
        <v>INDBIB</v>
      </c>
      <c r="E9" t="str">
        <f t="shared" ref="E9:E56" si="0">INDEX(SectorNamesLong,MATCH(B9,SectorNamesShort,0))&amp;" "&amp;INDEX(FuelNamesLong,MATCH(C9,FuelNamesShort,0))</f>
        <v>Industry Biomass bagasse</v>
      </c>
      <c r="F9" t="s">
        <v>241</v>
      </c>
      <c r="G9"/>
      <c r="H9"/>
      <c r="I9"/>
      <c r="J9"/>
      <c r="K9" t="str">
        <f>"X"&amp;D9</f>
        <v>XINDBIB</v>
      </c>
      <c r="L9" t="str">
        <f>E9</f>
        <v>Industry Biomass bagasse</v>
      </c>
      <c r="M9" t="s">
        <v>241</v>
      </c>
      <c r="N9" t="s">
        <v>448</v>
      </c>
      <c r="O9" t="s">
        <v>377</v>
      </c>
      <c r="P9" t="s">
        <v>676</v>
      </c>
      <c r="Q9"/>
      <c r="R9"/>
      <c r="S9" t="str">
        <f>K9</f>
        <v>XINDBIB</v>
      </c>
      <c r="T9" t="str">
        <f>C9</f>
        <v>BIB</v>
      </c>
      <c r="U9" t="str">
        <f>D9</f>
        <v>INDBIB</v>
      </c>
      <c r="V9">
        <v>1</v>
      </c>
      <c r="W9">
        <v>60</v>
      </c>
      <c r="X9"/>
      <c r="Y9">
        <v>1</v>
      </c>
      <c r="Z9">
        <v>1</v>
      </c>
      <c r="AA9" s="307"/>
    </row>
    <row r="10" spans="1:27" ht="15" x14ac:dyDescent="0.25">
      <c r="B10" t="s">
        <v>11</v>
      </c>
      <c r="C10" t="s">
        <v>150</v>
      </c>
      <c r="D10" t="str">
        <f t="shared" ref="D10:D56" si="1">B10&amp;C10</f>
        <v>UPSBID</v>
      </c>
      <c r="E10" t="str">
        <f t="shared" si="0"/>
        <v>Upstream Biodiesel</v>
      </c>
      <c r="F10" t="s">
        <v>241</v>
      </c>
      <c r="G10"/>
      <c r="H10"/>
      <c r="I10"/>
      <c r="J10"/>
      <c r="K10" t="str">
        <f t="shared" ref="K10:K56" si="2">"X"&amp;D10</f>
        <v>XUPSBID</v>
      </c>
      <c r="L10" t="str">
        <f t="shared" ref="L10:L56" si="3">E10</f>
        <v>Upstream Biodiesel</v>
      </c>
      <c r="M10" t="s">
        <v>241</v>
      </c>
      <c r="N10" t="s">
        <v>448</v>
      </c>
      <c r="O10" t="s">
        <v>377</v>
      </c>
      <c r="P10" t="s">
        <v>676</v>
      </c>
      <c r="Q10"/>
      <c r="R10"/>
      <c r="S10" t="str">
        <f t="shared" ref="S10:S56" si="4">K10</f>
        <v>XUPSBID</v>
      </c>
      <c r="T10" t="str">
        <f t="shared" ref="T10:U56" si="5">C10</f>
        <v>BID</v>
      </c>
      <c r="U10" t="str">
        <f t="shared" si="5"/>
        <v>UPSBID</v>
      </c>
      <c r="V10">
        <v>1</v>
      </c>
      <c r="W10">
        <v>60</v>
      </c>
      <c r="X10"/>
      <c r="Y10">
        <v>1</v>
      </c>
      <c r="Z10">
        <v>1</v>
      </c>
      <c r="AA10" s="24"/>
    </row>
    <row r="11" spans="1:27" ht="15" x14ac:dyDescent="0.25">
      <c r="B11" t="s">
        <v>11</v>
      </c>
      <c r="C11" t="s">
        <v>148</v>
      </c>
      <c r="D11" t="str">
        <f t="shared" si="1"/>
        <v>UPSBIE</v>
      </c>
      <c r="E11" t="str">
        <f t="shared" si="0"/>
        <v>Upstream Bioethanol</v>
      </c>
      <c r="F11" t="s">
        <v>241</v>
      </c>
      <c r="G11"/>
      <c r="H11"/>
      <c r="I11"/>
      <c r="J11"/>
      <c r="K11" t="str">
        <f t="shared" si="2"/>
        <v>XUPSBIE</v>
      </c>
      <c r="L11" t="str">
        <f t="shared" si="3"/>
        <v>Upstream Bioethanol</v>
      </c>
      <c r="M11" t="s">
        <v>241</v>
      </c>
      <c r="N11" t="s">
        <v>448</v>
      </c>
      <c r="O11" t="s">
        <v>377</v>
      </c>
      <c r="P11" t="s">
        <v>676</v>
      </c>
      <c r="Q11"/>
      <c r="R11"/>
      <c r="S11" t="str">
        <f t="shared" si="4"/>
        <v>XUPSBIE</v>
      </c>
      <c r="T11" t="str">
        <f t="shared" si="5"/>
        <v>BIE</v>
      </c>
      <c r="U11" t="str">
        <f t="shared" si="5"/>
        <v>UPSBIE</v>
      </c>
      <c r="V11">
        <v>1</v>
      </c>
      <c r="W11">
        <v>60</v>
      </c>
      <c r="X11"/>
      <c r="Y11">
        <v>1</v>
      </c>
      <c r="Z11">
        <v>1</v>
      </c>
      <c r="AA11" s="24"/>
    </row>
    <row r="12" spans="1:27" ht="15" x14ac:dyDescent="0.25">
      <c r="B12" t="s">
        <v>7</v>
      </c>
      <c r="C12" t="s">
        <v>156</v>
      </c>
      <c r="D12" t="str">
        <f t="shared" si="1"/>
        <v>INDBIW</v>
      </c>
      <c r="E12" t="str">
        <f t="shared" si="0"/>
        <v>Industry Biomass Wood</v>
      </c>
      <c r="F12" t="s">
        <v>241</v>
      </c>
      <c r="G12"/>
      <c r="H12"/>
      <c r="I12"/>
      <c r="J12"/>
      <c r="K12" t="str">
        <f t="shared" si="2"/>
        <v>XINDBIW</v>
      </c>
      <c r="L12" t="str">
        <f t="shared" si="3"/>
        <v>Industry Biomass Wood</v>
      </c>
      <c r="M12" t="s">
        <v>241</v>
      </c>
      <c r="N12" t="s">
        <v>448</v>
      </c>
      <c r="O12" t="s">
        <v>377</v>
      </c>
      <c r="P12" t="s">
        <v>676</v>
      </c>
      <c r="Q12"/>
      <c r="R12"/>
      <c r="S12" t="str">
        <f t="shared" si="4"/>
        <v>XINDBIW</v>
      </c>
      <c r="T12" t="str">
        <f t="shared" si="5"/>
        <v>BIW</v>
      </c>
      <c r="U12" t="str">
        <f t="shared" si="5"/>
        <v>INDBIW</v>
      </c>
      <c r="V12">
        <v>1</v>
      </c>
      <c r="W12">
        <v>60</v>
      </c>
      <c r="X12"/>
      <c r="Y12">
        <v>1</v>
      </c>
      <c r="Z12">
        <v>1</v>
      </c>
    </row>
    <row r="13" spans="1:27" ht="15" x14ac:dyDescent="0.25">
      <c r="B13" t="s">
        <v>9</v>
      </c>
      <c r="C13" t="s">
        <v>156</v>
      </c>
      <c r="D13" t="str">
        <f t="shared" si="1"/>
        <v>RESBIW</v>
      </c>
      <c r="E13" t="str">
        <f t="shared" si="0"/>
        <v>Residential Biomass Wood</v>
      </c>
      <c r="F13" t="s">
        <v>241</v>
      </c>
      <c r="G13"/>
      <c r="H13"/>
      <c r="I13"/>
      <c r="J13"/>
      <c r="K13" t="str">
        <f t="shared" si="2"/>
        <v>XRESBIW</v>
      </c>
      <c r="L13" t="str">
        <f t="shared" si="3"/>
        <v>Residential Biomass Wood</v>
      </c>
      <c r="M13" t="s">
        <v>241</v>
      </c>
      <c r="N13" t="s">
        <v>448</v>
      </c>
      <c r="O13" t="s">
        <v>377</v>
      </c>
      <c r="P13" t="s">
        <v>676</v>
      </c>
      <c r="Q13"/>
      <c r="R13"/>
      <c r="S13" t="str">
        <f t="shared" si="4"/>
        <v>XRESBIW</v>
      </c>
      <c r="T13" t="str">
        <f t="shared" si="5"/>
        <v>BIW</v>
      </c>
      <c r="U13" t="str">
        <f t="shared" si="5"/>
        <v>RESBIW</v>
      </c>
      <c r="V13">
        <v>1</v>
      </c>
      <c r="W13">
        <v>60</v>
      </c>
      <c r="X13"/>
      <c r="Y13">
        <v>1</v>
      </c>
      <c r="Z13">
        <v>1</v>
      </c>
    </row>
    <row r="14" spans="1:27" ht="15" x14ac:dyDescent="0.25">
      <c r="B14" t="s">
        <v>7</v>
      </c>
      <c r="C14" t="s">
        <v>164</v>
      </c>
      <c r="D14" t="str">
        <f t="shared" si="1"/>
        <v>INDCLE</v>
      </c>
      <c r="E14" t="str">
        <f t="shared" si="0"/>
        <v>Industry Coal low grade</v>
      </c>
      <c r="F14" t="s">
        <v>241</v>
      </c>
      <c r="G14"/>
      <c r="H14"/>
      <c r="I14"/>
      <c r="J14"/>
      <c r="K14" t="str">
        <f t="shared" si="2"/>
        <v>XINDCLE</v>
      </c>
      <c r="L14" t="str">
        <f t="shared" si="3"/>
        <v>Industry Coal low grade</v>
      </c>
      <c r="M14" t="s">
        <v>241</v>
      </c>
      <c r="N14" t="s">
        <v>448</v>
      </c>
      <c r="O14" t="s">
        <v>377</v>
      </c>
      <c r="P14" t="s">
        <v>676</v>
      </c>
      <c r="Q14"/>
      <c r="R14"/>
      <c r="S14" t="str">
        <f t="shared" si="4"/>
        <v>XINDCLE</v>
      </c>
      <c r="T14" t="str">
        <f t="shared" si="5"/>
        <v>CLE</v>
      </c>
      <c r="U14" t="str">
        <f t="shared" si="5"/>
        <v>INDCLE</v>
      </c>
      <c r="V14">
        <v>1</v>
      </c>
      <c r="W14">
        <v>60</v>
      </c>
      <c r="X14"/>
      <c r="Y14">
        <v>1</v>
      </c>
      <c r="Z14">
        <v>1</v>
      </c>
    </row>
    <row r="15" spans="1:27" ht="15" x14ac:dyDescent="0.25">
      <c r="B15" t="s">
        <v>11</v>
      </c>
      <c r="C15" t="s">
        <v>164</v>
      </c>
      <c r="D15" t="str">
        <f t="shared" si="1"/>
        <v>UPSCLE</v>
      </c>
      <c r="E15" t="str">
        <f t="shared" si="0"/>
        <v>Upstream Coal low grade</v>
      </c>
      <c r="F15" t="s">
        <v>241</v>
      </c>
      <c r="G15"/>
      <c r="H15"/>
      <c r="I15"/>
      <c r="J15"/>
      <c r="K15" t="str">
        <f t="shared" si="2"/>
        <v>XUPSCLE</v>
      </c>
      <c r="L15" t="str">
        <f t="shared" si="3"/>
        <v>Upstream Coal low grade</v>
      </c>
      <c r="M15" t="s">
        <v>241</v>
      </c>
      <c r="N15" t="s">
        <v>448</v>
      </c>
      <c r="O15" t="s">
        <v>377</v>
      </c>
      <c r="P15" t="s">
        <v>676</v>
      </c>
      <c r="Q15"/>
      <c r="R15"/>
      <c r="S15" t="str">
        <f t="shared" si="4"/>
        <v>XUPSCLE</v>
      </c>
      <c r="T15" t="str">
        <f t="shared" si="5"/>
        <v>CLE</v>
      </c>
      <c r="U15" t="str">
        <f t="shared" si="5"/>
        <v>UPSCLE</v>
      </c>
      <c r="V15">
        <v>1</v>
      </c>
      <c r="W15">
        <v>60</v>
      </c>
      <c r="X15"/>
      <c r="Y15">
        <v>1</v>
      </c>
      <c r="Z15">
        <v>1</v>
      </c>
    </row>
    <row r="16" spans="1:27" ht="15" x14ac:dyDescent="0.25">
      <c r="B16" t="s">
        <v>5</v>
      </c>
      <c r="C16" t="s">
        <v>158</v>
      </c>
      <c r="D16" t="str">
        <f t="shared" si="1"/>
        <v>AGRCOA</v>
      </c>
      <c r="E16" t="str">
        <f t="shared" si="0"/>
        <v>Agriculture Coal</v>
      </c>
      <c r="F16" t="s">
        <v>241</v>
      </c>
      <c r="G16"/>
      <c r="H16"/>
      <c r="I16"/>
      <c r="J16"/>
      <c r="K16" t="str">
        <f t="shared" si="2"/>
        <v>XAGRCOA</v>
      </c>
      <c r="L16" t="str">
        <f t="shared" si="3"/>
        <v>Agriculture Coal</v>
      </c>
      <c r="M16" t="s">
        <v>241</v>
      </c>
      <c r="N16" t="s">
        <v>448</v>
      </c>
      <c r="O16" t="s">
        <v>377</v>
      </c>
      <c r="P16" t="s">
        <v>676</v>
      </c>
      <c r="Q16"/>
      <c r="R16"/>
      <c r="S16" t="str">
        <f t="shared" si="4"/>
        <v>XAGRCOA</v>
      </c>
      <c r="T16" t="str">
        <f t="shared" si="5"/>
        <v>COA</v>
      </c>
      <c r="U16" t="str">
        <f t="shared" si="5"/>
        <v>AGRCOA</v>
      </c>
      <c r="V16">
        <v>1</v>
      </c>
      <c r="W16">
        <v>60</v>
      </c>
      <c r="X16"/>
      <c r="Y16">
        <v>1</v>
      </c>
      <c r="Z16">
        <v>1</v>
      </c>
    </row>
    <row r="17" spans="2:26" ht="15" x14ac:dyDescent="0.25">
      <c r="B17" t="s">
        <v>6</v>
      </c>
      <c r="C17" t="s">
        <v>158</v>
      </c>
      <c r="D17" t="str">
        <f t="shared" si="1"/>
        <v>COMCOA</v>
      </c>
      <c r="E17" t="str">
        <f t="shared" si="0"/>
        <v>Commerce Coal</v>
      </c>
      <c r="F17" t="s">
        <v>241</v>
      </c>
      <c r="G17"/>
      <c r="H17"/>
      <c r="I17"/>
      <c r="J17"/>
      <c r="K17" t="str">
        <f t="shared" si="2"/>
        <v>XCOMCOA</v>
      </c>
      <c r="L17" t="str">
        <f t="shared" si="3"/>
        <v>Commerce Coal</v>
      </c>
      <c r="M17" t="s">
        <v>241</v>
      </c>
      <c r="N17" t="s">
        <v>448</v>
      </c>
      <c r="O17" t="s">
        <v>377</v>
      </c>
      <c r="P17" t="s">
        <v>676</v>
      </c>
      <c r="Q17"/>
      <c r="R17"/>
      <c r="S17" t="str">
        <f t="shared" si="4"/>
        <v>XCOMCOA</v>
      </c>
      <c r="T17" t="str">
        <f t="shared" si="5"/>
        <v>COA</v>
      </c>
      <c r="U17" t="str">
        <f t="shared" si="5"/>
        <v>COMCOA</v>
      </c>
      <c r="V17">
        <v>1</v>
      </c>
      <c r="W17">
        <v>60</v>
      </c>
      <c r="X17"/>
      <c r="Y17">
        <v>1</v>
      </c>
      <c r="Z17">
        <v>1</v>
      </c>
    </row>
    <row r="18" spans="2:26" ht="15" x14ac:dyDescent="0.25">
      <c r="B18" t="s">
        <v>7</v>
      </c>
      <c r="C18" t="s">
        <v>158</v>
      </c>
      <c r="D18" t="str">
        <f t="shared" si="1"/>
        <v>INDCOA</v>
      </c>
      <c r="E18" t="str">
        <f t="shared" si="0"/>
        <v>Industry Coal</v>
      </c>
      <c r="F18" t="s">
        <v>241</v>
      </c>
      <c r="G18"/>
      <c r="H18"/>
      <c r="I18"/>
      <c r="J18"/>
      <c r="K18" t="str">
        <f t="shared" si="2"/>
        <v>XINDCOA</v>
      </c>
      <c r="L18" t="str">
        <f t="shared" si="3"/>
        <v>Industry Coal</v>
      </c>
      <c r="M18" t="s">
        <v>241</v>
      </c>
      <c r="N18" t="s">
        <v>448</v>
      </c>
      <c r="O18" t="s">
        <v>377</v>
      </c>
      <c r="P18" t="s">
        <v>676</v>
      </c>
      <c r="Q18"/>
      <c r="R18"/>
      <c r="S18" t="str">
        <f t="shared" si="4"/>
        <v>XINDCOA</v>
      </c>
      <c r="T18" t="str">
        <f t="shared" si="5"/>
        <v>COA</v>
      </c>
      <c r="U18" t="str">
        <f t="shared" si="5"/>
        <v>INDCOA</v>
      </c>
      <c r="V18">
        <v>1</v>
      </c>
      <c r="W18">
        <v>60</v>
      </c>
      <c r="X18"/>
      <c r="Y18">
        <v>1</v>
      </c>
      <c r="Z18">
        <v>1</v>
      </c>
    </row>
    <row r="19" spans="2:26" ht="15" x14ac:dyDescent="0.25">
      <c r="B19" t="s">
        <v>9</v>
      </c>
      <c r="C19" t="s">
        <v>158</v>
      </c>
      <c r="D19" t="str">
        <f t="shared" si="1"/>
        <v>RESCOA</v>
      </c>
      <c r="E19" t="str">
        <f t="shared" si="0"/>
        <v>Residential Coal</v>
      </c>
      <c r="F19" t="s">
        <v>241</v>
      </c>
      <c r="G19"/>
      <c r="H19"/>
      <c r="I19"/>
      <c r="J19"/>
      <c r="K19" t="str">
        <f t="shared" si="2"/>
        <v>XRESCOA</v>
      </c>
      <c r="L19" t="str">
        <f t="shared" si="3"/>
        <v>Residential Coal</v>
      </c>
      <c r="M19" t="s">
        <v>241</v>
      </c>
      <c r="N19" t="s">
        <v>448</v>
      </c>
      <c r="O19" t="s">
        <v>377</v>
      </c>
      <c r="P19" t="s">
        <v>676</v>
      </c>
      <c r="Q19"/>
      <c r="R19"/>
      <c r="S19" t="str">
        <f t="shared" si="4"/>
        <v>XRESCOA</v>
      </c>
      <c r="T19" t="str">
        <f t="shared" si="5"/>
        <v>COA</v>
      </c>
      <c r="U19" t="str">
        <f t="shared" si="5"/>
        <v>RESCOA</v>
      </c>
      <c r="V19">
        <v>1</v>
      </c>
      <c r="W19">
        <v>60</v>
      </c>
      <c r="X19"/>
      <c r="Y19">
        <v>1</v>
      </c>
      <c r="Z19">
        <v>1</v>
      </c>
    </row>
    <row r="20" spans="2:26" ht="15" x14ac:dyDescent="0.25">
      <c r="B20" t="s">
        <v>7</v>
      </c>
      <c r="C20" t="s">
        <v>160</v>
      </c>
      <c r="D20" t="str">
        <f t="shared" si="1"/>
        <v>INDCOK</v>
      </c>
      <c r="E20" t="str">
        <f t="shared" si="0"/>
        <v>Industry Coal Coking</v>
      </c>
      <c r="F20" t="s">
        <v>241</v>
      </c>
      <c r="G20"/>
      <c r="H20"/>
      <c r="I20"/>
      <c r="J20"/>
      <c r="K20" t="str">
        <f t="shared" si="2"/>
        <v>XINDCOK</v>
      </c>
      <c r="L20" t="str">
        <f t="shared" si="3"/>
        <v>Industry Coal Coking</v>
      </c>
      <c r="M20" t="s">
        <v>241</v>
      </c>
      <c r="N20" t="s">
        <v>448</v>
      </c>
      <c r="O20" t="s">
        <v>377</v>
      </c>
      <c r="P20" t="s">
        <v>676</v>
      </c>
      <c r="Q20"/>
      <c r="R20"/>
      <c r="S20" t="str">
        <f t="shared" si="4"/>
        <v>XINDCOK</v>
      </c>
      <c r="T20" t="str">
        <f t="shared" si="5"/>
        <v>COK</v>
      </c>
      <c r="U20" t="str">
        <f t="shared" si="5"/>
        <v>INDCOK</v>
      </c>
      <c r="V20">
        <v>1</v>
      </c>
      <c r="W20">
        <v>60</v>
      </c>
      <c r="X20"/>
      <c r="Y20">
        <v>1</v>
      </c>
      <c r="Z20">
        <v>1</v>
      </c>
    </row>
    <row r="21" spans="2:26" ht="15" x14ac:dyDescent="0.25">
      <c r="B21" t="s">
        <v>6</v>
      </c>
      <c r="C21" t="s">
        <v>172</v>
      </c>
      <c r="D21" t="str">
        <f t="shared" si="1"/>
        <v>COMGAS</v>
      </c>
      <c r="E21" t="str">
        <f t="shared" si="0"/>
        <v>Commerce Gas South Africa</v>
      </c>
      <c r="F21" t="s">
        <v>241</v>
      </c>
      <c r="G21"/>
      <c r="H21"/>
      <c r="I21"/>
      <c r="J21"/>
      <c r="K21" t="str">
        <f t="shared" si="2"/>
        <v>XCOMGAS</v>
      </c>
      <c r="L21" t="str">
        <f t="shared" si="3"/>
        <v>Commerce Gas South Africa</v>
      </c>
      <c r="M21" t="s">
        <v>241</v>
      </c>
      <c r="N21" t="s">
        <v>448</v>
      </c>
      <c r="O21" t="s">
        <v>377</v>
      </c>
      <c r="P21" t="s">
        <v>676</v>
      </c>
      <c r="Q21"/>
      <c r="R21"/>
      <c r="S21" t="str">
        <f t="shared" si="4"/>
        <v>XCOMGAS</v>
      </c>
      <c r="T21" t="str">
        <f t="shared" si="5"/>
        <v>GAS</v>
      </c>
      <c r="U21" t="str">
        <f t="shared" si="5"/>
        <v>COMGAS</v>
      </c>
      <c r="V21">
        <f>FugitiveEmissions!$O$12</f>
        <v>1</v>
      </c>
      <c r="W21">
        <v>60</v>
      </c>
      <c r="X21"/>
      <c r="Y21" s="93">
        <f>FuelDistribution!$F$96</f>
        <v>403.99806122448985</v>
      </c>
      <c r="Z21">
        <v>1</v>
      </c>
    </row>
    <row r="22" spans="2:26" ht="15" x14ac:dyDescent="0.25">
      <c r="B22" t="s">
        <v>7</v>
      </c>
      <c r="C22" t="s">
        <v>172</v>
      </c>
      <c r="D22" t="str">
        <f t="shared" si="1"/>
        <v>INDGAS</v>
      </c>
      <c r="E22" t="str">
        <f t="shared" si="0"/>
        <v>Industry Gas South Africa</v>
      </c>
      <c r="F22" t="s">
        <v>241</v>
      </c>
      <c r="G22"/>
      <c r="H22"/>
      <c r="I22"/>
      <c r="J22"/>
      <c r="K22" t="str">
        <f t="shared" si="2"/>
        <v>XINDGAS</v>
      </c>
      <c r="L22" t="str">
        <f t="shared" si="3"/>
        <v>Industry Gas South Africa</v>
      </c>
      <c r="M22" t="s">
        <v>241</v>
      </c>
      <c r="N22" t="s">
        <v>448</v>
      </c>
      <c r="O22" t="s">
        <v>377</v>
      </c>
      <c r="P22" t="s">
        <v>676</v>
      </c>
      <c r="Q22"/>
      <c r="R22"/>
      <c r="S22" t="str">
        <f t="shared" si="4"/>
        <v>XINDGAS</v>
      </c>
      <c r="T22" t="str">
        <f t="shared" si="5"/>
        <v>GAS</v>
      </c>
      <c r="U22" t="str">
        <f t="shared" si="5"/>
        <v>INDGAS</v>
      </c>
      <c r="V22">
        <f>FugitiveEmissions!$O$12</f>
        <v>1</v>
      </c>
      <c r="W22">
        <v>60</v>
      </c>
      <c r="X22"/>
      <c r="Y22" s="93">
        <f>FuelDistribution!$F$96</f>
        <v>403.99806122448985</v>
      </c>
      <c r="Z22">
        <v>1</v>
      </c>
    </row>
    <row r="23" spans="2:26" ht="15" x14ac:dyDescent="0.25">
      <c r="B23" t="s">
        <v>9</v>
      </c>
      <c r="C23" t="s">
        <v>172</v>
      </c>
      <c r="D23" t="str">
        <f t="shared" si="1"/>
        <v>RESGAS</v>
      </c>
      <c r="E23" t="str">
        <f t="shared" si="0"/>
        <v>Residential Gas South Africa</v>
      </c>
      <c r="F23" t="s">
        <v>241</v>
      </c>
      <c r="G23"/>
      <c r="H23"/>
      <c r="I23"/>
      <c r="J23"/>
      <c r="K23" t="str">
        <f t="shared" si="2"/>
        <v>XRESGAS</v>
      </c>
      <c r="L23" t="str">
        <f t="shared" si="3"/>
        <v>Residential Gas South Africa</v>
      </c>
      <c r="M23" t="s">
        <v>241</v>
      </c>
      <c r="N23" t="s">
        <v>448</v>
      </c>
      <c r="O23" t="s">
        <v>377</v>
      </c>
      <c r="P23" t="s">
        <v>676</v>
      </c>
      <c r="Q23"/>
      <c r="R23"/>
      <c r="S23" t="str">
        <f t="shared" si="4"/>
        <v>XRESGAS</v>
      </c>
      <c r="T23" t="str">
        <f t="shared" si="5"/>
        <v>GAS</v>
      </c>
      <c r="U23" t="str">
        <f t="shared" si="5"/>
        <v>RESGAS</v>
      </c>
      <c r="V23">
        <f>FugitiveEmissions!$O$12</f>
        <v>1</v>
      </c>
      <c r="W23">
        <v>60</v>
      </c>
      <c r="X23"/>
      <c r="Y23" s="93">
        <f>FuelDistribution!$F$96</f>
        <v>403.99806122448985</v>
      </c>
      <c r="Z23">
        <v>1</v>
      </c>
    </row>
    <row r="24" spans="2:26" ht="15" x14ac:dyDescent="0.25">
      <c r="B24" t="s">
        <v>11</v>
      </c>
      <c r="C24" t="s">
        <v>172</v>
      </c>
      <c r="D24" t="str">
        <f t="shared" si="1"/>
        <v>UPSGAS</v>
      </c>
      <c r="E24" t="str">
        <f t="shared" si="0"/>
        <v>Upstream Gas South Africa</v>
      </c>
      <c r="F24" t="s">
        <v>241</v>
      </c>
      <c r="G24"/>
      <c r="H24"/>
      <c r="I24"/>
      <c r="J24"/>
      <c r="K24" t="str">
        <f t="shared" si="2"/>
        <v>XUPSGAS</v>
      </c>
      <c r="L24" t="str">
        <f t="shared" si="3"/>
        <v>Upstream Gas South Africa</v>
      </c>
      <c r="M24" t="s">
        <v>241</v>
      </c>
      <c r="N24" t="s">
        <v>448</v>
      </c>
      <c r="O24" t="s">
        <v>377</v>
      </c>
      <c r="P24" t="s">
        <v>676</v>
      </c>
      <c r="Q24"/>
      <c r="R24"/>
      <c r="S24" t="str">
        <f t="shared" si="4"/>
        <v>XUPSGAS</v>
      </c>
      <c r="T24" t="str">
        <f t="shared" si="5"/>
        <v>GAS</v>
      </c>
      <c r="U24" t="str">
        <f t="shared" si="5"/>
        <v>UPSGAS</v>
      </c>
      <c r="V24">
        <f>FugitiveEmissions!$O$12</f>
        <v>1</v>
      </c>
      <c r="W24">
        <v>60</v>
      </c>
      <c r="X24"/>
      <c r="Y24" s="93">
        <f>FuelDistribution!$F$96</f>
        <v>403.99806122448985</v>
      </c>
      <c r="Z24">
        <v>1</v>
      </c>
    </row>
    <row r="25" spans="2:26" ht="15" x14ac:dyDescent="0.25">
      <c r="B25" t="s">
        <v>8</v>
      </c>
      <c r="C25" t="s">
        <v>172</v>
      </c>
      <c r="D25" t="str">
        <f t="shared" si="1"/>
        <v>TRAGAS</v>
      </c>
      <c r="E25" t="str">
        <f t="shared" si="0"/>
        <v>Transport Gas South Africa</v>
      </c>
      <c r="F25" t="s">
        <v>241</v>
      </c>
      <c r="G25"/>
      <c r="H25"/>
      <c r="I25"/>
      <c r="J25"/>
      <c r="K25" t="str">
        <f t="shared" si="2"/>
        <v>XTRAGAS</v>
      </c>
      <c r="L25" t="str">
        <f t="shared" si="3"/>
        <v>Transport Gas South Africa</v>
      </c>
      <c r="M25" t="s">
        <v>241</v>
      </c>
      <c r="N25" t="s">
        <v>448</v>
      </c>
      <c r="O25" t="s">
        <v>377</v>
      </c>
      <c r="P25" t="s">
        <v>676</v>
      </c>
      <c r="Q25"/>
      <c r="R25"/>
      <c r="S25" t="str">
        <f t="shared" si="4"/>
        <v>XTRAGAS</v>
      </c>
      <c r="T25" t="str">
        <f t="shared" si="5"/>
        <v>GAS</v>
      </c>
      <c r="U25" t="str">
        <f t="shared" si="5"/>
        <v>TRAGAS</v>
      </c>
      <c r="V25">
        <f>FugitiveEmissions!$O$12</f>
        <v>1</v>
      </c>
      <c r="W25">
        <v>60</v>
      </c>
      <c r="X25"/>
      <c r="Y25" s="93">
        <f>FuelDistribution!$F$96</f>
        <v>403.99806122448985</v>
      </c>
      <c r="Z25">
        <v>1</v>
      </c>
    </row>
    <row r="26" spans="2:26" ht="15" x14ac:dyDescent="0.25">
      <c r="B26" t="s">
        <v>11</v>
      </c>
      <c r="C26" t="s">
        <v>188</v>
      </c>
      <c r="D26" t="str">
        <f t="shared" si="1"/>
        <v>UPSGIC</v>
      </c>
      <c r="E26" t="str">
        <f t="shared" si="0"/>
        <v>Upstream Coastal Gas</v>
      </c>
      <c r="F26" t="s">
        <v>241</v>
      </c>
      <c r="G26"/>
      <c r="H26"/>
      <c r="I26"/>
      <c r="J26"/>
      <c r="K26" t="str">
        <f t="shared" si="2"/>
        <v>XUPSGIC</v>
      </c>
      <c r="L26" t="str">
        <f t="shared" si="3"/>
        <v>Upstream Coastal Gas</v>
      </c>
      <c r="M26" t="s">
        <v>241</v>
      </c>
      <c r="N26" t="s">
        <v>448</v>
      </c>
      <c r="O26" t="s">
        <v>377</v>
      </c>
      <c r="P26" t="s">
        <v>676</v>
      </c>
      <c r="Q26"/>
      <c r="R26"/>
      <c r="S26" t="str">
        <f t="shared" si="4"/>
        <v>XUPSGIC</v>
      </c>
      <c r="T26" t="str">
        <f t="shared" si="5"/>
        <v>GIC</v>
      </c>
      <c r="U26" t="str">
        <f t="shared" si="5"/>
        <v>UPSGIC</v>
      </c>
      <c r="V26">
        <f>FugitiveEmissions!$O$12</f>
        <v>1</v>
      </c>
      <c r="W26">
        <v>60</v>
      </c>
      <c r="X26"/>
      <c r="Y26" s="93">
        <f>FuelDistribution!$F$96</f>
        <v>403.99806122448985</v>
      </c>
      <c r="Z26">
        <v>1</v>
      </c>
    </row>
    <row r="27" spans="2:26" ht="15" x14ac:dyDescent="0.25">
      <c r="B27" t="s">
        <v>11</v>
      </c>
      <c r="C27" t="s">
        <v>194</v>
      </c>
      <c r="D27" t="str">
        <f t="shared" si="1"/>
        <v>UPSHEE</v>
      </c>
      <c r="E27" t="str">
        <f t="shared" si="0"/>
        <v>Upstream Heat-Steam Existing</v>
      </c>
      <c r="F27" t="s">
        <v>241</v>
      </c>
      <c r="G27"/>
      <c r="H27"/>
      <c r="I27"/>
      <c r="J27"/>
      <c r="K27" t="str">
        <f t="shared" si="2"/>
        <v>XUPSHEE</v>
      </c>
      <c r="L27" t="str">
        <f t="shared" si="3"/>
        <v>Upstream Heat-Steam Existing</v>
      </c>
      <c r="M27" t="s">
        <v>241</v>
      </c>
      <c r="N27" t="s">
        <v>448</v>
      </c>
      <c r="O27" t="s">
        <v>377</v>
      </c>
      <c r="P27" t="s">
        <v>676</v>
      </c>
      <c r="Q27"/>
      <c r="R27"/>
      <c r="S27" t="str">
        <f t="shared" si="4"/>
        <v>XUPSHEE</v>
      </c>
      <c r="T27" t="str">
        <f t="shared" si="5"/>
        <v>HEE</v>
      </c>
      <c r="U27" t="str">
        <f t="shared" si="5"/>
        <v>UPSHEE</v>
      </c>
      <c r="V27">
        <v>1</v>
      </c>
      <c r="W27">
        <v>60</v>
      </c>
      <c r="X27"/>
      <c r="Y27">
        <v>1</v>
      </c>
      <c r="Z27">
        <v>1</v>
      </c>
    </row>
    <row r="28" spans="2:26" ht="15" x14ac:dyDescent="0.25">
      <c r="B28" t="s">
        <v>11</v>
      </c>
      <c r="C28" t="s">
        <v>196</v>
      </c>
      <c r="D28" t="str">
        <f t="shared" si="1"/>
        <v>UPSHEN</v>
      </c>
      <c r="E28" t="str">
        <f t="shared" si="0"/>
        <v>Upstream Heat-Steam New</v>
      </c>
      <c r="F28" t="s">
        <v>241</v>
      </c>
      <c r="G28"/>
      <c r="H28"/>
      <c r="I28"/>
      <c r="J28"/>
      <c r="K28" t="str">
        <f t="shared" si="2"/>
        <v>XUPSHEN</v>
      </c>
      <c r="L28" t="str">
        <f t="shared" si="3"/>
        <v>Upstream Heat-Steam New</v>
      </c>
      <c r="M28" t="s">
        <v>241</v>
      </c>
      <c r="N28" t="s">
        <v>448</v>
      </c>
      <c r="O28" t="s">
        <v>377</v>
      </c>
      <c r="P28" t="s">
        <v>676</v>
      </c>
      <c r="Q28"/>
      <c r="R28"/>
      <c r="S28" t="str">
        <f t="shared" si="4"/>
        <v>XUPSHEN</v>
      </c>
      <c r="T28" t="str">
        <f t="shared" si="5"/>
        <v>HEN</v>
      </c>
      <c r="U28" t="str">
        <f t="shared" si="5"/>
        <v>UPSHEN</v>
      </c>
      <c r="V28">
        <v>1</v>
      </c>
      <c r="W28">
        <v>60</v>
      </c>
      <c r="X28"/>
      <c r="Y28">
        <v>1</v>
      </c>
      <c r="Z28">
        <v>1</v>
      </c>
    </row>
    <row r="29" spans="2:26" ht="15" x14ac:dyDescent="0.25">
      <c r="B29" t="s">
        <v>11</v>
      </c>
      <c r="C29" t="s">
        <v>200</v>
      </c>
      <c r="D29" t="str">
        <f t="shared" si="1"/>
        <v>UPSHGN</v>
      </c>
      <c r="E29" t="str">
        <f t="shared" si="0"/>
        <v>Upstream Hydrogen</v>
      </c>
      <c r="F29" t="s">
        <v>241</v>
      </c>
      <c r="G29"/>
      <c r="H29"/>
      <c r="I29"/>
      <c r="J29"/>
      <c r="K29" t="str">
        <f t="shared" si="2"/>
        <v>XUPSHGN</v>
      </c>
      <c r="L29" t="str">
        <f t="shared" si="3"/>
        <v>Upstream Hydrogen</v>
      </c>
      <c r="M29" t="s">
        <v>241</v>
      </c>
      <c r="N29" t="s">
        <v>448</v>
      </c>
      <c r="O29" t="s">
        <v>677</v>
      </c>
      <c r="P29" t="s">
        <v>676</v>
      </c>
      <c r="Q29"/>
      <c r="R29"/>
      <c r="S29" t="str">
        <f t="shared" si="4"/>
        <v>XUPSHGN</v>
      </c>
      <c r="T29" t="str">
        <f t="shared" si="5"/>
        <v>HGN</v>
      </c>
      <c r="U29" t="str">
        <f t="shared" si="5"/>
        <v>UPSHGN</v>
      </c>
      <c r="V29">
        <v>1</v>
      </c>
      <c r="W29">
        <v>60</v>
      </c>
      <c r="X29"/>
      <c r="Y29">
        <v>1</v>
      </c>
      <c r="Z29">
        <v>1</v>
      </c>
    </row>
    <row r="30" spans="2:26" ht="15" x14ac:dyDescent="0.25">
      <c r="B30" t="s">
        <v>8</v>
      </c>
      <c r="C30" t="s">
        <v>200</v>
      </c>
      <c r="D30" t="str">
        <f t="shared" si="1"/>
        <v>TRAHGN</v>
      </c>
      <c r="E30" t="str">
        <f t="shared" si="0"/>
        <v>Transport Hydrogen</v>
      </c>
      <c r="F30" t="s">
        <v>241</v>
      </c>
      <c r="G30"/>
      <c r="H30"/>
      <c r="I30"/>
      <c r="J30"/>
      <c r="K30" t="str">
        <f t="shared" si="2"/>
        <v>XTRAHGN</v>
      </c>
      <c r="L30" t="str">
        <f t="shared" si="3"/>
        <v>Transport Hydrogen</v>
      </c>
      <c r="M30" t="s">
        <v>241</v>
      </c>
      <c r="N30" t="s">
        <v>448</v>
      </c>
      <c r="O30" t="s">
        <v>677</v>
      </c>
      <c r="P30" t="s">
        <v>676</v>
      </c>
      <c r="Q30"/>
      <c r="R30"/>
      <c r="S30" t="str">
        <f t="shared" si="4"/>
        <v>XTRAHGN</v>
      </c>
      <c r="T30" t="str">
        <f t="shared" si="5"/>
        <v>HGN</v>
      </c>
      <c r="U30" t="str">
        <f t="shared" si="5"/>
        <v>TRAHGN</v>
      </c>
      <c r="V30">
        <v>1</v>
      </c>
      <c r="W30">
        <v>60</v>
      </c>
      <c r="X30"/>
      <c r="Y30">
        <v>1</v>
      </c>
      <c r="Z30">
        <v>1</v>
      </c>
    </row>
    <row r="31" spans="2:26" ht="15" x14ac:dyDescent="0.25">
      <c r="B31" t="s">
        <v>8</v>
      </c>
      <c r="C31" t="s">
        <v>204</v>
      </c>
      <c r="D31" t="str">
        <f t="shared" si="1"/>
        <v>TRAOAG</v>
      </c>
      <c r="E31" t="str">
        <f t="shared" si="0"/>
        <v>Transport Oil Av Gasoline</v>
      </c>
      <c r="F31" t="s">
        <v>241</v>
      </c>
      <c r="G31"/>
      <c r="H31"/>
      <c r="I31"/>
      <c r="J31"/>
      <c r="K31" t="str">
        <f t="shared" si="2"/>
        <v>XTRAOAG</v>
      </c>
      <c r="L31" t="str">
        <f t="shared" si="3"/>
        <v>Transport Oil Av Gasoline</v>
      </c>
      <c r="M31" t="s">
        <v>241</v>
      </c>
      <c r="N31" t="s">
        <v>448</v>
      </c>
      <c r="O31" t="s">
        <v>377</v>
      </c>
      <c r="P31" t="s">
        <v>676</v>
      </c>
      <c r="Q31"/>
      <c r="R31"/>
      <c r="S31" t="str">
        <f t="shared" si="4"/>
        <v>XTRAOAG</v>
      </c>
      <c r="T31" t="str">
        <f t="shared" si="5"/>
        <v>OAG</v>
      </c>
      <c r="U31" t="str">
        <f t="shared" si="5"/>
        <v>TRAOAG</v>
      </c>
      <c r="V31">
        <v>1</v>
      </c>
      <c r="W31">
        <v>60</v>
      </c>
      <c r="X31"/>
      <c r="Y31">
        <v>1</v>
      </c>
      <c r="Z31">
        <v>1</v>
      </c>
    </row>
    <row r="32" spans="2:26" ht="15" x14ac:dyDescent="0.25">
      <c r="B32" t="s">
        <v>11</v>
      </c>
      <c r="C32" t="s">
        <v>206</v>
      </c>
      <c r="D32" t="str">
        <f t="shared" si="1"/>
        <v>UPSOCR</v>
      </c>
      <c r="E32" t="str">
        <f t="shared" si="0"/>
        <v>Upstream Oil Crude</v>
      </c>
      <c r="F32" t="s">
        <v>241</v>
      </c>
      <c r="G32"/>
      <c r="H32"/>
      <c r="I32"/>
      <c r="J32"/>
      <c r="K32" t="str">
        <f t="shared" si="2"/>
        <v>XUPSOCR</v>
      </c>
      <c r="L32" t="str">
        <f t="shared" si="3"/>
        <v>Upstream Oil Crude</v>
      </c>
      <c r="M32" t="s">
        <v>241</v>
      </c>
      <c r="N32" t="s">
        <v>448</v>
      </c>
      <c r="O32" t="s">
        <v>377</v>
      </c>
      <c r="P32" t="s">
        <v>676</v>
      </c>
      <c r="Q32"/>
      <c r="R32"/>
      <c r="S32" t="str">
        <f t="shared" si="4"/>
        <v>XUPSOCR</v>
      </c>
      <c r="T32" t="str">
        <f t="shared" si="5"/>
        <v>OCR</v>
      </c>
      <c r="U32" t="str">
        <f t="shared" si="5"/>
        <v>UPSOCR</v>
      </c>
      <c r="V32">
        <v>1</v>
      </c>
      <c r="W32">
        <v>60</v>
      </c>
      <c r="X32"/>
      <c r="Y32">
        <v>1</v>
      </c>
      <c r="Z32">
        <v>1</v>
      </c>
    </row>
    <row r="33" spans="2:31" ht="15" x14ac:dyDescent="0.25">
      <c r="B33" t="s">
        <v>5</v>
      </c>
      <c r="C33" t="s">
        <v>208</v>
      </c>
      <c r="D33" t="str">
        <f t="shared" si="1"/>
        <v>AGRODS</v>
      </c>
      <c r="E33" t="str">
        <f t="shared" si="0"/>
        <v>Agriculture Oil Diesel</v>
      </c>
      <c r="F33" t="s">
        <v>241</v>
      </c>
      <c r="G33"/>
      <c r="H33"/>
      <c r="I33"/>
      <c r="J33"/>
      <c r="K33" t="str">
        <f t="shared" si="2"/>
        <v>XAGRODS</v>
      </c>
      <c r="L33" t="str">
        <f t="shared" si="3"/>
        <v>Agriculture Oil Diesel</v>
      </c>
      <c r="M33" t="s">
        <v>241</v>
      </c>
      <c r="N33" t="s">
        <v>448</v>
      </c>
      <c r="O33" t="s">
        <v>377</v>
      </c>
      <c r="P33" t="s">
        <v>676</v>
      </c>
      <c r="Q33"/>
      <c r="R33"/>
      <c r="S33" t="str">
        <f t="shared" si="4"/>
        <v>XAGRODS</v>
      </c>
      <c r="T33" t="str">
        <f t="shared" si="5"/>
        <v>ODS</v>
      </c>
      <c r="U33" t="str">
        <f t="shared" si="5"/>
        <v>AGRODS</v>
      </c>
      <c r="V33">
        <v>1</v>
      </c>
      <c r="W33">
        <v>60</v>
      </c>
      <c r="X33"/>
      <c r="Y33">
        <v>1</v>
      </c>
      <c r="Z33">
        <v>1</v>
      </c>
    </row>
    <row r="34" spans="2:31" ht="15" x14ac:dyDescent="0.25">
      <c r="B34" t="s">
        <v>6</v>
      </c>
      <c r="C34" t="s">
        <v>208</v>
      </c>
      <c r="D34" t="str">
        <f t="shared" si="1"/>
        <v>COMODS</v>
      </c>
      <c r="E34" t="str">
        <f t="shared" si="0"/>
        <v>Commerce Oil Diesel</v>
      </c>
      <c r="F34" t="s">
        <v>241</v>
      </c>
      <c r="G34"/>
      <c r="H34"/>
      <c r="I34"/>
      <c r="J34"/>
      <c r="K34" t="str">
        <f t="shared" si="2"/>
        <v>XCOMODS</v>
      </c>
      <c r="L34" t="str">
        <f t="shared" si="3"/>
        <v>Commerce Oil Diesel</v>
      </c>
      <c r="M34" t="s">
        <v>241</v>
      </c>
      <c r="N34" t="s">
        <v>448</v>
      </c>
      <c r="O34" t="s">
        <v>377</v>
      </c>
      <c r="P34" t="s">
        <v>676</v>
      </c>
      <c r="Q34"/>
      <c r="R34"/>
      <c r="S34" t="str">
        <f t="shared" si="4"/>
        <v>XCOMODS</v>
      </c>
      <c r="T34" t="str">
        <f t="shared" si="5"/>
        <v>ODS</v>
      </c>
      <c r="U34" t="str">
        <f t="shared" si="5"/>
        <v>COMODS</v>
      </c>
      <c r="V34">
        <v>1</v>
      </c>
      <c r="W34">
        <v>60</v>
      </c>
      <c r="X34"/>
      <c r="Y34">
        <v>1</v>
      </c>
      <c r="Z34">
        <v>1</v>
      </c>
    </row>
    <row r="35" spans="2:31" ht="15" x14ac:dyDescent="0.25">
      <c r="B35" t="s">
        <v>7</v>
      </c>
      <c r="C35" t="s">
        <v>208</v>
      </c>
      <c r="D35" t="str">
        <f t="shared" si="1"/>
        <v>INDODS</v>
      </c>
      <c r="E35" t="str">
        <f t="shared" si="0"/>
        <v>Industry Oil Diesel</v>
      </c>
      <c r="F35" t="s">
        <v>241</v>
      </c>
      <c r="G35"/>
      <c r="H35"/>
      <c r="I35"/>
      <c r="J35"/>
      <c r="K35" t="str">
        <f t="shared" si="2"/>
        <v>XINDODS</v>
      </c>
      <c r="L35" t="str">
        <f t="shared" si="3"/>
        <v>Industry Oil Diesel</v>
      </c>
      <c r="M35" t="s">
        <v>241</v>
      </c>
      <c r="N35" t="s">
        <v>448</v>
      </c>
      <c r="O35" t="s">
        <v>377</v>
      </c>
      <c r="P35" t="s">
        <v>676</v>
      </c>
      <c r="Q35"/>
      <c r="R35"/>
      <c r="S35" t="str">
        <f t="shared" si="4"/>
        <v>XINDODS</v>
      </c>
      <c r="T35" t="str">
        <f t="shared" si="5"/>
        <v>ODS</v>
      </c>
      <c r="U35" t="str">
        <f t="shared" si="5"/>
        <v>INDODS</v>
      </c>
      <c r="V35">
        <v>1</v>
      </c>
      <c r="W35">
        <v>60</v>
      </c>
      <c r="X35"/>
      <c r="Y35">
        <v>1</v>
      </c>
      <c r="Z35">
        <v>1</v>
      </c>
    </row>
    <row r="36" spans="2:31" ht="15" x14ac:dyDescent="0.25">
      <c r="B36" t="s">
        <v>8</v>
      </c>
      <c r="C36" t="s">
        <v>208</v>
      </c>
      <c r="D36" t="str">
        <f t="shared" si="1"/>
        <v>TRAODS</v>
      </c>
      <c r="E36" t="str">
        <f t="shared" si="0"/>
        <v>Transport Oil Diesel</v>
      </c>
      <c r="F36" t="s">
        <v>241</v>
      </c>
      <c r="G36"/>
      <c r="H36"/>
      <c r="I36"/>
      <c r="J36"/>
      <c r="K36" t="str">
        <f t="shared" si="2"/>
        <v>XTRAODS</v>
      </c>
      <c r="L36" t="str">
        <f t="shared" si="3"/>
        <v>Transport Oil Diesel</v>
      </c>
      <c r="M36" t="s">
        <v>241</v>
      </c>
      <c r="N36" t="s">
        <v>448</v>
      </c>
      <c r="O36" t="s">
        <v>377</v>
      </c>
      <c r="P36" t="s">
        <v>676</v>
      </c>
      <c r="Q36"/>
      <c r="R36"/>
      <c r="S36" t="str">
        <f t="shared" si="4"/>
        <v>XTRAODS</v>
      </c>
      <c r="T36" t="str">
        <f t="shared" si="5"/>
        <v>ODS</v>
      </c>
      <c r="U36" t="str">
        <f t="shared" si="5"/>
        <v>TRAODS</v>
      </c>
      <c r="V36">
        <v>1</v>
      </c>
      <c r="W36">
        <v>60</v>
      </c>
      <c r="X36"/>
      <c r="Y36">
        <v>1</v>
      </c>
      <c r="Z36">
        <v>1</v>
      </c>
    </row>
    <row r="37" spans="2:31" ht="15" x14ac:dyDescent="0.25">
      <c r="B37" t="s">
        <v>10</v>
      </c>
      <c r="C37" t="s">
        <v>208</v>
      </c>
      <c r="D37" t="str">
        <f t="shared" ref="D37" si="6">B37&amp;C37</f>
        <v>PWRODS</v>
      </c>
      <c r="E37" t="str">
        <f t="shared" ref="E37" si="7">INDEX(SectorNamesLong,MATCH(B37,SectorNamesShort,0))&amp;" "&amp;INDEX(FuelNamesLong,MATCH(C37,FuelNamesShort,0))</f>
        <v>Power Oil Diesel</v>
      </c>
      <c r="F37" t="s">
        <v>241</v>
      </c>
      <c r="G37"/>
      <c r="H37"/>
      <c r="I37"/>
      <c r="J37"/>
      <c r="K37" t="str">
        <f t="shared" ref="K37" si="8">"X"&amp;D37</f>
        <v>XPWRODS</v>
      </c>
      <c r="L37" t="str">
        <f t="shared" ref="L37" si="9">E37</f>
        <v>Power Oil Diesel</v>
      </c>
      <c r="M37" t="s">
        <v>241</v>
      </c>
      <c r="N37" t="s">
        <v>448</v>
      </c>
      <c r="O37" t="s">
        <v>377</v>
      </c>
      <c r="P37" t="s">
        <v>676</v>
      </c>
      <c r="Q37"/>
      <c r="R37"/>
      <c r="S37" t="str">
        <f t="shared" ref="S37" si="10">K37</f>
        <v>XPWRODS</v>
      </c>
      <c r="T37" t="str">
        <f t="shared" ref="T37" si="11">C37</f>
        <v>ODS</v>
      </c>
      <c r="U37" t="str">
        <f t="shared" ref="U37" si="12">D37</f>
        <v>PWRODS</v>
      </c>
      <c r="V37">
        <v>1</v>
      </c>
      <c r="W37">
        <v>60</v>
      </c>
      <c r="X37"/>
      <c r="Y37">
        <v>1</v>
      </c>
      <c r="Z37">
        <v>1</v>
      </c>
    </row>
    <row r="38" spans="2:31" ht="15" x14ac:dyDescent="0.25">
      <c r="B38" t="s">
        <v>5</v>
      </c>
      <c r="C38" t="s">
        <v>210</v>
      </c>
      <c r="D38" t="str">
        <f t="shared" si="1"/>
        <v>AGROGS</v>
      </c>
      <c r="E38" t="str">
        <f t="shared" si="0"/>
        <v>Agriculture Oil Gasoline</v>
      </c>
      <c r="F38" t="s">
        <v>241</v>
      </c>
      <c r="G38"/>
      <c r="H38"/>
      <c r="I38"/>
      <c r="J38"/>
      <c r="K38" t="str">
        <f t="shared" si="2"/>
        <v>XAGROGS</v>
      </c>
      <c r="L38" t="str">
        <f t="shared" si="3"/>
        <v>Agriculture Oil Gasoline</v>
      </c>
      <c r="M38" t="s">
        <v>241</v>
      </c>
      <c r="N38" t="s">
        <v>448</v>
      </c>
      <c r="O38" t="s">
        <v>377</v>
      </c>
      <c r="P38" t="s">
        <v>676</v>
      </c>
      <c r="Q38"/>
      <c r="R38"/>
      <c r="S38" t="str">
        <f t="shared" si="4"/>
        <v>XAGROGS</v>
      </c>
      <c r="T38" t="str">
        <f t="shared" si="5"/>
        <v>OGS</v>
      </c>
      <c r="U38" t="str">
        <f t="shared" si="5"/>
        <v>AGROGS</v>
      </c>
      <c r="V38">
        <v>1</v>
      </c>
      <c r="W38">
        <v>60</v>
      </c>
      <c r="X38"/>
      <c r="Y38">
        <v>1</v>
      </c>
      <c r="Z38">
        <v>1</v>
      </c>
    </row>
    <row r="39" spans="2:31" ht="15" x14ac:dyDescent="0.25">
      <c r="B39" t="s">
        <v>6</v>
      </c>
      <c r="C39" t="s">
        <v>210</v>
      </c>
      <c r="D39" t="str">
        <f t="shared" si="1"/>
        <v>COMOGS</v>
      </c>
      <c r="E39" t="str">
        <f t="shared" si="0"/>
        <v>Commerce Oil Gasoline</v>
      </c>
      <c r="F39" t="s">
        <v>241</v>
      </c>
      <c r="G39"/>
      <c r="H39"/>
      <c r="I39"/>
      <c r="J39"/>
      <c r="K39" t="str">
        <f t="shared" si="2"/>
        <v>XCOMOGS</v>
      </c>
      <c r="L39" t="str">
        <f t="shared" si="3"/>
        <v>Commerce Oil Gasoline</v>
      </c>
      <c r="M39" t="s">
        <v>241</v>
      </c>
      <c r="N39" t="s">
        <v>448</v>
      </c>
      <c r="O39" t="s">
        <v>377</v>
      </c>
      <c r="P39" t="s">
        <v>676</v>
      </c>
      <c r="Q39"/>
      <c r="R39"/>
      <c r="S39" t="str">
        <f t="shared" si="4"/>
        <v>XCOMOGS</v>
      </c>
      <c r="T39" t="str">
        <f t="shared" si="5"/>
        <v>OGS</v>
      </c>
      <c r="U39" t="str">
        <f t="shared" si="5"/>
        <v>COMOGS</v>
      </c>
      <c r="V39">
        <v>1</v>
      </c>
      <c r="W39">
        <v>60</v>
      </c>
      <c r="X39"/>
      <c r="Y39">
        <v>1</v>
      </c>
      <c r="Z39">
        <v>1</v>
      </c>
    </row>
    <row r="40" spans="2:31" ht="15" x14ac:dyDescent="0.25">
      <c r="B40" t="s">
        <v>7</v>
      </c>
      <c r="C40" t="s">
        <v>210</v>
      </c>
      <c r="D40" t="str">
        <f t="shared" si="1"/>
        <v>INDOGS</v>
      </c>
      <c r="E40" t="str">
        <f t="shared" si="0"/>
        <v>Industry Oil Gasoline</v>
      </c>
      <c r="F40" t="s">
        <v>241</v>
      </c>
      <c r="G40"/>
      <c r="H40"/>
      <c r="I40"/>
      <c r="J40"/>
      <c r="K40" t="str">
        <f t="shared" si="2"/>
        <v>XINDOGS</v>
      </c>
      <c r="L40" t="str">
        <f t="shared" si="3"/>
        <v>Industry Oil Gasoline</v>
      </c>
      <c r="M40" t="s">
        <v>241</v>
      </c>
      <c r="N40" t="s">
        <v>448</v>
      </c>
      <c r="O40" t="s">
        <v>377</v>
      </c>
      <c r="P40" t="s">
        <v>676</v>
      </c>
      <c r="Q40"/>
      <c r="R40"/>
      <c r="S40" t="str">
        <f t="shared" si="4"/>
        <v>XINDOGS</v>
      </c>
      <c r="T40" t="str">
        <f t="shared" si="5"/>
        <v>OGS</v>
      </c>
      <c r="U40" t="str">
        <f t="shared" si="5"/>
        <v>INDOGS</v>
      </c>
      <c r="V40">
        <v>1</v>
      </c>
      <c r="W40">
        <v>60</v>
      </c>
      <c r="X40"/>
      <c r="Y40">
        <v>1</v>
      </c>
      <c r="Z40">
        <v>1</v>
      </c>
    </row>
    <row r="41" spans="2:31" ht="15" x14ac:dyDescent="0.25">
      <c r="B41" t="s">
        <v>8</v>
      </c>
      <c r="C41" t="s">
        <v>210</v>
      </c>
      <c r="D41" t="str">
        <f t="shared" si="1"/>
        <v>TRAOGS</v>
      </c>
      <c r="E41" t="str">
        <f t="shared" si="0"/>
        <v>Transport Oil Gasoline</v>
      </c>
      <c r="F41" t="s">
        <v>241</v>
      </c>
      <c r="G41"/>
      <c r="H41"/>
      <c r="I41"/>
      <c r="J41"/>
      <c r="K41" t="str">
        <f t="shared" si="2"/>
        <v>XTRAOGS</v>
      </c>
      <c r="L41" t="str">
        <f t="shared" si="3"/>
        <v>Transport Oil Gasoline</v>
      </c>
      <c r="M41" t="s">
        <v>241</v>
      </c>
      <c r="N41" t="s">
        <v>448</v>
      </c>
      <c r="O41" t="s">
        <v>377</v>
      </c>
      <c r="P41" t="s">
        <v>676</v>
      </c>
      <c r="Q41"/>
      <c r="R41"/>
      <c r="S41" t="str">
        <f t="shared" si="4"/>
        <v>XTRAOGS</v>
      </c>
      <c r="T41" t="str">
        <f t="shared" si="5"/>
        <v>OGS</v>
      </c>
      <c r="U41" t="str">
        <f t="shared" si="5"/>
        <v>TRAOGS</v>
      </c>
      <c r="V41">
        <v>1</v>
      </c>
      <c r="W41">
        <v>60</v>
      </c>
      <c r="X41"/>
      <c r="Y41">
        <v>1</v>
      </c>
      <c r="Z41">
        <v>1</v>
      </c>
    </row>
    <row r="42" spans="2:31" ht="15" x14ac:dyDescent="0.25">
      <c r="B42" t="s">
        <v>5</v>
      </c>
      <c r="C42" t="s">
        <v>212</v>
      </c>
      <c r="D42" t="str">
        <f t="shared" si="1"/>
        <v>AGROHF</v>
      </c>
      <c r="E42" t="str">
        <f t="shared" si="0"/>
        <v>Agriculture Oil HFO</v>
      </c>
      <c r="F42" t="s">
        <v>241</v>
      </c>
      <c r="G42"/>
      <c r="H42"/>
      <c r="I42"/>
      <c r="J42"/>
      <c r="K42" t="str">
        <f t="shared" si="2"/>
        <v>XAGROHF</v>
      </c>
      <c r="L42" t="str">
        <f t="shared" si="3"/>
        <v>Agriculture Oil HFO</v>
      </c>
      <c r="M42" t="s">
        <v>241</v>
      </c>
      <c r="N42" t="s">
        <v>448</v>
      </c>
      <c r="O42" t="s">
        <v>377</v>
      </c>
      <c r="P42" t="s">
        <v>676</v>
      </c>
      <c r="Q42"/>
      <c r="R42"/>
      <c r="S42" t="str">
        <f t="shared" si="4"/>
        <v>XAGROHF</v>
      </c>
      <c r="T42" t="str">
        <f t="shared" si="5"/>
        <v>OHF</v>
      </c>
      <c r="U42" t="str">
        <f t="shared" si="5"/>
        <v>AGROHF</v>
      </c>
      <c r="V42">
        <v>1</v>
      </c>
      <c r="W42">
        <v>60</v>
      </c>
      <c r="X42"/>
      <c r="Y42">
        <v>1</v>
      </c>
      <c r="Z42">
        <v>1</v>
      </c>
      <c r="AE42"/>
    </row>
    <row r="43" spans="2:31" ht="15" x14ac:dyDescent="0.25">
      <c r="B43" t="s">
        <v>6</v>
      </c>
      <c r="C43" t="s">
        <v>212</v>
      </c>
      <c r="D43" t="str">
        <f t="shared" si="1"/>
        <v>COMOHF</v>
      </c>
      <c r="E43" t="str">
        <f t="shared" si="0"/>
        <v>Commerce Oil HFO</v>
      </c>
      <c r="F43" t="s">
        <v>241</v>
      </c>
      <c r="G43"/>
      <c r="H43"/>
      <c r="I43"/>
      <c r="J43"/>
      <c r="K43" t="str">
        <f t="shared" si="2"/>
        <v>XCOMOHF</v>
      </c>
      <c r="L43" t="str">
        <f t="shared" si="3"/>
        <v>Commerce Oil HFO</v>
      </c>
      <c r="M43" t="s">
        <v>241</v>
      </c>
      <c r="N43" t="s">
        <v>448</v>
      </c>
      <c r="O43" t="s">
        <v>377</v>
      </c>
      <c r="P43" t="s">
        <v>676</v>
      </c>
      <c r="Q43"/>
      <c r="R43"/>
      <c r="S43" t="str">
        <f t="shared" si="4"/>
        <v>XCOMOHF</v>
      </c>
      <c r="T43" t="str">
        <f t="shared" si="5"/>
        <v>OHF</v>
      </c>
      <c r="U43" t="str">
        <f t="shared" si="5"/>
        <v>COMOHF</v>
      </c>
      <c r="V43">
        <v>1</v>
      </c>
      <c r="W43">
        <v>60</v>
      </c>
      <c r="X43"/>
      <c r="Y43">
        <v>1</v>
      </c>
      <c r="Z43">
        <v>1</v>
      </c>
      <c r="AE43"/>
    </row>
    <row r="44" spans="2:31" ht="15" x14ac:dyDescent="0.25">
      <c r="B44" t="s">
        <v>7</v>
      </c>
      <c r="C44" t="s">
        <v>212</v>
      </c>
      <c r="D44" t="str">
        <f t="shared" si="1"/>
        <v>INDOHF</v>
      </c>
      <c r="E44" t="str">
        <f t="shared" si="0"/>
        <v>Industry Oil HFO</v>
      </c>
      <c r="F44" t="s">
        <v>241</v>
      </c>
      <c r="G44"/>
      <c r="H44"/>
      <c r="I44"/>
      <c r="J44"/>
      <c r="K44" t="str">
        <f t="shared" si="2"/>
        <v>XINDOHF</v>
      </c>
      <c r="L44" t="str">
        <f t="shared" si="3"/>
        <v>Industry Oil HFO</v>
      </c>
      <c r="M44" t="s">
        <v>241</v>
      </c>
      <c r="N44" t="s">
        <v>448</v>
      </c>
      <c r="O44" t="s">
        <v>377</v>
      </c>
      <c r="P44" t="s">
        <v>676</v>
      </c>
      <c r="Q44"/>
      <c r="R44"/>
      <c r="S44" t="str">
        <f t="shared" si="4"/>
        <v>XINDOHF</v>
      </c>
      <c r="T44" t="str">
        <f t="shared" si="5"/>
        <v>OHF</v>
      </c>
      <c r="U44" t="str">
        <f t="shared" si="5"/>
        <v>INDOHF</v>
      </c>
      <c r="V44">
        <v>1</v>
      </c>
      <c r="W44">
        <v>60</v>
      </c>
      <c r="X44"/>
      <c r="Y44">
        <v>1</v>
      </c>
      <c r="Z44">
        <v>1</v>
      </c>
      <c r="AE44"/>
    </row>
    <row r="45" spans="2:31" ht="15" x14ac:dyDescent="0.25">
      <c r="B45" t="s">
        <v>8</v>
      </c>
      <c r="C45" t="s">
        <v>212</v>
      </c>
      <c r="D45" t="str">
        <f t="shared" si="1"/>
        <v>TRAOHF</v>
      </c>
      <c r="E45" t="str">
        <f t="shared" si="0"/>
        <v>Transport Oil HFO</v>
      </c>
      <c r="F45" t="s">
        <v>241</v>
      </c>
      <c r="G45"/>
      <c r="H45"/>
      <c r="I45"/>
      <c r="J45"/>
      <c r="K45" t="str">
        <f t="shared" si="2"/>
        <v>XTRAOHF</v>
      </c>
      <c r="L45" t="str">
        <f t="shared" si="3"/>
        <v>Transport Oil HFO</v>
      </c>
      <c r="M45" t="s">
        <v>241</v>
      </c>
      <c r="N45" t="s">
        <v>448</v>
      </c>
      <c r="O45" t="s">
        <v>377</v>
      </c>
      <c r="P45" t="s">
        <v>676</v>
      </c>
      <c r="Q45"/>
      <c r="R45"/>
      <c r="S45" t="str">
        <f t="shared" si="4"/>
        <v>XTRAOHF</v>
      </c>
      <c r="T45" t="str">
        <f t="shared" si="5"/>
        <v>OHF</v>
      </c>
      <c r="U45" t="str">
        <f t="shared" si="5"/>
        <v>TRAOHF</v>
      </c>
      <c r="V45">
        <v>1</v>
      </c>
      <c r="W45">
        <v>60</v>
      </c>
      <c r="X45"/>
      <c r="Y45">
        <v>1</v>
      </c>
      <c r="Z45">
        <v>1</v>
      </c>
      <c r="AE45"/>
    </row>
    <row r="46" spans="2:31" ht="15" x14ac:dyDescent="0.25">
      <c r="B46" t="s">
        <v>10</v>
      </c>
      <c r="C46" t="s">
        <v>212</v>
      </c>
      <c r="D46" t="str">
        <f t="shared" ref="D46" si="13">B46&amp;C46</f>
        <v>PWROHF</v>
      </c>
      <c r="E46" t="str">
        <f t="shared" ref="E46" si="14">INDEX(SectorNamesLong,MATCH(B46,SectorNamesShort,0))&amp;" "&amp;INDEX(FuelNamesLong,MATCH(C46,FuelNamesShort,0))</f>
        <v>Power Oil HFO</v>
      </c>
      <c r="F46" t="s">
        <v>241</v>
      </c>
      <c r="G46"/>
      <c r="H46"/>
      <c r="I46"/>
      <c r="J46"/>
      <c r="K46" t="str">
        <f t="shared" ref="K46" si="15">"X"&amp;D46</f>
        <v>XPWROHF</v>
      </c>
      <c r="L46" t="str">
        <f t="shared" ref="L46" si="16">E46</f>
        <v>Power Oil HFO</v>
      </c>
      <c r="M46" t="s">
        <v>241</v>
      </c>
      <c r="N46" t="s">
        <v>448</v>
      </c>
      <c r="O46" t="s">
        <v>377</v>
      </c>
      <c r="P46" t="s">
        <v>676</v>
      </c>
      <c r="Q46"/>
      <c r="R46"/>
      <c r="S46" t="str">
        <f t="shared" ref="S46" si="17">K46</f>
        <v>XPWROHF</v>
      </c>
      <c r="T46" t="str">
        <f t="shared" ref="T46" si="18">C46</f>
        <v>OHF</v>
      </c>
      <c r="U46" t="str">
        <f t="shared" ref="U46" si="19">D46</f>
        <v>PWROHF</v>
      </c>
      <c r="V46">
        <v>1</v>
      </c>
      <c r="W46">
        <v>60</v>
      </c>
      <c r="X46"/>
      <c r="Y46">
        <v>1</v>
      </c>
      <c r="Z46">
        <v>1</v>
      </c>
      <c r="AE46"/>
    </row>
    <row r="47" spans="2:31" ht="15" x14ac:dyDescent="0.25">
      <c r="B47" t="s">
        <v>5</v>
      </c>
      <c r="C47" t="s">
        <v>214</v>
      </c>
      <c r="D47" t="str">
        <f t="shared" si="1"/>
        <v>AGROKE</v>
      </c>
      <c r="E47" t="str">
        <f t="shared" si="0"/>
        <v>Agriculture Oil Kerosene</v>
      </c>
      <c r="F47" t="s">
        <v>241</v>
      </c>
      <c r="G47"/>
      <c r="H47"/>
      <c r="I47"/>
      <c r="J47"/>
      <c r="K47" t="str">
        <f t="shared" si="2"/>
        <v>XAGROKE</v>
      </c>
      <c r="L47" t="str">
        <f t="shared" si="3"/>
        <v>Agriculture Oil Kerosene</v>
      </c>
      <c r="M47" t="s">
        <v>241</v>
      </c>
      <c r="N47" t="s">
        <v>448</v>
      </c>
      <c r="O47" t="s">
        <v>377</v>
      </c>
      <c r="P47" t="s">
        <v>676</v>
      </c>
      <c r="Q47"/>
      <c r="R47"/>
      <c r="S47" t="str">
        <f t="shared" si="4"/>
        <v>XAGROKE</v>
      </c>
      <c r="T47" t="str">
        <f t="shared" si="5"/>
        <v>OKE</v>
      </c>
      <c r="U47" t="str">
        <f t="shared" si="5"/>
        <v>AGROKE</v>
      </c>
      <c r="V47">
        <v>1</v>
      </c>
      <c r="W47">
        <v>60</v>
      </c>
      <c r="X47"/>
      <c r="Y47">
        <v>1</v>
      </c>
      <c r="Z47">
        <v>1</v>
      </c>
      <c r="AE47"/>
    </row>
    <row r="48" spans="2:31" ht="15" x14ac:dyDescent="0.25">
      <c r="B48" t="s">
        <v>6</v>
      </c>
      <c r="C48" t="s">
        <v>214</v>
      </c>
      <c r="D48" t="str">
        <f t="shared" si="1"/>
        <v>COMOKE</v>
      </c>
      <c r="E48" t="str">
        <f t="shared" si="0"/>
        <v>Commerce Oil Kerosene</v>
      </c>
      <c r="F48" t="s">
        <v>241</v>
      </c>
      <c r="G48"/>
      <c r="H48"/>
      <c r="I48"/>
      <c r="J48"/>
      <c r="K48" t="str">
        <f t="shared" si="2"/>
        <v>XCOMOKE</v>
      </c>
      <c r="L48" t="str">
        <f t="shared" si="3"/>
        <v>Commerce Oil Kerosene</v>
      </c>
      <c r="M48" t="s">
        <v>241</v>
      </c>
      <c r="N48" t="s">
        <v>448</v>
      </c>
      <c r="O48" t="s">
        <v>377</v>
      </c>
      <c r="P48" t="s">
        <v>676</v>
      </c>
      <c r="Q48"/>
      <c r="R48"/>
      <c r="S48" t="str">
        <f t="shared" si="4"/>
        <v>XCOMOKE</v>
      </c>
      <c r="T48" t="str">
        <f t="shared" si="5"/>
        <v>OKE</v>
      </c>
      <c r="U48" t="str">
        <f t="shared" si="5"/>
        <v>COMOKE</v>
      </c>
      <c r="V48">
        <v>1</v>
      </c>
      <c r="W48">
        <v>60</v>
      </c>
      <c r="X48"/>
      <c r="Y48">
        <v>1</v>
      </c>
      <c r="Z48">
        <v>1</v>
      </c>
      <c r="AE48"/>
    </row>
    <row r="49" spans="2:31" ht="15" x14ac:dyDescent="0.25">
      <c r="B49" t="s">
        <v>9</v>
      </c>
      <c r="C49" t="s">
        <v>214</v>
      </c>
      <c r="D49" t="str">
        <f t="shared" si="1"/>
        <v>RESOKE</v>
      </c>
      <c r="E49" t="str">
        <f t="shared" si="0"/>
        <v>Residential Oil Kerosene</v>
      </c>
      <c r="F49" t="s">
        <v>241</v>
      </c>
      <c r="G49"/>
      <c r="H49"/>
      <c r="I49"/>
      <c r="J49"/>
      <c r="K49" t="str">
        <f t="shared" si="2"/>
        <v>XRESOKE</v>
      </c>
      <c r="L49" t="str">
        <f t="shared" si="3"/>
        <v>Residential Oil Kerosene</v>
      </c>
      <c r="M49" t="s">
        <v>241</v>
      </c>
      <c r="N49" t="s">
        <v>448</v>
      </c>
      <c r="O49" t="s">
        <v>377</v>
      </c>
      <c r="P49" t="s">
        <v>676</v>
      </c>
      <c r="Q49"/>
      <c r="R49"/>
      <c r="S49" t="str">
        <f t="shared" si="4"/>
        <v>XRESOKE</v>
      </c>
      <c r="T49" t="str">
        <f t="shared" si="5"/>
        <v>OKE</v>
      </c>
      <c r="U49" t="str">
        <f t="shared" si="5"/>
        <v>RESOKE</v>
      </c>
      <c r="V49">
        <v>1</v>
      </c>
      <c r="W49">
        <v>60</v>
      </c>
      <c r="X49"/>
      <c r="Y49">
        <v>1</v>
      </c>
      <c r="Z49">
        <v>1</v>
      </c>
      <c r="AE49"/>
    </row>
    <row r="50" spans="2:31" ht="15" x14ac:dyDescent="0.25">
      <c r="B50" t="s">
        <v>8</v>
      </c>
      <c r="C50" t="s">
        <v>214</v>
      </c>
      <c r="D50" t="str">
        <f t="shared" si="1"/>
        <v>TRAOKE</v>
      </c>
      <c r="E50" t="str">
        <f t="shared" si="0"/>
        <v>Transport Oil Kerosene</v>
      </c>
      <c r="F50" t="s">
        <v>241</v>
      </c>
      <c r="G50"/>
      <c r="H50"/>
      <c r="I50"/>
      <c r="J50"/>
      <c r="K50" t="str">
        <f t="shared" si="2"/>
        <v>XTRAOKE</v>
      </c>
      <c r="L50" t="str">
        <f t="shared" si="3"/>
        <v>Transport Oil Kerosene</v>
      </c>
      <c r="M50" t="s">
        <v>241</v>
      </c>
      <c r="N50" t="s">
        <v>448</v>
      </c>
      <c r="O50" t="s">
        <v>377</v>
      </c>
      <c r="P50" t="s">
        <v>676</v>
      </c>
      <c r="Q50"/>
      <c r="R50"/>
      <c r="S50" t="str">
        <f t="shared" si="4"/>
        <v>XTRAOKE</v>
      </c>
      <c r="T50" t="str">
        <f t="shared" si="5"/>
        <v>OKE</v>
      </c>
      <c r="U50" t="str">
        <f t="shared" si="5"/>
        <v>TRAOKE</v>
      </c>
      <c r="V50">
        <v>1</v>
      </c>
      <c r="W50">
        <v>60</v>
      </c>
      <c r="X50"/>
      <c r="Y50">
        <v>1</v>
      </c>
      <c r="Z50">
        <v>1</v>
      </c>
      <c r="AE50"/>
    </row>
    <row r="51" spans="2:31" ht="15" x14ac:dyDescent="0.25">
      <c r="B51" t="s">
        <v>10</v>
      </c>
      <c r="C51" t="s">
        <v>214</v>
      </c>
      <c r="D51" t="str">
        <f t="shared" ref="D51" si="20">B51&amp;C51</f>
        <v>PWROKE</v>
      </c>
      <c r="E51" t="str">
        <f t="shared" ref="E51" si="21">INDEX(SectorNamesLong,MATCH(B51,SectorNamesShort,0))&amp;" "&amp;INDEX(FuelNamesLong,MATCH(C51,FuelNamesShort,0))</f>
        <v>Power Oil Kerosene</v>
      </c>
      <c r="F51" t="s">
        <v>241</v>
      </c>
      <c r="G51"/>
      <c r="H51"/>
      <c r="I51"/>
      <c r="J51"/>
      <c r="K51" t="str">
        <f t="shared" ref="K51" si="22">"X"&amp;D51</f>
        <v>XPWROKE</v>
      </c>
      <c r="L51" t="str">
        <f t="shared" ref="L51" si="23">E51</f>
        <v>Power Oil Kerosene</v>
      </c>
      <c r="M51" t="s">
        <v>241</v>
      </c>
      <c r="N51" t="s">
        <v>448</v>
      </c>
      <c r="O51" t="s">
        <v>377</v>
      </c>
      <c r="P51" t="s">
        <v>676</v>
      </c>
      <c r="Q51"/>
      <c r="R51"/>
      <c r="S51" t="str">
        <f t="shared" ref="S51" si="24">K51</f>
        <v>XPWROKE</v>
      </c>
      <c r="T51" t="str">
        <f t="shared" ref="T51" si="25">C51</f>
        <v>OKE</v>
      </c>
      <c r="U51" t="str">
        <f t="shared" ref="U51" si="26">D51</f>
        <v>PWROKE</v>
      </c>
      <c r="V51">
        <v>1</v>
      </c>
      <c r="W51">
        <v>60</v>
      </c>
      <c r="X51"/>
      <c r="Y51">
        <v>1</v>
      </c>
      <c r="Z51">
        <v>1</v>
      </c>
      <c r="AE51"/>
    </row>
    <row r="52" spans="2:31" ht="15" x14ac:dyDescent="0.25">
      <c r="B52" t="s">
        <v>5</v>
      </c>
      <c r="C52" t="s">
        <v>216</v>
      </c>
      <c r="D52" t="str">
        <f t="shared" si="1"/>
        <v>AGROLP</v>
      </c>
      <c r="E52" t="str">
        <f t="shared" si="0"/>
        <v>Agriculture Oil LPG</v>
      </c>
      <c r="F52" t="s">
        <v>241</v>
      </c>
      <c r="G52"/>
      <c r="H52"/>
      <c r="I52"/>
      <c r="J52"/>
      <c r="K52" t="str">
        <f t="shared" si="2"/>
        <v>XAGROLP</v>
      </c>
      <c r="L52" t="str">
        <f t="shared" si="3"/>
        <v>Agriculture Oil LPG</v>
      </c>
      <c r="M52" t="s">
        <v>241</v>
      </c>
      <c r="N52" t="s">
        <v>448</v>
      </c>
      <c r="O52" t="s">
        <v>377</v>
      </c>
      <c r="P52" t="s">
        <v>676</v>
      </c>
      <c r="Q52"/>
      <c r="R52"/>
      <c r="S52" t="str">
        <f t="shared" si="4"/>
        <v>XAGROLP</v>
      </c>
      <c r="T52" t="str">
        <f t="shared" si="5"/>
        <v>OLP</v>
      </c>
      <c r="U52" t="str">
        <f t="shared" si="5"/>
        <v>AGROLP</v>
      </c>
      <c r="V52">
        <v>1</v>
      </c>
      <c r="W52">
        <v>60</v>
      </c>
      <c r="X52"/>
      <c r="Y52">
        <v>1</v>
      </c>
      <c r="Z52">
        <v>1</v>
      </c>
      <c r="AE52"/>
    </row>
    <row r="53" spans="2:31" ht="15" x14ac:dyDescent="0.25">
      <c r="B53" t="s">
        <v>6</v>
      </c>
      <c r="C53" t="s">
        <v>216</v>
      </c>
      <c r="D53" t="str">
        <f t="shared" si="1"/>
        <v>COMOLP</v>
      </c>
      <c r="E53" t="str">
        <f t="shared" si="0"/>
        <v>Commerce Oil LPG</v>
      </c>
      <c r="F53" t="s">
        <v>241</v>
      </c>
      <c r="G53"/>
      <c r="H53"/>
      <c r="I53"/>
      <c r="J53"/>
      <c r="K53" t="str">
        <f t="shared" si="2"/>
        <v>XCOMOLP</v>
      </c>
      <c r="L53" t="str">
        <f t="shared" si="3"/>
        <v>Commerce Oil LPG</v>
      </c>
      <c r="M53" t="s">
        <v>241</v>
      </c>
      <c r="N53" t="s">
        <v>448</v>
      </c>
      <c r="O53" t="s">
        <v>377</v>
      </c>
      <c r="P53" t="s">
        <v>676</v>
      </c>
      <c r="Q53"/>
      <c r="R53"/>
      <c r="S53" t="str">
        <f t="shared" si="4"/>
        <v>XCOMOLP</v>
      </c>
      <c r="T53" t="str">
        <f t="shared" si="5"/>
        <v>OLP</v>
      </c>
      <c r="U53" t="str">
        <f t="shared" si="5"/>
        <v>COMOLP</v>
      </c>
      <c r="V53">
        <v>1</v>
      </c>
      <c r="W53">
        <v>60</v>
      </c>
      <c r="X53"/>
      <c r="Y53">
        <v>1</v>
      </c>
      <c r="Z53">
        <v>1</v>
      </c>
      <c r="AE53"/>
    </row>
    <row r="54" spans="2:31" ht="15" x14ac:dyDescent="0.25">
      <c r="B54" t="s">
        <v>7</v>
      </c>
      <c r="C54" t="s">
        <v>216</v>
      </c>
      <c r="D54" t="str">
        <f t="shared" si="1"/>
        <v>INDOLP</v>
      </c>
      <c r="E54" t="str">
        <f t="shared" si="0"/>
        <v>Industry Oil LPG</v>
      </c>
      <c r="F54" t="s">
        <v>241</v>
      </c>
      <c r="G54"/>
      <c r="H54"/>
      <c r="I54"/>
      <c r="J54"/>
      <c r="K54" t="str">
        <f t="shared" si="2"/>
        <v>XINDOLP</v>
      </c>
      <c r="L54" t="str">
        <f t="shared" si="3"/>
        <v>Industry Oil LPG</v>
      </c>
      <c r="M54" t="s">
        <v>241</v>
      </c>
      <c r="N54" t="s">
        <v>448</v>
      </c>
      <c r="O54" t="s">
        <v>377</v>
      </c>
      <c r="P54" t="s">
        <v>676</v>
      </c>
      <c r="Q54"/>
      <c r="R54"/>
      <c r="S54" t="str">
        <f t="shared" si="4"/>
        <v>XINDOLP</v>
      </c>
      <c r="T54" t="str">
        <f t="shared" si="5"/>
        <v>OLP</v>
      </c>
      <c r="U54" t="str">
        <f t="shared" si="5"/>
        <v>INDOLP</v>
      </c>
      <c r="V54">
        <v>1</v>
      </c>
      <c r="W54">
        <v>60</v>
      </c>
      <c r="X54"/>
      <c r="Y54">
        <v>1</v>
      </c>
      <c r="Z54">
        <v>1</v>
      </c>
      <c r="AE54"/>
    </row>
    <row r="55" spans="2:31" ht="15" x14ac:dyDescent="0.25">
      <c r="B55" t="s">
        <v>9</v>
      </c>
      <c r="C55" t="s">
        <v>216</v>
      </c>
      <c r="D55" t="str">
        <f t="shared" si="1"/>
        <v>RESOLP</v>
      </c>
      <c r="E55" t="str">
        <f t="shared" si="0"/>
        <v>Residential Oil LPG</v>
      </c>
      <c r="F55" t="s">
        <v>241</v>
      </c>
      <c r="G55"/>
      <c r="H55"/>
      <c r="I55"/>
      <c r="J55"/>
      <c r="K55" t="str">
        <f t="shared" si="2"/>
        <v>XRESOLP</v>
      </c>
      <c r="L55" t="str">
        <f t="shared" si="3"/>
        <v>Residential Oil LPG</v>
      </c>
      <c r="M55" t="s">
        <v>241</v>
      </c>
      <c r="N55" t="s">
        <v>448</v>
      </c>
      <c r="O55" t="s">
        <v>377</v>
      </c>
      <c r="P55" t="s">
        <v>676</v>
      </c>
      <c r="Q55"/>
      <c r="R55"/>
      <c r="S55" t="str">
        <f t="shared" si="4"/>
        <v>XRESOLP</v>
      </c>
      <c r="T55" t="str">
        <f t="shared" si="5"/>
        <v>OLP</v>
      </c>
      <c r="U55" t="str">
        <f t="shared" si="5"/>
        <v>RESOLP</v>
      </c>
      <c r="V55">
        <v>1</v>
      </c>
      <c r="W55">
        <v>60</v>
      </c>
      <c r="X55"/>
      <c r="Y55">
        <v>1</v>
      </c>
      <c r="Z55">
        <v>1</v>
      </c>
      <c r="AE55"/>
    </row>
    <row r="56" spans="2:31" ht="15" x14ac:dyDescent="0.25">
      <c r="B56" t="s">
        <v>7</v>
      </c>
      <c r="C56" t="s">
        <v>224</v>
      </c>
      <c r="D56" t="str">
        <f t="shared" si="1"/>
        <v>INDWAS</v>
      </c>
      <c r="E56" t="str">
        <f t="shared" si="0"/>
        <v>Industry Waste</v>
      </c>
      <c r="F56" t="s">
        <v>241</v>
      </c>
      <c r="G56"/>
      <c r="H56"/>
      <c r="I56"/>
      <c r="J56"/>
      <c r="K56" t="str">
        <f t="shared" si="2"/>
        <v>XINDWAS</v>
      </c>
      <c r="L56" t="str">
        <f t="shared" si="3"/>
        <v>Industry Waste</v>
      </c>
      <c r="M56" t="s">
        <v>241</v>
      </c>
      <c r="N56" t="s">
        <v>448</v>
      </c>
      <c r="O56" t="s">
        <v>377</v>
      </c>
      <c r="P56" t="s">
        <v>676</v>
      </c>
      <c r="Q56"/>
      <c r="R56"/>
      <c r="S56" t="str">
        <f t="shared" si="4"/>
        <v>XINDWAS</v>
      </c>
      <c r="T56" t="str">
        <f t="shared" si="5"/>
        <v>WAS</v>
      </c>
      <c r="U56" t="str">
        <f t="shared" si="5"/>
        <v>INDWAS</v>
      </c>
      <c r="V56">
        <v>1</v>
      </c>
      <c r="W56">
        <v>60</v>
      </c>
      <c r="X56"/>
      <c r="Y56">
        <v>1</v>
      </c>
      <c r="Z56">
        <v>1</v>
      </c>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sheetData>
  <autoFilter ref="B8:AA56"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678</v>
      </c>
      <c r="W1" s="308">
        <v>40909</v>
      </c>
      <c r="AS1" t="s">
        <v>679</v>
      </c>
      <c r="AU1" t="s">
        <v>680</v>
      </c>
      <c r="AV1" t="s">
        <v>681</v>
      </c>
    </row>
    <row r="2" spans="4:49" ht="18" thickBot="1" x14ac:dyDescent="0.35">
      <c r="D2" s="309" t="s">
        <v>1183</v>
      </c>
      <c r="E2" s="309"/>
      <c r="F2" s="309"/>
      <c r="G2" s="309"/>
      <c r="H2" s="309"/>
      <c r="U2" t="s">
        <v>682</v>
      </c>
      <c r="V2" t="s">
        <v>247</v>
      </c>
      <c r="W2" s="93">
        <f>SUMIF($C$27:$C$110,$W$1,$J$27:$J$110)</f>
        <v>8.2121999999999993</v>
      </c>
      <c r="AS2" t="s">
        <v>683</v>
      </c>
      <c r="AT2" t="s">
        <v>684</v>
      </c>
      <c r="AU2">
        <v>661</v>
      </c>
    </row>
    <row r="3" spans="4:49" ht="15.75" thickTop="1" x14ac:dyDescent="0.25">
      <c r="D3" s="310" t="s">
        <v>685</v>
      </c>
      <c r="V3" t="s">
        <v>686</v>
      </c>
      <c r="W3">
        <f>SUMIF($C$27:$C$110,$W$1,$K$27:$K$110)</f>
        <v>107.96</v>
      </c>
      <c r="AS3" t="s">
        <v>687</v>
      </c>
      <c r="AT3" t="s">
        <v>262</v>
      </c>
      <c r="AU3">
        <f>AU2*W7+W8*1.3</f>
        <v>140.47035923202716</v>
      </c>
      <c r="AV3">
        <v>152.27714285714299</v>
      </c>
      <c r="AW3">
        <f>AV3/AU3</f>
        <v>1.0840517792484146</v>
      </c>
    </row>
    <row r="4" spans="4:49" x14ac:dyDescent="0.25">
      <c r="V4" t="s">
        <v>684</v>
      </c>
      <c r="W4">
        <f>W3*W2</f>
        <v>886.58911199999989</v>
      </c>
      <c r="AS4" t="s">
        <v>496</v>
      </c>
      <c r="AT4" t="s">
        <v>262</v>
      </c>
      <c r="AU4">
        <f>AU2*X7+X8*1.3</f>
        <v>130.60568568627889</v>
      </c>
      <c r="AV4">
        <v>144.90263157894699</v>
      </c>
      <c r="AW4">
        <f>AV4/AU4</f>
        <v>1.1094664892844714</v>
      </c>
    </row>
    <row r="5" spans="4:49" ht="18" thickBot="1" x14ac:dyDescent="0.35">
      <c r="U5" s="310" t="s">
        <v>688</v>
      </c>
      <c r="AB5" s="309" t="s">
        <v>689</v>
      </c>
      <c r="AC5" s="309"/>
      <c r="AD5" s="309"/>
      <c r="AF5" s="309" t="s">
        <v>690</v>
      </c>
      <c r="AG5" s="309"/>
      <c r="AH5" s="309"/>
      <c r="AI5" s="309"/>
      <c r="AJ5" s="309"/>
      <c r="AN5" t="s">
        <v>691</v>
      </c>
      <c r="AO5" t="s">
        <v>692</v>
      </c>
    </row>
    <row r="6" spans="4:49" ht="16.5" thickTop="1" thickBot="1" x14ac:dyDescent="0.3">
      <c r="D6" s="311" t="s">
        <v>493</v>
      </c>
      <c r="H6" s="311" t="s">
        <v>496</v>
      </c>
      <c r="L6" s="311" t="s">
        <v>693</v>
      </c>
      <c r="P6" s="311" t="s">
        <v>499</v>
      </c>
      <c r="V6" t="s">
        <v>694</v>
      </c>
      <c r="W6" t="s">
        <v>493</v>
      </c>
      <c r="X6" t="s">
        <v>496</v>
      </c>
      <c r="Y6" t="s">
        <v>693</v>
      </c>
      <c r="Z6" t="s">
        <v>499</v>
      </c>
      <c r="AB6" t="s">
        <v>695</v>
      </c>
      <c r="AC6">
        <v>45</v>
      </c>
      <c r="AD6" t="s">
        <v>696</v>
      </c>
      <c r="AM6" t="s">
        <v>697</v>
      </c>
      <c r="AN6" t="s">
        <v>698</v>
      </c>
      <c r="AO6" t="s">
        <v>699</v>
      </c>
      <c r="AP6" t="s">
        <v>700</v>
      </c>
    </row>
    <row r="7" spans="4:49" x14ac:dyDescent="0.25">
      <c r="D7" t="s">
        <v>701</v>
      </c>
      <c r="E7">
        <f t="array" ref="E7:F9">LINEST(M75:M110,$L$75:$L$110,TRUE,TRUE)</f>
        <v>0.69131118046539197</v>
      </c>
      <c r="F7">
        <v>18.039952527622177</v>
      </c>
      <c r="H7" t="s">
        <v>701</v>
      </c>
      <c r="I7">
        <f t="array" ref="I7:J9">LINEST(N75:N110,$L$75:$L$110,TRUE,TRUE)</f>
        <v>0.76576896825557872</v>
      </c>
      <c r="J7">
        <v>-6.588942732473015</v>
      </c>
      <c r="L7" t="s">
        <v>701</v>
      </c>
      <c r="M7">
        <f t="array" ref="M7:N9">LINEST(H27:H110,$L$27:$L$110,TRUE,TRUE)</f>
        <v>0.71824017800423035</v>
      </c>
      <c r="N7">
        <v>47.381796282440177</v>
      </c>
      <c r="P7" t="s">
        <v>701</v>
      </c>
      <c r="Q7">
        <f t="array" ref="Q7:R9">LINEST(I101:I110,$L$101:$L$110,TRUE,TRUE)</f>
        <v>0.77267955265970056</v>
      </c>
      <c r="R7">
        <v>814.37721538925723</v>
      </c>
      <c r="U7" t="s">
        <v>702</v>
      </c>
      <c r="V7" s="270">
        <f>1/AC7*1/AC14*1000</f>
        <v>0.16533892382948986</v>
      </c>
      <c r="W7" s="312">
        <f>1/AC8/100*E7*1000</f>
        <v>0.20213777206590408</v>
      </c>
      <c r="X7" s="312">
        <f>1/AC9/100*I7*1000</f>
        <v>0.20098923051327525</v>
      </c>
      <c r="Y7" s="312">
        <f>1/AC10/100*M7*1000</f>
        <v>0.19411896702817036</v>
      </c>
      <c r="Z7" s="312">
        <f>1/AC11/100*Q7*1000</f>
        <v>0.16797381579558707</v>
      </c>
      <c r="AB7" t="s">
        <v>695</v>
      </c>
      <c r="AC7" s="62">
        <f>AC6/AC15*1000</f>
        <v>38.03888419273035</v>
      </c>
      <c r="AD7" t="s">
        <v>698</v>
      </c>
      <c r="AF7" t="s">
        <v>703</v>
      </c>
      <c r="AI7">
        <v>200</v>
      </c>
      <c r="AJ7" t="s">
        <v>262</v>
      </c>
      <c r="AL7" t="s">
        <v>695</v>
      </c>
      <c r="AM7">
        <v>1</v>
      </c>
      <c r="AN7">
        <v>38.5</v>
      </c>
      <c r="AP7">
        <v>6.15</v>
      </c>
    </row>
    <row r="8" spans="4:49" x14ac:dyDescent="0.25">
      <c r="D8" t="s">
        <v>704</v>
      </c>
      <c r="E8">
        <v>2.1689295799937405E-2</v>
      </c>
      <c r="F8">
        <v>16.805407207022476</v>
      </c>
      <c r="H8" t="s">
        <v>704</v>
      </c>
      <c r="I8">
        <v>1.88945947014778E-2</v>
      </c>
      <c r="J8">
        <v>14.640003110239293</v>
      </c>
      <c r="L8" t="s">
        <v>704</v>
      </c>
      <c r="M8">
        <v>2.0929526528181964E-2</v>
      </c>
      <c r="N8">
        <v>14.002957365912605</v>
      </c>
      <c r="P8" t="s">
        <v>704</v>
      </c>
      <c r="Q8">
        <v>0.17222197251198301</v>
      </c>
      <c r="R8">
        <v>158.56449471815961</v>
      </c>
      <c r="U8" t="s">
        <v>705</v>
      </c>
      <c r="V8">
        <v>0</v>
      </c>
      <c r="W8" s="270">
        <f>1/AC8/100*1000*F7</f>
        <v>5.274839920357361</v>
      </c>
      <c r="X8" s="270">
        <f>1/AC9/100*1000*J7</f>
        <v>-1.7293812946123399</v>
      </c>
      <c r="Y8" s="270">
        <f>1/AC10/100*1000*N7</f>
        <v>12.805890887145994</v>
      </c>
      <c r="Z8" s="270">
        <f>1/AC11/100*1000*R7</f>
        <v>177.03852508462114</v>
      </c>
      <c r="AB8" t="s">
        <v>493</v>
      </c>
      <c r="AC8">
        <v>34.200000000000003</v>
      </c>
      <c r="AD8" t="s">
        <v>698</v>
      </c>
      <c r="AI8" s="62">
        <f>AI7/AC9*100</f>
        <v>524.93438320209975</v>
      </c>
      <c r="AJ8" t="s">
        <v>706</v>
      </c>
      <c r="AL8" t="s">
        <v>493</v>
      </c>
      <c r="AM8">
        <v>1</v>
      </c>
      <c r="AN8">
        <v>32.1</v>
      </c>
      <c r="AO8">
        <v>0.745</v>
      </c>
    </row>
    <row r="9" spans="4:49" x14ac:dyDescent="0.25">
      <c r="D9" t="s">
        <v>707</v>
      </c>
      <c r="E9">
        <v>0.96761634565975629</v>
      </c>
      <c r="F9">
        <v>19.266650663456474</v>
      </c>
      <c r="H9" t="s">
        <v>707</v>
      </c>
      <c r="I9">
        <v>0.97972033969162609</v>
      </c>
      <c r="J9">
        <v>16.784111337631305</v>
      </c>
      <c r="L9" t="s">
        <v>707</v>
      </c>
      <c r="M9">
        <v>0.93490316152328135</v>
      </c>
      <c r="N9">
        <v>36.92368042685311</v>
      </c>
      <c r="P9" t="s">
        <v>707</v>
      </c>
      <c r="Q9">
        <v>0.71559577988177048</v>
      </c>
      <c r="R9">
        <v>28.81393096261419</v>
      </c>
      <c r="U9" t="s">
        <v>681</v>
      </c>
      <c r="V9" s="93">
        <f>W4*V7</f>
        <v>146.58768965702305</v>
      </c>
      <c r="W9" s="62">
        <f>$W$4*W7+W8</f>
        <v>184.48798775792562</v>
      </c>
      <c r="X9" s="62">
        <f>$W$4*X7+X8</f>
        <v>176.46548210771562</v>
      </c>
      <c r="Y9" s="62">
        <f>$W$4*Y7+Y8</f>
        <v>184.90965348700882</v>
      </c>
      <c r="Z9" s="62">
        <f>$W$4*Z7+Z8</f>
        <v>325.96228127008226</v>
      </c>
      <c r="AB9" t="s">
        <v>496</v>
      </c>
      <c r="AC9">
        <v>38.1</v>
      </c>
      <c r="AD9" t="s">
        <v>698</v>
      </c>
      <c r="AL9" t="s">
        <v>496</v>
      </c>
      <c r="AM9">
        <v>1</v>
      </c>
      <c r="AN9">
        <v>35.799999999999997</v>
      </c>
      <c r="AO9">
        <v>0.83699999999999997</v>
      </c>
    </row>
    <row r="10" spans="4:49" x14ac:dyDescent="0.25">
      <c r="U10" t="s">
        <v>708</v>
      </c>
      <c r="W10" s="93">
        <f>W9*100*AC8/1000</f>
        <v>630.94891813210575</v>
      </c>
      <c r="X10" s="93">
        <f>X9*100*AC9/1000</f>
        <v>672.33348683039662</v>
      </c>
      <c r="Y10" s="93">
        <f>Y9*100*AC10/1000</f>
        <v>684.16571790193268</v>
      </c>
      <c r="Z10" s="93">
        <f>Z9*100*AC11/1000</f>
        <v>1499.4264938423782</v>
      </c>
      <c r="AB10" t="s">
        <v>693</v>
      </c>
      <c r="AC10">
        <v>37</v>
      </c>
      <c r="AD10" t="s">
        <v>698</v>
      </c>
    </row>
    <row r="11" spans="4:49" x14ac:dyDescent="0.25">
      <c r="D11" s="310" t="s">
        <v>709</v>
      </c>
      <c r="U11" t="s">
        <v>710</v>
      </c>
      <c r="W11" s="93">
        <f>SUMIF($C$27:$C$110,$W$1,$M$27:$M$110)</f>
        <v>594.54999999999995</v>
      </c>
      <c r="X11" s="93">
        <f>SUMIF($C$27:$C$110,$W$1,$N$27:$N$110)</f>
        <v>678.07899999999995</v>
      </c>
      <c r="Y11" s="93">
        <f>SUMIF($C$27:$C$110,$W$1,$H$27:$H$110)</f>
        <v>669.12800000000004</v>
      </c>
      <c r="Z11" s="93">
        <f>SUMIF($C$27:$C$110,$W$1,$I$27:$I$110)</f>
        <v>0</v>
      </c>
      <c r="AB11" t="s">
        <v>499</v>
      </c>
      <c r="AC11">
        <v>46</v>
      </c>
      <c r="AD11" t="s">
        <v>711</v>
      </c>
      <c r="AF11" s="313" t="s">
        <v>712</v>
      </c>
    </row>
    <row r="12" spans="4:49" x14ac:dyDescent="0.25">
      <c r="D12" t="s">
        <v>701</v>
      </c>
      <c r="E12">
        <f t="array" ref="E12:F14">LINEST($Z$75:$Z$110,$L$75:$L$110,1,1)</f>
        <v>0.93691765795315396</v>
      </c>
      <c r="F12">
        <v>265.34488871773931</v>
      </c>
      <c r="H12" t="s">
        <v>701</v>
      </c>
      <c r="I12">
        <f t="array" ref="I12:J14">LINEST($AA$75:$AA$110,$L$75:$L$110,1,1)</f>
        <v>0.96018863587643721</v>
      </c>
      <c r="J12">
        <v>173.46397553035843</v>
      </c>
      <c r="L12" t="s">
        <v>701</v>
      </c>
      <c r="M12">
        <f t="array" ref="M12:N14">LINEST($AB$75:$AB$110,$L$75:$L$110,1,1)</f>
        <v>0.80597468921050219</v>
      </c>
      <c r="N12">
        <v>51.88943126981917</v>
      </c>
      <c r="P12" t="s">
        <v>701</v>
      </c>
      <c r="Q12">
        <f t="array" ref="Q12:R14">LINEST($AC$101:$AC$110,$L$101:$L$110,1,1)</f>
        <v>1.0131044969917056</v>
      </c>
      <c r="R12">
        <v>1298.0776327747087</v>
      </c>
      <c r="V12">
        <v>661.9</v>
      </c>
      <c r="W12">
        <f>W7*V12+W8</f>
        <v>139.06983125077926</v>
      </c>
      <c r="X12">
        <f>X7*V12+X8</f>
        <v>131.30539038212453</v>
      </c>
      <c r="AF12" t="s">
        <v>713</v>
      </c>
      <c r="AJ12">
        <v>247</v>
      </c>
      <c r="AK12" t="s">
        <v>714</v>
      </c>
    </row>
    <row r="13" spans="4:49" x14ac:dyDescent="0.25">
      <c r="D13" t="s">
        <v>704</v>
      </c>
      <c r="E13">
        <v>3.5673569679450304E-2</v>
      </c>
      <c r="F13">
        <v>27.640771305861513</v>
      </c>
      <c r="H13" t="s">
        <v>704</v>
      </c>
      <c r="I13">
        <v>3.108958023439274E-2</v>
      </c>
      <c r="J13">
        <v>24.088981982341494</v>
      </c>
      <c r="L13" t="s">
        <v>704</v>
      </c>
      <c r="M13">
        <v>2.1167655434585625E-2</v>
      </c>
      <c r="N13">
        <v>16.401227244878111</v>
      </c>
      <c r="P13" t="s">
        <v>704</v>
      </c>
      <c r="Q13">
        <v>0.22541092540186744</v>
      </c>
      <c r="R13">
        <v>207.53547859761611</v>
      </c>
      <c r="U13" s="310" t="s">
        <v>715</v>
      </c>
      <c r="AB13" s="310" t="s">
        <v>716</v>
      </c>
      <c r="AF13" t="s">
        <v>717</v>
      </c>
      <c r="AJ13">
        <f>124+107</f>
        <v>231</v>
      </c>
      <c r="AK13" t="s">
        <v>718</v>
      </c>
    </row>
    <row r="14" spans="4:49" x14ac:dyDescent="0.25">
      <c r="D14" t="s">
        <v>707</v>
      </c>
      <c r="E14">
        <v>0.95302430812025962</v>
      </c>
      <c r="F14">
        <v>31.68891287537447</v>
      </c>
      <c r="H14" t="s">
        <v>707</v>
      </c>
      <c r="I14">
        <v>0.96558207335934509</v>
      </c>
      <c r="J14">
        <v>27.616944652083852</v>
      </c>
      <c r="L14" t="s">
        <v>707</v>
      </c>
      <c r="M14">
        <v>0.977085303672103</v>
      </c>
      <c r="N14">
        <v>18.803276343520299</v>
      </c>
      <c r="P14" t="s">
        <v>707</v>
      </c>
      <c r="Q14">
        <v>0.71631542231007461</v>
      </c>
      <c r="R14">
        <v>37.712811832395388</v>
      </c>
      <c r="W14" t="s">
        <v>493</v>
      </c>
      <c r="X14" t="s">
        <v>496</v>
      </c>
      <c r="Y14" t="s">
        <v>693</v>
      </c>
      <c r="Z14" t="s">
        <v>499</v>
      </c>
      <c r="AB14" t="s">
        <v>719</v>
      </c>
      <c r="AC14">
        <v>159</v>
      </c>
      <c r="AD14" t="s">
        <v>720</v>
      </c>
      <c r="AF14" t="s">
        <v>721</v>
      </c>
      <c r="AJ14">
        <f>350+279</f>
        <v>629</v>
      </c>
      <c r="AK14" t="s">
        <v>722</v>
      </c>
    </row>
    <row r="15" spans="4:49" x14ac:dyDescent="0.25">
      <c r="U15" t="s">
        <v>702</v>
      </c>
      <c r="W15" s="270">
        <f>E17</f>
        <v>1.3565756517544196</v>
      </c>
      <c r="X15" s="270">
        <f>I17</f>
        <v>1.2570018926592408</v>
      </c>
      <c r="Y15" s="270">
        <f>M17</f>
        <v>1.0689483180091128</v>
      </c>
      <c r="Z15" s="270">
        <f>Q17</f>
        <v>1.3104939955713899</v>
      </c>
      <c r="AB15" t="s">
        <v>723</v>
      </c>
      <c r="AC15">
        <v>1183</v>
      </c>
      <c r="AD15" t="s">
        <v>724</v>
      </c>
      <c r="AF15" t="s">
        <v>408</v>
      </c>
      <c r="AJ15" s="270">
        <f>AJ13/AJ14</f>
        <v>0.36724960254372019</v>
      </c>
      <c r="AK15" t="s">
        <v>725</v>
      </c>
      <c r="AL15" s="314">
        <f>(AJ14*3.6)/(AJ13/AC9)/1000</f>
        <v>0.37347896103896105</v>
      </c>
    </row>
    <row r="16" spans="4:49" x14ac:dyDescent="0.25">
      <c r="D16" s="310" t="s">
        <v>726</v>
      </c>
      <c r="U16" t="s">
        <v>705</v>
      </c>
      <c r="W16" s="270">
        <f>1/AC8/100*1000*F17</f>
        <v>70.230748454632177</v>
      </c>
      <c r="X16" s="270">
        <f>1/AC9/100*1000*J17</f>
        <v>47.226464833505872</v>
      </c>
      <c r="Y16" s="270">
        <f>1/AC10/100*1000*N17</f>
        <v>14.749344752353803</v>
      </c>
      <c r="Z16" s="270">
        <f>1/AC11/100*1000*R17</f>
        <v>50.285290465410377</v>
      </c>
      <c r="AF16" t="s">
        <v>727</v>
      </c>
      <c r="AJ16" s="93">
        <f>AJ12/AJ15</f>
        <v>672.5670995670996</v>
      </c>
      <c r="AK16" t="s">
        <v>706</v>
      </c>
    </row>
    <row r="17" spans="3:37" x14ac:dyDescent="0.25">
      <c r="D17" t="s">
        <v>701</v>
      </c>
      <c r="E17">
        <f t="array" ref="E17:F19">LINEST($Z$75:$Z$110,$M$75:$M$110,1,1)</f>
        <v>1.3565756517544196</v>
      </c>
      <c r="F17">
        <v>240.18915971484205</v>
      </c>
      <c r="H17" t="s">
        <v>701</v>
      </c>
      <c r="I17">
        <f t="array" ref="I17:J19">LINEST($AA$75:$AA$110,$N$75:$N$110,1,1)</f>
        <v>1.2570018926592408</v>
      </c>
      <c r="J17">
        <v>179.93283101565737</v>
      </c>
      <c r="L17" t="s">
        <v>701</v>
      </c>
      <c r="M17">
        <f t="array" ref="M17:N19">LINEST($AB$75:$AB$110,$H$75:$H$110,1,1)</f>
        <v>1.0689483180091128</v>
      </c>
      <c r="N17">
        <v>54.572575583709067</v>
      </c>
      <c r="P17" t="s">
        <v>701</v>
      </c>
      <c r="Q17">
        <f t="array" ref="Q17:R19">LINEST($AC$101:$AC$110,$I$101:$I$110,1,1)</f>
        <v>1.3104939955713899</v>
      </c>
      <c r="R17">
        <v>231.31233614088774</v>
      </c>
      <c r="U17" t="s">
        <v>681</v>
      </c>
      <c r="W17" s="93">
        <f>W9*W15+W16</f>
        <v>320.5026606882015</v>
      </c>
      <c r="X17" s="93">
        <f>X9*X15+X16</f>
        <v>269.0439098319298</v>
      </c>
      <c r="Y17" s="93">
        <f>Y9*Y15+Y16</f>
        <v>212.40820783093977</v>
      </c>
      <c r="Z17" s="93">
        <f>Z9*Z15+Z16</f>
        <v>477.45690285260571</v>
      </c>
      <c r="AF17" t="s">
        <v>728</v>
      </c>
      <c r="AJ17" s="93">
        <f>AVERAGE(N94:N100)</f>
        <v>647.57899999999984</v>
      </c>
      <c r="AK17" t="s">
        <v>706</v>
      </c>
    </row>
    <row r="18" spans="3:37" x14ac:dyDescent="0.25">
      <c r="D18" t="s">
        <v>704</v>
      </c>
      <c r="E18">
        <v>2.6898357481685498E-2</v>
      </c>
      <c r="F18">
        <v>14.893086073456775</v>
      </c>
      <c r="H18" t="s">
        <v>704</v>
      </c>
      <c r="I18">
        <v>2.1145683471638581E-2</v>
      </c>
      <c r="J18">
        <v>12.414574263894144</v>
      </c>
      <c r="L18" t="s">
        <v>704</v>
      </c>
      <c r="M18">
        <v>4.5274592231916537E-3</v>
      </c>
      <c r="N18">
        <v>2.6349353504746529</v>
      </c>
      <c r="P18" t="s">
        <v>704</v>
      </c>
      <c r="Q18">
        <v>1.2268570690478447E-3</v>
      </c>
      <c r="R18">
        <v>1.871413674110501</v>
      </c>
      <c r="U18" t="s">
        <v>708</v>
      </c>
      <c r="W18" s="93">
        <f>W17*100*AC8/1000</f>
        <v>1096.1190995536492</v>
      </c>
      <c r="X18" s="93">
        <f>X17*100*AC9/1000</f>
        <v>1025.0572964596524</v>
      </c>
      <c r="Y18" s="93">
        <f>Y17*100*AC10/1000</f>
        <v>785.91036897447725</v>
      </c>
      <c r="Z18" s="93">
        <f>Z17*100*AC11/1000</f>
        <v>2196.3017531219862</v>
      </c>
      <c r="AF18" t="s">
        <v>729</v>
      </c>
      <c r="AJ18" s="93">
        <f>AVERAGE(AA94:AA100)</f>
        <v>979.92485714285704</v>
      </c>
      <c r="AK18" t="s">
        <v>706</v>
      </c>
    </row>
    <row r="19" spans="3:37" x14ac:dyDescent="0.25">
      <c r="D19" t="s">
        <v>707</v>
      </c>
      <c r="E19">
        <v>0.98680906639693522</v>
      </c>
      <c r="F19">
        <v>16.79223544836556</v>
      </c>
      <c r="H19" t="s">
        <v>707</v>
      </c>
      <c r="I19">
        <v>0.99047002318918431</v>
      </c>
      <c r="J19">
        <v>14.532127488105694</v>
      </c>
      <c r="L19" t="s">
        <v>707</v>
      </c>
      <c r="M19">
        <v>0.99939044936173471</v>
      </c>
      <c r="N19">
        <v>3.0667711621812406</v>
      </c>
      <c r="P19" t="s">
        <v>707</v>
      </c>
      <c r="Q19">
        <v>0.99999298859893382</v>
      </c>
      <c r="R19">
        <v>0.18748799131796864</v>
      </c>
      <c r="U19" t="s">
        <v>710</v>
      </c>
      <c r="W19" s="93">
        <f>SUMIF($C$27:$C$110,$W$1,$Z$27:$Z$110)</f>
        <v>1045</v>
      </c>
      <c r="X19" s="93">
        <f>SUMIF($C$27:$C$110,$W$1,$AA$27:$AA$110)</f>
        <v>1017.49</v>
      </c>
      <c r="Y19" s="93">
        <f>SUMIF($C$27:$C$110,$W$1,$AB$27:$AB$110)</f>
        <v>770.47800000000007</v>
      </c>
      <c r="Z19" s="93">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15" t="s">
        <v>730</v>
      </c>
      <c r="E22" s="315"/>
      <c r="F22" s="315"/>
      <c r="G22" s="315"/>
      <c r="H22" s="315"/>
      <c r="I22" s="315"/>
      <c r="K22" s="13"/>
      <c r="L22" s="13"/>
      <c r="M22" s="13"/>
      <c r="N22" s="13"/>
      <c r="O22" s="13"/>
      <c r="P22" s="13"/>
      <c r="Q22" s="315" t="s">
        <v>731</v>
      </c>
      <c r="R22" s="315"/>
      <c r="S22" s="315"/>
      <c r="T22" s="315"/>
      <c r="U22" s="315"/>
    </row>
    <row r="23" spans="3:37" x14ac:dyDescent="0.25">
      <c r="C23" s="205"/>
      <c r="D23" s="316" t="s">
        <v>732</v>
      </c>
      <c r="E23" s="119"/>
      <c r="F23" s="119"/>
      <c r="G23" s="119"/>
      <c r="H23" s="119"/>
      <c r="I23" s="119"/>
      <c r="J23" s="119"/>
      <c r="K23" s="15"/>
      <c r="L23" s="10"/>
      <c r="M23" s="119"/>
      <c r="N23" s="15"/>
      <c r="O23" s="316"/>
      <c r="P23" s="316"/>
      <c r="Q23" s="316"/>
      <c r="R23" s="316"/>
      <c r="S23" s="317" t="s">
        <v>733</v>
      </c>
      <c r="T23" s="316"/>
      <c r="U23" s="316"/>
      <c r="V23" s="316"/>
      <c r="W23" s="316"/>
      <c r="X23" s="316"/>
      <c r="Y23" s="318"/>
      <c r="Z23" s="317"/>
      <c r="AA23" s="316"/>
      <c r="AB23" s="316"/>
      <c r="AC23" s="316"/>
      <c r="AD23" s="317" t="s">
        <v>734</v>
      </c>
      <c r="AE23" s="316"/>
      <c r="AF23" s="316"/>
      <c r="AG23" s="316"/>
      <c r="AH23" s="317"/>
      <c r="AI23" s="316"/>
      <c r="AJ23" s="316"/>
      <c r="AK23" s="15"/>
    </row>
    <row r="24" spans="3:37" x14ac:dyDescent="0.25">
      <c r="C24" s="82"/>
      <c r="D24" s="319" t="s">
        <v>735</v>
      </c>
      <c r="J24" s="320" t="s">
        <v>736</v>
      </c>
      <c r="K24" s="11"/>
      <c r="L24" s="11"/>
      <c r="M24" s="321" t="s">
        <v>737</v>
      </c>
      <c r="N24" s="11"/>
      <c r="O24" s="26" t="s">
        <v>738</v>
      </c>
      <c r="P24" s="26"/>
      <c r="Q24" s="26"/>
      <c r="R24" s="26"/>
      <c r="S24" s="321" t="s">
        <v>493</v>
      </c>
      <c r="T24" s="26"/>
      <c r="U24" s="26"/>
      <c r="V24" s="26" t="s">
        <v>496</v>
      </c>
      <c r="W24" s="26"/>
      <c r="X24" s="26" t="s">
        <v>693</v>
      </c>
      <c r="Y24" s="322"/>
      <c r="Z24" s="321"/>
      <c r="AA24" s="26"/>
      <c r="AB24" s="26"/>
      <c r="AC24" s="26"/>
      <c r="AD24" s="321" t="s">
        <v>739</v>
      </c>
      <c r="AE24" s="26"/>
      <c r="AF24" s="26"/>
      <c r="AG24" s="26"/>
      <c r="AH24" s="321" t="s">
        <v>740</v>
      </c>
      <c r="AI24" s="26"/>
      <c r="AJ24" s="26"/>
      <c r="AK24" s="11"/>
    </row>
    <row r="25" spans="3:37" ht="60" x14ac:dyDescent="0.25">
      <c r="C25" s="224"/>
      <c r="D25" s="323" t="s">
        <v>741</v>
      </c>
      <c r="E25" s="323" t="s">
        <v>742</v>
      </c>
      <c r="F25" s="323" t="s">
        <v>743</v>
      </c>
      <c r="G25" s="323" t="s">
        <v>744</v>
      </c>
      <c r="H25" s="323" t="s">
        <v>745</v>
      </c>
      <c r="I25" s="323" t="s">
        <v>499</v>
      </c>
      <c r="J25" s="323" t="s">
        <v>746</v>
      </c>
      <c r="K25" s="324" t="s">
        <v>747</v>
      </c>
      <c r="L25" s="324" t="s">
        <v>748</v>
      </c>
      <c r="M25" s="325" t="s">
        <v>749</v>
      </c>
      <c r="N25" s="324" t="s">
        <v>750</v>
      </c>
      <c r="O25" s="325" t="s">
        <v>751</v>
      </c>
      <c r="P25" s="323" t="s">
        <v>752</v>
      </c>
      <c r="Q25" s="323" t="s">
        <v>753</v>
      </c>
      <c r="R25" s="323" t="s">
        <v>754</v>
      </c>
      <c r="S25" s="325" t="s">
        <v>755</v>
      </c>
      <c r="T25" s="323" t="s">
        <v>756</v>
      </c>
      <c r="U25" s="323" t="s">
        <v>755</v>
      </c>
      <c r="V25" s="323" t="s">
        <v>757</v>
      </c>
      <c r="W25" s="323" t="s">
        <v>758</v>
      </c>
      <c r="X25" s="323" t="s">
        <v>758</v>
      </c>
      <c r="Y25" s="324" t="s">
        <v>757</v>
      </c>
      <c r="Z25" s="325" t="s">
        <v>749</v>
      </c>
      <c r="AA25" s="323" t="s">
        <v>759</v>
      </c>
      <c r="AB25" s="323" t="s">
        <v>760</v>
      </c>
      <c r="AC25" s="323" t="s">
        <v>761</v>
      </c>
      <c r="AD25" s="325" t="s">
        <v>751</v>
      </c>
      <c r="AE25" s="323" t="s">
        <v>752</v>
      </c>
      <c r="AF25" s="323" t="s">
        <v>753</v>
      </c>
      <c r="AG25" s="324" t="s">
        <v>754</v>
      </c>
      <c r="AH25" s="325" t="s">
        <v>762</v>
      </c>
      <c r="AI25" s="323" t="s">
        <v>763</v>
      </c>
      <c r="AJ25" s="323" t="s">
        <v>764</v>
      </c>
      <c r="AK25" s="324" t="s">
        <v>765</v>
      </c>
    </row>
    <row r="26" spans="3:37" x14ac:dyDescent="0.25">
      <c r="C26" s="224"/>
      <c r="D26" s="325" t="s">
        <v>706</v>
      </c>
      <c r="E26" s="323" t="s">
        <v>706</v>
      </c>
      <c r="F26" s="323" t="s">
        <v>706</v>
      </c>
      <c r="G26" s="323" t="s">
        <v>706</v>
      </c>
      <c r="H26" s="323" t="s">
        <v>706</v>
      </c>
      <c r="I26" s="323" t="s">
        <v>766</v>
      </c>
      <c r="J26" s="323" t="s">
        <v>767</v>
      </c>
      <c r="K26" s="324" t="s">
        <v>686</v>
      </c>
      <c r="L26" s="324" t="s">
        <v>684</v>
      </c>
      <c r="M26" s="325" t="s">
        <v>706</v>
      </c>
      <c r="N26" s="324" t="s">
        <v>706</v>
      </c>
      <c r="O26" s="325" t="s">
        <v>706</v>
      </c>
      <c r="P26" s="323" t="s">
        <v>706</v>
      </c>
      <c r="Q26" s="323" t="s">
        <v>706</v>
      </c>
      <c r="R26" s="323" t="s">
        <v>766</v>
      </c>
      <c r="S26" s="325" t="s">
        <v>706</v>
      </c>
      <c r="T26" s="323" t="s">
        <v>706</v>
      </c>
      <c r="U26" s="323" t="s">
        <v>706</v>
      </c>
      <c r="V26" s="323" t="s">
        <v>706</v>
      </c>
      <c r="W26" s="323" t="s">
        <v>706</v>
      </c>
      <c r="X26" s="323" t="s">
        <v>706</v>
      </c>
      <c r="Y26" s="324" t="s">
        <v>706</v>
      </c>
      <c r="Z26" s="325" t="s">
        <v>706</v>
      </c>
      <c r="AA26" s="323" t="s">
        <v>706</v>
      </c>
      <c r="AB26" s="323" t="s">
        <v>706</v>
      </c>
      <c r="AC26" s="323" t="s">
        <v>766</v>
      </c>
      <c r="AD26" s="325" t="s">
        <v>706</v>
      </c>
      <c r="AE26" s="323" t="s">
        <v>706</v>
      </c>
      <c r="AF26" s="323" t="s">
        <v>706</v>
      </c>
      <c r="AG26" s="323" t="s">
        <v>766</v>
      </c>
      <c r="AH26" s="325" t="s">
        <v>706</v>
      </c>
      <c r="AI26" s="323" t="s">
        <v>706</v>
      </c>
      <c r="AJ26" s="323" t="s">
        <v>706</v>
      </c>
      <c r="AK26" s="323" t="s">
        <v>766</v>
      </c>
    </row>
    <row r="27" spans="3:37" x14ac:dyDescent="0.25">
      <c r="C27" s="326">
        <v>38718</v>
      </c>
      <c r="D27" s="82">
        <v>266.23200000000003</v>
      </c>
      <c r="E27">
        <v>269.01299999999998</v>
      </c>
      <c r="F27">
        <v>307.63</v>
      </c>
      <c r="G27">
        <v>315.02999999999997</v>
      </c>
      <c r="H27">
        <v>307.12799999999999</v>
      </c>
      <c r="J27">
        <v>6.3761999999999999</v>
      </c>
      <c r="K27" s="11">
        <v>54.46</v>
      </c>
      <c r="L27" s="327">
        <f t="shared" ref="L27:L90" si="0">K27*J27</f>
        <v>347.24785200000002</v>
      </c>
      <c r="M27" s="82">
        <f>AVERAGE(D27:E27)</f>
        <v>267.6225</v>
      </c>
      <c r="N27" s="11">
        <f t="shared" ref="N27:N90" si="1">AVERAGE(G27:H27)</f>
        <v>311.07899999999995</v>
      </c>
      <c r="O27" s="82">
        <f t="shared" ref="O27:O90" si="2">$E$7*L27+$F$7</f>
        <v>258.09627500781392</v>
      </c>
      <c r="P27">
        <f t="shared" ref="P27:P90" si="3">$I$7*L27+$J$7</f>
        <v>259.3226866225329</v>
      </c>
      <c r="S27" s="82"/>
      <c r="Y27" s="11"/>
      <c r="Z27" s="82"/>
      <c r="AD27" s="82"/>
      <c r="AH27" s="82"/>
      <c r="AK27" s="11"/>
    </row>
    <row r="28" spans="3:37" x14ac:dyDescent="0.25">
      <c r="C28" s="326">
        <v>38749</v>
      </c>
      <c r="D28" s="82">
        <v>280.23200000000003</v>
      </c>
      <c r="E28">
        <v>283.01299999999998</v>
      </c>
      <c r="F28">
        <v>307.63</v>
      </c>
      <c r="G28">
        <v>314.02999999999997</v>
      </c>
      <c r="H28">
        <v>311.12799999999999</v>
      </c>
      <c r="J28">
        <v>6.1407999999999996</v>
      </c>
      <c r="K28" s="11">
        <v>55.49</v>
      </c>
      <c r="L28" s="327">
        <f t="shared" si="0"/>
        <v>340.75299200000001</v>
      </c>
      <c r="M28" s="82">
        <f t="shared" ref="M28:M91" si="4">AVERAGE(D28:E28)</f>
        <v>281.6225</v>
      </c>
      <c r="N28" s="11">
        <f t="shared" si="1"/>
        <v>312.57899999999995</v>
      </c>
      <c r="O28" s="82">
        <f t="shared" si="2"/>
        <v>253.60630567425645</v>
      </c>
      <c r="P28">
        <f t="shared" si="3"/>
        <v>254.34912438136848</v>
      </c>
      <c r="S28" s="82"/>
      <c r="Y28" s="11"/>
      <c r="Z28" s="82"/>
      <c r="AD28" s="82"/>
      <c r="AH28" s="82"/>
      <c r="AK28" s="11"/>
    </row>
    <row r="29" spans="3:37" x14ac:dyDescent="0.25">
      <c r="C29" s="326">
        <v>38777</v>
      </c>
      <c r="D29" s="82">
        <v>269.23200000000003</v>
      </c>
      <c r="E29">
        <v>272.01299999999998</v>
      </c>
      <c r="F29">
        <v>307.63</v>
      </c>
      <c r="G29">
        <v>312.02999999999997</v>
      </c>
      <c r="H29">
        <v>315.12799999999999</v>
      </c>
      <c r="J29">
        <v>6.1372999999999998</v>
      </c>
      <c r="K29" s="11">
        <v>61.08</v>
      </c>
      <c r="L29" s="327">
        <f t="shared" si="0"/>
        <v>374.86628399999995</v>
      </c>
      <c r="M29" s="82">
        <f t="shared" si="4"/>
        <v>270.6225</v>
      </c>
      <c r="N29" s="11">
        <f t="shared" si="1"/>
        <v>313.57899999999995</v>
      </c>
      <c r="O29" s="82">
        <f t="shared" si="2"/>
        <v>277.18920583633701</v>
      </c>
      <c r="P29">
        <f t="shared" si="3"/>
        <v>280.47202480000971</v>
      </c>
      <c r="S29" s="82"/>
      <c r="Y29" s="11"/>
      <c r="Z29" s="82"/>
      <c r="AD29" s="82"/>
      <c r="AH29" s="82"/>
      <c r="AK29" s="11"/>
    </row>
    <row r="30" spans="3:37" x14ac:dyDescent="0.25">
      <c r="C30" s="326">
        <v>38808</v>
      </c>
      <c r="D30" s="82">
        <v>295.63200000000001</v>
      </c>
      <c r="E30">
        <v>297.41300000000001</v>
      </c>
      <c r="F30">
        <v>338.63</v>
      </c>
      <c r="G30">
        <v>342.03</v>
      </c>
      <c r="H30">
        <v>330.12799999999999</v>
      </c>
      <c r="J30">
        <v>6.26</v>
      </c>
      <c r="K30" s="11">
        <v>65.66</v>
      </c>
      <c r="L30" s="327">
        <f t="shared" si="0"/>
        <v>411.03159999999997</v>
      </c>
      <c r="M30" s="82">
        <f t="shared" si="4"/>
        <v>296.52250000000004</v>
      </c>
      <c r="N30" s="11">
        <f t="shared" si="1"/>
        <v>336.07899999999995</v>
      </c>
      <c r="O30" s="82">
        <f t="shared" si="2"/>
        <v>302.19069313220098</v>
      </c>
      <c r="P30">
        <f t="shared" si="3"/>
        <v>308.16630151996668</v>
      </c>
      <c r="S30" s="82"/>
      <c r="Y30" s="11"/>
      <c r="Z30" s="82"/>
      <c r="AD30" s="82"/>
      <c r="AH30" s="82"/>
      <c r="AK30" s="11"/>
    </row>
    <row r="31" spans="3:37" x14ac:dyDescent="0.25">
      <c r="C31" s="326">
        <v>38838</v>
      </c>
      <c r="D31" s="82">
        <v>334.63200000000001</v>
      </c>
      <c r="E31">
        <v>336.41300000000001</v>
      </c>
      <c r="F31">
        <v>365.63</v>
      </c>
      <c r="G31">
        <v>369.03</v>
      </c>
      <c r="H31">
        <v>350.12799999999999</v>
      </c>
      <c r="J31">
        <v>6.0904999999999996</v>
      </c>
      <c r="K31" s="11">
        <v>68.8</v>
      </c>
      <c r="L31" s="327">
        <f t="shared" si="0"/>
        <v>419.02639999999997</v>
      </c>
      <c r="M31" s="82">
        <f t="shared" si="4"/>
        <v>335.52250000000004</v>
      </c>
      <c r="N31" s="11">
        <f t="shared" si="1"/>
        <v>359.57899999999995</v>
      </c>
      <c r="O31" s="82">
        <f t="shared" si="2"/>
        <v>307.71758775778568</v>
      </c>
      <c r="P31">
        <f t="shared" si="3"/>
        <v>314.28847126737639</v>
      </c>
      <c r="S31" s="82"/>
      <c r="Y31" s="11"/>
      <c r="Z31" s="82"/>
      <c r="AD31" s="82"/>
      <c r="AH31" s="82"/>
      <c r="AK31" s="11"/>
    </row>
    <row r="32" spans="3:37" x14ac:dyDescent="0.25">
      <c r="C32" s="326">
        <v>38869</v>
      </c>
      <c r="D32" s="82">
        <v>370.63200000000001</v>
      </c>
      <c r="E32">
        <v>372.41300000000001</v>
      </c>
      <c r="F32">
        <v>394.63</v>
      </c>
      <c r="G32">
        <v>401.03</v>
      </c>
      <c r="H32">
        <v>370.12799999999999</v>
      </c>
      <c r="J32">
        <v>6.34</v>
      </c>
      <c r="K32" s="11">
        <v>70.11</v>
      </c>
      <c r="L32" s="327">
        <f t="shared" si="0"/>
        <v>444.49739999999997</v>
      </c>
      <c r="M32" s="82">
        <f t="shared" si="4"/>
        <v>371.52250000000004</v>
      </c>
      <c r="N32" s="11">
        <f t="shared" si="1"/>
        <v>385.57899999999995</v>
      </c>
      <c r="O32" s="82">
        <f t="shared" si="2"/>
        <v>325.32597483541969</v>
      </c>
      <c r="P32">
        <f t="shared" si="3"/>
        <v>333.79337265781425</v>
      </c>
      <c r="S32" s="82"/>
      <c r="Y32" s="11"/>
      <c r="Z32" s="82"/>
      <c r="AD32" s="82"/>
      <c r="AH32" s="82"/>
      <c r="AK32" s="11"/>
    </row>
    <row r="33" spans="3:37" x14ac:dyDescent="0.25">
      <c r="C33" s="326">
        <v>38899</v>
      </c>
      <c r="D33" s="82">
        <v>395.63200000000001</v>
      </c>
      <c r="E33">
        <v>397.41300000000001</v>
      </c>
      <c r="F33">
        <v>426.63</v>
      </c>
      <c r="G33">
        <v>432.03</v>
      </c>
      <c r="H33">
        <v>406.12799999999999</v>
      </c>
      <c r="J33">
        <v>6.9859999999999998</v>
      </c>
      <c r="K33" s="11">
        <v>72.209999999999994</v>
      </c>
      <c r="L33" s="327">
        <f t="shared" si="0"/>
        <v>504.45905999999997</v>
      </c>
      <c r="M33" s="82">
        <f t="shared" si="4"/>
        <v>396.52250000000004</v>
      </c>
      <c r="N33" s="11">
        <f t="shared" si="1"/>
        <v>419.07899999999995</v>
      </c>
      <c r="O33" s="82">
        <f t="shared" si="2"/>
        <v>366.77814079268416</v>
      </c>
      <c r="P33">
        <f t="shared" si="3"/>
        <v>379.71015117090604</v>
      </c>
      <c r="S33" s="82"/>
      <c r="Y33" s="11"/>
      <c r="Z33" s="82"/>
      <c r="AD33" s="82"/>
      <c r="AH33" s="82"/>
      <c r="AK33" s="11"/>
    </row>
    <row r="34" spans="3:37" x14ac:dyDescent="0.25">
      <c r="C34" s="326">
        <v>38930</v>
      </c>
      <c r="D34" s="82">
        <v>426.63200000000001</v>
      </c>
      <c r="E34">
        <v>428.41300000000001</v>
      </c>
      <c r="F34">
        <v>428.63</v>
      </c>
      <c r="G34">
        <v>457.03</v>
      </c>
      <c r="H34">
        <v>427.12799999999999</v>
      </c>
      <c r="J34">
        <v>7.1276000000000002</v>
      </c>
      <c r="K34" s="11">
        <v>73.7</v>
      </c>
      <c r="L34" s="327">
        <f t="shared" si="0"/>
        <v>525.30412000000001</v>
      </c>
      <c r="M34" s="82">
        <f t="shared" si="4"/>
        <v>427.52250000000004</v>
      </c>
      <c r="N34" s="11">
        <f t="shared" si="1"/>
        <v>442.07899999999995</v>
      </c>
      <c r="O34" s="82">
        <f t="shared" si="2"/>
        <v>381.18856382815608</v>
      </c>
      <c r="P34">
        <f t="shared" si="3"/>
        <v>395.67265126033169</v>
      </c>
      <c r="S34" s="82"/>
      <c r="Y34" s="11"/>
      <c r="Z34" s="82"/>
      <c r="AD34" s="82"/>
      <c r="AH34" s="82"/>
      <c r="AK34" s="11"/>
    </row>
    <row r="35" spans="3:37" x14ac:dyDescent="0.25">
      <c r="C35" s="326">
        <v>38961</v>
      </c>
      <c r="D35" s="82">
        <v>390.63200000000001</v>
      </c>
      <c r="E35">
        <v>392.41300000000001</v>
      </c>
      <c r="F35">
        <v>423.63</v>
      </c>
      <c r="G35">
        <v>445.03</v>
      </c>
      <c r="H35">
        <v>422.12799999999999</v>
      </c>
      <c r="J35">
        <v>6.9705000000000004</v>
      </c>
      <c r="K35" s="11">
        <v>65.12</v>
      </c>
      <c r="L35" s="327">
        <f t="shared" si="0"/>
        <v>453.91896000000008</v>
      </c>
      <c r="M35" s="82">
        <f t="shared" si="4"/>
        <v>391.52250000000004</v>
      </c>
      <c r="N35" s="11">
        <f t="shared" si="1"/>
        <v>433.57899999999995</v>
      </c>
      <c r="O35" s="82">
        <f t="shared" si="2"/>
        <v>331.83920460084528</v>
      </c>
      <c r="P35">
        <f t="shared" si="3"/>
        <v>341.00811093837234</v>
      </c>
      <c r="S35" s="82"/>
      <c r="Y35" s="11"/>
      <c r="Z35" s="82"/>
      <c r="AD35" s="82"/>
      <c r="AH35" s="82"/>
      <c r="AK35" s="11"/>
    </row>
    <row r="36" spans="3:37" x14ac:dyDescent="0.25">
      <c r="C36" s="326">
        <v>38991</v>
      </c>
      <c r="D36" s="82">
        <v>337.63200000000001</v>
      </c>
      <c r="E36">
        <v>339.63</v>
      </c>
      <c r="F36">
        <v>389.63</v>
      </c>
      <c r="G36">
        <v>391.03</v>
      </c>
      <c r="H36">
        <v>400.12799999999999</v>
      </c>
      <c r="J36">
        <v>7.4347000000000003</v>
      </c>
      <c r="K36" s="11">
        <v>59.11</v>
      </c>
      <c r="L36" s="327">
        <f t="shared" si="0"/>
        <v>439.46511700000002</v>
      </c>
      <c r="M36" s="82">
        <f t="shared" si="4"/>
        <v>338.63099999999997</v>
      </c>
      <c r="N36" s="11">
        <f t="shared" si="1"/>
        <v>395.57899999999995</v>
      </c>
      <c r="O36" s="82">
        <f t="shared" si="2"/>
        <v>321.84710133425381</v>
      </c>
      <c r="P36">
        <f t="shared" si="3"/>
        <v>329.93980649693418</v>
      </c>
      <c r="S36" s="82"/>
      <c r="Y36" s="11"/>
      <c r="Z36" s="82"/>
      <c r="AD36" s="82"/>
      <c r="AH36" s="82"/>
      <c r="AK36" s="11"/>
    </row>
    <row r="37" spans="3:37" x14ac:dyDescent="0.25">
      <c r="C37" s="326">
        <v>39022</v>
      </c>
      <c r="D37" s="82">
        <v>316.63200000000001</v>
      </c>
      <c r="E37">
        <v>318.41300000000001</v>
      </c>
      <c r="F37">
        <v>387.63</v>
      </c>
      <c r="G37">
        <v>390.03</v>
      </c>
      <c r="H37">
        <v>387.12799999999999</v>
      </c>
      <c r="J37">
        <v>7.7000999999999999</v>
      </c>
      <c r="K37" s="11">
        <v>63.03</v>
      </c>
      <c r="L37" s="327">
        <f t="shared" si="0"/>
        <v>485.33730300000002</v>
      </c>
      <c r="M37" s="82">
        <f t="shared" si="4"/>
        <v>317.52250000000004</v>
      </c>
      <c r="N37" s="11">
        <f t="shared" si="1"/>
        <v>388.57899999999995</v>
      </c>
      <c r="O37" s="82">
        <f t="shared" si="2"/>
        <v>353.55905638844183</v>
      </c>
      <c r="P37">
        <f t="shared" si="3"/>
        <v>365.06730304178217</v>
      </c>
      <c r="S37" s="82"/>
      <c r="Y37" s="11"/>
      <c r="Z37" s="82"/>
      <c r="AD37" s="82"/>
      <c r="AH37" s="82"/>
      <c r="AK37" s="11"/>
    </row>
    <row r="38" spans="3:37" x14ac:dyDescent="0.25">
      <c r="C38" s="326">
        <v>39052</v>
      </c>
      <c r="D38" s="82">
        <v>309.63200000000001</v>
      </c>
      <c r="E38">
        <v>311.41300000000001</v>
      </c>
      <c r="F38">
        <v>362.63</v>
      </c>
      <c r="G38">
        <v>364.03</v>
      </c>
      <c r="H38">
        <v>362.12799999999999</v>
      </c>
      <c r="J38">
        <v>7.3083</v>
      </c>
      <c r="K38" s="11">
        <v>58.32</v>
      </c>
      <c r="L38" s="327">
        <f t="shared" si="0"/>
        <v>426.220056</v>
      </c>
      <c r="M38" s="82">
        <f t="shared" si="4"/>
        <v>310.52250000000004</v>
      </c>
      <c r="N38" s="11">
        <f t="shared" si="1"/>
        <v>363.07899999999995</v>
      </c>
      <c r="O38" s="82">
        <f t="shared" si="2"/>
        <v>312.69064257900766</v>
      </c>
      <c r="P38">
        <f t="shared" si="3"/>
        <v>319.79714980048198</v>
      </c>
      <c r="S38" s="82"/>
      <c r="Y38" s="11"/>
      <c r="Z38" s="82"/>
      <c r="AD38" s="82"/>
      <c r="AH38" s="82"/>
      <c r="AK38" s="11"/>
    </row>
    <row r="39" spans="3:37" x14ac:dyDescent="0.25">
      <c r="C39" s="326">
        <v>39083</v>
      </c>
      <c r="D39" s="82">
        <v>315.63200000000001</v>
      </c>
      <c r="E39">
        <v>319.41300000000001</v>
      </c>
      <c r="F39">
        <v>345.63</v>
      </c>
      <c r="G39">
        <v>347.03</v>
      </c>
      <c r="H39">
        <v>365.12799999999999</v>
      </c>
      <c r="J39">
        <v>7.0609000000000002</v>
      </c>
      <c r="K39" s="11">
        <v>58.02</v>
      </c>
      <c r="L39" s="327">
        <f t="shared" si="0"/>
        <v>409.67341800000003</v>
      </c>
      <c r="M39" s="82">
        <f t="shared" si="4"/>
        <v>317.52250000000004</v>
      </c>
      <c r="N39" s="11">
        <f t="shared" si="1"/>
        <v>356.07899999999995</v>
      </c>
      <c r="O39" s="82">
        <f t="shared" si="2"/>
        <v>301.25176673049418</v>
      </c>
      <c r="P39">
        <f t="shared" si="3"/>
        <v>307.12624789112346</v>
      </c>
      <c r="S39" s="82"/>
      <c r="Y39" s="11"/>
      <c r="Z39" s="82"/>
      <c r="AD39" s="82"/>
      <c r="AH39" s="82"/>
      <c r="AK39" s="11"/>
    </row>
    <row r="40" spans="3:37" x14ac:dyDescent="0.25">
      <c r="C40" s="326">
        <v>39114</v>
      </c>
      <c r="D40" s="82">
        <v>292.63200000000001</v>
      </c>
      <c r="E40">
        <v>296.41300000000001</v>
      </c>
      <c r="F40">
        <v>336.63</v>
      </c>
      <c r="G40">
        <v>341.03</v>
      </c>
      <c r="H40">
        <v>339.12799999999999</v>
      </c>
      <c r="J40">
        <v>7.1928999999999998</v>
      </c>
      <c r="K40" s="11">
        <v>53.12</v>
      </c>
      <c r="L40" s="327">
        <f t="shared" si="0"/>
        <v>382.08684799999997</v>
      </c>
      <c r="M40" s="82">
        <f t="shared" si="4"/>
        <v>294.52250000000004</v>
      </c>
      <c r="N40" s="11">
        <f t="shared" si="1"/>
        <v>340.07899999999995</v>
      </c>
      <c r="O40" s="82">
        <f t="shared" si="2"/>
        <v>282.18086245880295</v>
      </c>
      <c r="P40">
        <f t="shared" si="3"/>
        <v>286.00130864451307</v>
      </c>
      <c r="S40" s="82"/>
      <c r="Y40" s="11"/>
      <c r="Z40" s="82"/>
      <c r="AD40" s="82"/>
      <c r="AH40" s="82"/>
      <c r="AK40" s="11"/>
    </row>
    <row r="41" spans="3:37" x14ac:dyDescent="0.25">
      <c r="C41" s="326">
        <v>39142</v>
      </c>
      <c r="D41" s="82">
        <v>315.53199999999998</v>
      </c>
      <c r="E41">
        <v>319.31299999999999</v>
      </c>
      <c r="F41">
        <v>346.63</v>
      </c>
      <c r="G41">
        <v>349.03</v>
      </c>
      <c r="H41">
        <v>349.12799999999999</v>
      </c>
      <c r="J41">
        <v>7.1955999999999998</v>
      </c>
      <c r="K41" s="11">
        <v>57.35</v>
      </c>
      <c r="L41" s="327">
        <f t="shared" si="0"/>
        <v>412.66766000000001</v>
      </c>
      <c r="M41" s="82">
        <f t="shared" si="4"/>
        <v>317.42250000000001</v>
      </c>
      <c r="N41" s="11">
        <f t="shared" si="1"/>
        <v>349.07899999999995</v>
      </c>
      <c r="O41" s="82">
        <f t="shared" si="2"/>
        <v>303.32171970211323</v>
      </c>
      <c r="P41">
        <f t="shared" si="3"/>
        <v>309.41914549817096</v>
      </c>
      <c r="S41" s="82"/>
      <c r="Y41" s="11"/>
      <c r="Z41" s="82"/>
      <c r="AD41" s="82"/>
      <c r="AH41" s="82"/>
      <c r="AK41" s="11"/>
    </row>
    <row r="42" spans="3:37" x14ac:dyDescent="0.25">
      <c r="C42" s="326">
        <v>39173</v>
      </c>
      <c r="D42" s="82">
        <v>374.53199999999998</v>
      </c>
      <c r="E42">
        <v>377.31299999999999</v>
      </c>
      <c r="F42">
        <v>374.63</v>
      </c>
      <c r="G42">
        <v>376.03</v>
      </c>
      <c r="H42">
        <v>379.12799999999999</v>
      </c>
      <c r="J42">
        <v>7.3841000000000001</v>
      </c>
      <c r="K42" s="11">
        <v>62.1</v>
      </c>
      <c r="L42" s="327">
        <f t="shared" si="0"/>
        <v>458.55261000000002</v>
      </c>
      <c r="M42" s="82">
        <f t="shared" si="4"/>
        <v>375.92250000000001</v>
      </c>
      <c r="N42" s="11">
        <f t="shared" si="1"/>
        <v>377.57899999999995</v>
      </c>
      <c r="O42" s="82">
        <f t="shared" si="2"/>
        <v>335.04249865220868</v>
      </c>
      <c r="P42">
        <f t="shared" si="3"/>
        <v>344.55641631812978</v>
      </c>
      <c r="S42" s="82"/>
      <c r="Y42" s="11"/>
      <c r="Z42" s="82"/>
      <c r="AD42" s="82"/>
      <c r="AH42" s="82"/>
      <c r="AK42" s="11"/>
    </row>
    <row r="43" spans="3:37" x14ac:dyDescent="0.25">
      <c r="C43" s="326">
        <v>39203</v>
      </c>
      <c r="D43" s="82">
        <v>408.53199999999998</v>
      </c>
      <c r="E43">
        <v>411.31299999999999</v>
      </c>
      <c r="F43">
        <v>404.63</v>
      </c>
      <c r="G43">
        <v>406.03</v>
      </c>
      <c r="H43">
        <v>397.12799999999999</v>
      </c>
      <c r="J43">
        <v>7.1680000000000001</v>
      </c>
      <c r="K43" s="11">
        <v>64.13</v>
      </c>
      <c r="L43" s="327">
        <f t="shared" si="0"/>
        <v>459.68383999999998</v>
      </c>
      <c r="M43" s="82">
        <f t="shared" si="4"/>
        <v>409.92250000000001</v>
      </c>
      <c r="N43" s="11">
        <f t="shared" si="1"/>
        <v>401.57899999999995</v>
      </c>
      <c r="O43" s="82">
        <f t="shared" si="2"/>
        <v>335.82453059888655</v>
      </c>
      <c r="P43">
        <f t="shared" si="3"/>
        <v>345.42267714808952</v>
      </c>
      <c r="S43" s="82"/>
      <c r="Y43" s="11"/>
      <c r="Z43" s="82"/>
      <c r="AD43" s="82"/>
      <c r="AH43" s="82"/>
      <c r="AK43" s="11"/>
    </row>
    <row r="44" spans="3:37" x14ac:dyDescent="0.25">
      <c r="C44" s="326">
        <v>39234</v>
      </c>
      <c r="D44" s="82">
        <v>431.53199999999998</v>
      </c>
      <c r="E44">
        <v>434.31299999999999</v>
      </c>
      <c r="F44">
        <v>409.63</v>
      </c>
      <c r="G44">
        <v>413.03</v>
      </c>
      <c r="H44">
        <v>399.12799999999999</v>
      </c>
      <c r="J44">
        <v>7.0457000000000001</v>
      </c>
      <c r="K44" s="11">
        <v>66.45</v>
      </c>
      <c r="L44" s="327">
        <f t="shared" si="0"/>
        <v>468.18676500000004</v>
      </c>
      <c r="M44" s="82">
        <f t="shared" si="4"/>
        <v>432.92250000000001</v>
      </c>
      <c r="N44" s="11">
        <f t="shared" si="1"/>
        <v>406.07899999999995</v>
      </c>
      <c r="O44" s="82">
        <f t="shared" si="2"/>
        <v>341.70269771804527</v>
      </c>
      <c r="P44">
        <f t="shared" si="3"/>
        <v>351.93395325249412</v>
      </c>
      <c r="S44" s="82"/>
      <c r="Y44" s="11"/>
      <c r="Z44" s="82"/>
      <c r="AD44" s="82"/>
      <c r="AH44" s="82"/>
      <c r="AK44" s="11"/>
    </row>
    <row r="45" spans="3:37" x14ac:dyDescent="0.25">
      <c r="C45" s="326">
        <v>39264</v>
      </c>
      <c r="D45" s="82">
        <v>423.33199999999999</v>
      </c>
      <c r="E45">
        <v>426.113</v>
      </c>
      <c r="F45">
        <v>420.63</v>
      </c>
      <c r="G45">
        <v>424.03</v>
      </c>
      <c r="H45">
        <v>416.12799999999999</v>
      </c>
      <c r="J45">
        <v>7.1947999999999999</v>
      </c>
      <c r="K45" s="11">
        <v>63.33</v>
      </c>
      <c r="L45" s="327">
        <f t="shared" si="0"/>
        <v>455.64668399999999</v>
      </c>
      <c r="M45" s="82">
        <f t="shared" si="4"/>
        <v>424.72249999999997</v>
      </c>
      <c r="N45" s="11">
        <f t="shared" si="1"/>
        <v>420.07899999999995</v>
      </c>
      <c r="O45" s="82">
        <f t="shared" si="2"/>
        <v>333.03359951880361</v>
      </c>
      <c r="P45">
        <f t="shared" si="3"/>
        <v>342.33114836328269</v>
      </c>
      <c r="S45" s="82"/>
      <c r="Y45" s="11"/>
      <c r="Z45" s="82"/>
      <c r="AD45" s="82"/>
      <c r="AH45" s="82"/>
      <c r="AK45" s="11"/>
    </row>
    <row r="46" spans="3:37" x14ac:dyDescent="0.25">
      <c r="C46" s="326">
        <v>39295</v>
      </c>
      <c r="D46" s="82">
        <v>408.33199999999999</v>
      </c>
      <c r="E46">
        <v>411.113</v>
      </c>
      <c r="F46">
        <v>435.63</v>
      </c>
      <c r="G46">
        <v>439.03</v>
      </c>
      <c r="H46">
        <v>423.12799999999999</v>
      </c>
      <c r="J46">
        <v>6.9782000000000002</v>
      </c>
      <c r="K46" s="11">
        <v>60.48</v>
      </c>
      <c r="L46" s="327">
        <f t="shared" si="0"/>
        <v>422.04153600000001</v>
      </c>
      <c r="M46" s="82">
        <f t="shared" si="4"/>
        <v>409.72249999999997</v>
      </c>
      <c r="N46" s="11">
        <f t="shared" si="1"/>
        <v>431.07899999999995</v>
      </c>
      <c r="O46" s="82">
        <f t="shared" si="2"/>
        <v>309.8019849852094</v>
      </c>
      <c r="P46">
        <f t="shared" si="3"/>
        <v>316.5973688512467</v>
      </c>
      <c r="S46" s="82"/>
      <c r="Y46" s="11"/>
      <c r="Z46" s="82"/>
      <c r="AD46" s="82"/>
      <c r="AH46" s="82"/>
      <c r="AK46" s="11"/>
    </row>
    <row r="47" spans="3:37" x14ac:dyDescent="0.25">
      <c r="C47" s="326">
        <v>39326</v>
      </c>
      <c r="D47" s="82">
        <v>386.63200000000001</v>
      </c>
      <c r="E47">
        <v>389.41300000000001</v>
      </c>
      <c r="F47">
        <v>440.63</v>
      </c>
      <c r="G47">
        <v>444.03</v>
      </c>
      <c r="H47">
        <v>423.12799999999999</v>
      </c>
      <c r="J47">
        <v>7.2355999999999998</v>
      </c>
      <c r="K47" s="11">
        <v>71.790000000000006</v>
      </c>
      <c r="L47" s="327">
        <f t="shared" si="0"/>
        <v>519.44372400000009</v>
      </c>
      <c r="M47" s="82">
        <f t="shared" si="4"/>
        <v>388.02250000000004</v>
      </c>
      <c r="N47" s="11">
        <f t="shared" si="1"/>
        <v>433.57899999999995</v>
      </c>
      <c r="O47" s="82">
        <f t="shared" si="2"/>
        <v>377.1372065514015</v>
      </c>
      <c r="P47">
        <f t="shared" si="3"/>
        <v>391.18494186184267</v>
      </c>
      <c r="S47" s="82"/>
      <c r="Y47" s="11"/>
      <c r="Z47" s="82"/>
      <c r="AD47" s="82"/>
      <c r="AH47" s="82"/>
      <c r="AK47" s="11"/>
    </row>
    <row r="48" spans="3:37" x14ac:dyDescent="0.25">
      <c r="C48" s="326">
        <v>39356</v>
      </c>
      <c r="D48" s="82">
        <v>395.63200000000001</v>
      </c>
      <c r="E48">
        <v>399.41300000000001</v>
      </c>
      <c r="F48">
        <v>463.63</v>
      </c>
      <c r="G48">
        <v>467.03</v>
      </c>
      <c r="H48">
        <v>441.12799999999999</v>
      </c>
      <c r="J48">
        <v>7.1580000000000004</v>
      </c>
      <c r="K48" s="11">
        <v>76.432000000000002</v>
      </c>
      <c r="L48" s="327">
        <f t="shared" si="0"/>
        <v>547.10025600000006</v>
      </c>
      <c r="M48" s="82">
        <f t="shared" si="4"/>
        <v>397.52250000000004</v>
      </c>
      <c r="N48" s="11">
        <f t="shared" si="1"/>
        <v>454.07899999999995</v>
      </c>
      <c r="O48" s="82">
        <f t="shared" si="2"/>
        <v>396.25647633590035</v>
      </c>
      <c r="P48">
        <f t="shared" si="3"/>
        <v>412.36345583701001</v>
      </c>
      <c r="S48" s="82"/>
      <c r="Y48" s="11"/>
      <c r="Z48" s="82"/>
      <c r="AD48" s="82"/>
      <c r="AH48" s="82"/>
      <c r="AK48" s="11"/>
    </row>
    <row r="49" spans="3:37" x14ac:dyDescent="0.25">
      <c r="C49" s="326">
        <v>39387</v>
      </c>
      <c r="D49" s="82">
        <v>398.63200000000001</v>
      </c>
      <c r="E49">
        <v>402.41300000000001</v>
      </c>
      <c r="F49">
        <v>457.63</v>
      </c>
      <c r="G49">
        <v>461.03</v>
      </c>
      <c r="H49">
        <v>451.12799999999999</v>
      </c>
      <c r="J49">
        <v>6.7877000000000001</v>
      </c>
      <c r="K49" s="11">
        <v>82.78</v>
      </c>
      <c r="L49" s="327">
        <f t="shared" si="0"/>
        <v>561.885806</v>
      </c>
      <c r="M49" s="82">
        <f t="shared" si="4"/>
        <v>400.52250000000004</v>
      </c>
      <c r="N49" s="11">
        <f t="shared" si="1"/>
        <v>456.07899999999995</v>
      </c>
      <c r="O49" s="82">
        <f t="shared" si="2"/>
        <v>406.47789236023038</v>
      </c>
      <c r="P49">
        <f t="shared" si="3"/>
        <v>423.68577120560127</v>
      </c>
      <c r="S49" s="82"/>
      <c r="Y49" s="11"/>
      <c r="Z49" s="82"/>
      <c r="AD49" s="82"/>
      <c r="AH49" s="82"/>
      <c r="AK49" s="11"/>
    </row>
    <row r="50" spans="3:37" x14ac:dyDescent="0.25">
      <c r="C50" s="326">
        <v>39417</v>
      </c>
      <c r="D50" s="82">
        <v>441.63</v>
      </c>
      <c r="E50">
        <v>445.41300000000001</v>
      </c>
      <c r="F50">
        <v>508.63</v>
      </c>
      <c r="G50">
        <v>513.03</v>
      </c>
      <c r="H50">
        <v>509.12799999999999</v>
      </c>
      <c r="J50">
        <v>6.7243000000000004</v>
      </c>
      <c r="K50" s="11">
        <v>92.91</v>
      </c>
      <c r="L50" s="327">
        <f t="shared" si="0"/>
        <v>624.75471300000004</v>
      </c>
      <c r="M50" s="82">
        <f t="shared" si="4"/>
        <v>443.5215</v>
      </c>
      <c r="N50" s="11">
        <f t="shared" si="1"/>
        <v>511.07899999999995</v>
      </c>
      <c r="O50" s="82">
        <f t="shared" si="2"/>
        <v>449.93987067296939</v>
      </c>
      <c r="P50">
        <f t="shared" si="3"/>
        <v>471.82882925434723</v>
      </c>
      <c r="S50" s="82"/>
      <c r="Y50" s="11"/>
      <c r="Z50" s="82"/>
      <c r="AD50" s="82"/>
      <c r="AH50" s="82"/>
      <c r="AK50" s="11"/>
    </row>
    <row r="51" spans="3:37" x14ac:dyDescent="0.25">
      <c r="C51" s="326">
        <v>39448</v>
      </c>
      <c r="D51" s="82">
        <v>441.63200000000001</v>
      </c>
      <c r="E51">
        <v>445.41300000000001</v>
      </c>
      <c r="F51">
        <v>509.63</v>
      </c>
      <c r="G51">
        <v>513.03</v>
      </c>
      <c r="H51">
        <v>500.12799999999999</v>
      </c>
      <c r="J51">
        <v>6.8433000000000002</v>
      </c>
      <c r="K51" s="11">
        <v>90.37</v>
      </c>
      <c r="L51" s="327">
        <f t="shared" si="0"/>
        <v>618.42902100000003</v>
      </c>
      <c r="M51" s="82">
        <f t="shared" si="4"/>
        <v>443.52250000000004</v>
      </c>
      <c r="N51" s="11">
        <f t="shared" si="1"/>
        <v>506.57899999999995</v>
      </c>
      <c r="O51" s="82">
        <f t="shared" si="2"/>
        <v>445.56684906918889</v>
      </c>
      <c r="P51">
        <f t="shared" si="3"/>
        <v>466.98481061800464</v>
      </c>
      <c r="S51" s="82"/>
      <c r="Y51" s="11"/>
      <c r="Z51" s="82"/>
      <c r="AD51" s="82"/>
      <c r="AH51" s="82"/>
      <c r="AK51" s="11"/>
    </row>
    <row r="52" spans="3:37" x14ac:dyDescent="0.25">
      <c r="C52" s="326">
        <v>39479</v>
      </c>
      <c r="D52" s="82">
        <v>458.63200000000001</v>
      </c>
      <c r="E52">
        <v>462.41300000000001</v>
      </c>
      <c r="F52">
        <v>516.63</v>
      </c>
      <c r="G52">
        <v>520.29999999999995</v>
      </c>
      <c r="H52">
        <v>502.12799999999999</v>
      </c>
      <c r="J52">
        <v>6.9837999999999996</v>
      </c>
      <c r="K52" s="11">
        <v>92.16</v>
      </c>
      <c r="L52" s="327">
        <f t="shared" si="0"/>
        <v>643.62700799999993</v>
      </c>
      <c r="M52" s="82">
        <f t="shared" si="4"/>
        <v>460.52250000000004</v>
      </c>
      <c r="N52" s="11">
        <f t="shared" si="1"/>
        <v>511.21399999999994</v>
      </c>
      <c r="O52" s="82">
        <f t="shared" si="2"/>
        <v>462.98649920751041</v>
      </c>
      <c r="P52">
        <f t="shared" si="3"/>
        <v>486.28064712511207</v>
      </c>
      <c r="S52" s="82"/>
      <c r="Y52" s="11"/>
      <c r="Z52" s="82"/>
      <c r="AD52" s="82"/>
      <c r="AH52" s="82"/>
      <c r="AK52" s="11"/>
    </row>
    <row r="53" spans="3:37" x14ac:dyDescent="0.25">
      <c r="C53" s="326">
        <v>39508</v>
      </c>
      <c r="D53" s="82">
        <v>519.63199999999995</v>
      </c>
      <c r="E53">
        <v>523.41300000000001</v>
      </c>
      <c r="F53">
        <v>594.63</v>
      </c>
      <c r="G53">
        <v>598.29999999999995</v>
      </c>
      <c r="H53">
        <v>578.12800000000004</v>
      </c>
      <c r="J53">
        <v>7.6645000000000003</v>
      </c>
      <c r="K53" s="11">
        <v>94.74</v>
      </c>
      <c r="L53" s="327">
        <f t="shared" si="0"/>
        <v>726.13472999999999</v>
      </c>
      <c r="M53" s="82">
        <f t="shared" si="4"/>
        <v>521.52250000000004</v>
      </c>
      <c r="N53" s="11">
        <f t="shared" si="1"/>
        <v>588.21399999999994</v>
      </c>
      <c r="O53" s="82">
        <f t="shared" si="2"/>
        <v>520.02500990084081</v>
      </c>
      <c r="P53">
        <f t="shared" si="3"/>
        <v>549.46250027417022</v>
      </c>
      <c r="S53" s="82"/>
      <c r="Y53" s="11"/>
      <c r="Z53" s="82"/>
      <c r="AD53" s="82"/>
      <c r="AH53" s="82"/>
      <c r="AK53" s="11"/>
    </row>
    <row r="54" spans="3:37" x14ac:dyDescent="0.25">
      <c r="C54" s="326">
        <v>39539</v>
      </c>
      <c r="D54" s="82">
        <v>575.63199999999995</v>
      </c>
      <c r="E54">
        <v>578.41300000000001</v>
      </c>
      <c r="F54">
        <v>711.63</v>
      </c>
      <c r="G54">
        <v>717.03</v>
      </c>
      <c r="H54">
        <v>696.12800000000004</v>
      </c>
      <c r="J54">
        <v>7.9884000000000004</v>
      </c>
      <c r="K54" s="11">
        <v>102.4</v>
      </c>
      <c r="L54" s="327">
        <f t="shared" si="0"/>
        <v>818.01216000000011</v>
      </c>
      <c r="M54" s="82">
        <f t="shared" si="4"/>
        <v>577.02250000000004</v>
      </c>
      <c r="N54" s="11">
        <f t="shared" si="1"/>
        <v>706.57899999999995</v>
      </c>
      <c r="O54" s="82">
        <f t="shared" si="2"/>
        <v>583.54090449226737</v>
      </c>
      <c r="P54">
        <f t="shared" si="3"/>
        <v>619.81938505124447</v>
      </c>
      <c r="S54" s="82"/>
      <c r="Y54" s="11"/>
      <c r="Z54" s="82"/>
      <c r="AD54" s="82"/>
      <c r="AH54" s="82"/>
      <c r="AK54" s="11"/>
    </row>
    <row r="55" spans="3:37" x14ac:dyDescent="0.25">
      <c r="C55" s="326">
        <v>39569</v>
      </c>
      <c r="D55" s="82">
        <v>606.63199999999995</v>
      </c>
      <c r="E55">
        <v>609.41300000000001</v>
      </c>
      <c r="F55">
        <v>758.63</v>
      </c>
      <c r="G55">
        <v>765.03</v>
      </c>
      <c r="H55">
        <v>749.12800000000004</v>
      </c>
      <c r="J55">
        <v>7.8445999999999998</v>
      </c>
      <c r="K55" s="11">
        <v>108.37</v>
      </c>
      <c r="L55" s="327">
        <f t="shared" si="0"/>
        <v>850.11930200000006</v>
      </c>
      <c r="M55" s="82">
        <f t="shared" si="4"/>
        <v>608.02250000000004</v>
      </c>
      <c r="N55" s="11">
        <f t="shared" si="1"/>
        <v>757.07899999999995</v>
      </c>
      <c r="O55" s="82">
        <f t="shared" si="2"/>
        <v>605.73693072965727</v>
      </c>
      <c r="P55">
        <f t="shared" si="3"/>
        <v>644.40603805421972</v>
      </c>
      <c r="S55" s="82"/>
      <c r="Y55" s="11"/>
      <c r="Z55" s="82"/>
      <c r="AD55" s="82"/>
      <c r="AH55" s="82"/>
      <c r="AK55" s="11"/>
    </row>
    <row r="56" spans="3:37" x14ac:dyDescent="0.25">
      <c r="C56" s="326">
        <v>39600</v>
      </c>
      <c r="D56" s="82">
        <v>651.63199999999995</v>
      </c>
      <c r="E56">
        <v>654.41300000000001</v>
      </c>
      <c r="F56">
        <v>829.63</v>
      </c>
      <c r="G56">
        <v>835.03</v>
      </c>
      <c r="H56">
        <v>820.12800000000004</v>
      </c>
      <c r="J56">
        <v>7.6433999999999997</v>
      </c>
      <c r="K56" s="11">
        <v>122.25</v>
      </c>
      <c r="L56" s="327">
        <f t="shared" si="0"/>
        <v>934.40564999999992</v>
      </c>
      <c r="M56" s="82">
        <f t="shared" si="4"/>
        <v>653.02250000000004</v>
      </c>
      <c r="N56" s="11">
        <f t="shared" si="1"/>
        <v>827.57899999999995</v>
      </c>
      <c r="O56" s="82">
        <f t="shared" si="2"/>
        <v>664.00502546265398</v>
      </c>
      <c r="P56">
        <f t="shared" si="3"/>
        <v>708.94990780021033</v>
      </c>
      <c r="S56" s="82"/>
      <c r="Y56" s="11"/>
      <c r="Z56" s="82"/>
      <c r="AD56" s="82"/>
      <c r="AH56" s="82"/>
      <c r="AK56" s="11"/>
    </row>
    <row r="57" spans="3:37" x14ac:dyDescent="0.25">
      <c r="C57" s="326">
        <v>39630</v>
      </c>
      <c r="D57" s="82">
        <v>723.23199999999997</v>
      </c>
      <c r="E57">
        <v>730.01300000000003</v>
      </c>
      <c r="F57">
        <v>892.63</v>
      </c>
      <c r="G57">
        <v>898.03</v>
      </c>
      <c r="H57">
        <v>869.12800000000004</v>
      </c>
      <c r="J57">
        <v>7.9352</v>
      </c>
      <c r="K57" s="11">
        <v>131.54</v>
      </c>
      <c r="L57" s="327">
        <f t="shared" si="0"/>
        <v>1043.796208</v>
      </c>
      <c r="M57" s="82">
        <f t="shared" si="4"/>
        <v>726.62249999999995</v>
      </c>
      <c r="N57" s="11">
        <f t="shared" si="1"/>
        <v>883.57899999999995</v>
      </c>
      <c r="O57" s="82">
        <f t="shared" si="2"/>
        <v>739.62794124540198</v>
      </c>
      <c r="P57">
        <f t="shared" si="3"/>
        <v>792.71780253677241</v>
      </c>
      <c r="S57" s="82"/>
      <c r="Y57" s="11"/>
      <c r="Z57" s="82"/>
      <c r="AD57" s="82"/>
      <c r="AH57" s="82"/>
      <c r="AK57" s="11"/>
    </row>
    <row r="58" spans="3:37" x14ac:dyDescent="0.25">
      <c r="C58" s="326">
        <v>39661</v>
      </c>
      <c r="D58" s="82">
        <v>682.63199999999995</v>
      </c>
      <c r="E58">
        <v>692.41300000000001</v>
      </c>
      <c r="F58">
        <v>870.63</v>
      </c>
      <c r="G58">
        <v>875.03</v>
      </c>
      <c r="H58">
        <v>867.12800000000004</v>
      </c>
      <c r="J58">
        <v>7.6814</v>
      </c>
      <c r="K58" s="11">
        <v>133.63999999999999</v>
      </c>
      <c r="L58" s="327">
        <f t="shared" si="0"/>
        <v>1026.5422959999999</v>
      </c>
      <c r="M58" s="82">
        <f t="shared" si="4"/>
        <v>687.52250000000004</v>
      </c>
      <c r="N58" s="11">
        <f t="shared" si="1"/>
        <v>871.07899999999995</v>
      </c>
      <c r="O58" s="82">
        <f t="shared" si="2"/>
        <v>727.70011897303584</v>
      </c>
      <c r="P58">
        <f t="shared" si="3"/>
        <v>779.50529214615972</v>
      </c>
      <c r="S58" s="82"/>
      <c r="Y58" s="11"/>
      <c r="Z58" s="82"/>
      <c r="AD58" s="82"/>
      <c r="AH58" s="82"/>
      <c r="AK58" s="11"/>
    </row>
    <row r="59" spans="3:37" x14ac:dyDescent="0.25">
      <c r="C59" s="326">
        <v>39692</v>
      </c>
      <c r="D59" s="82">
        <v>593.63199999999995</v>
      </c>
      <c r="E59">
        <v>598.41300000000001</v>
      </c>
      <c r="F59">
        <v>706.63</v>
      </c>
      <c r="G59">
        <v>709.03</v>
      </c>
      <c r="H59">
        <v>721.12800000000004</v>
      </c>
      <c r="J59">
        <v>7.6844999999999999</v>
      </c>
      <c r="K59" s="11">
        <v>113</v>
      </c>
      <c r="L59" s="327">
        <f t="shared" si="0"/>
        <v>868.34849999999994</v>
      </c>
      <c r="M59" s="82">
        <f t="shared" si="4"/>
        <v>596.02250000000004</v>
      </c>
      <c r="N59" s="11">
        <f t="shared" si="1"/>
        <v>715.07899999999995</v>
      </c>
      <c r="O59" s="82">
        <f t="shared" si="2"/>
        <v>618.33897911797453</v>
      </c>
      <c r="P59">
        <f t="shared" si="3"/>
        <v>658.36539219880638</v>
      </c>
      <c r="S59" s="82"/>
      <c r="Y59" s="11"/>
      <c r="Z59" s="82"/>
      <c r="AD59" s="82"/>
      <c r="AH59" s="82"/>
      <c r="AK59" s="11"/>
    </row>
    <row r="60" spans="3:37" x14ac:dyDescent="0.25">
      <c r="C60" s="326">
        <v>39722</v>
      </c>
      <c r="D60" s="82">
        <v>564.03200000000004</v>
      </c>
      <c r="E60">
        <v>570.81299999999999</v>
      </c>
      <c r="F60">
        <v>650.63</v>
      </c>
      <c r="G60">
        <v>654.03</v>
      </c>
      <c r="H60">
        <v>656.12800000000004</v>
      </c>
      <c r="J60">
        <v>8.0182000000000002</v>
      </c>
      <c r="K60" s="11">
        <v>99.08</v>
      </c>
      <c r="L60" s="327">
        <f t="shared" si="0"/>
        <v>794.44325600000002</v>
      </c>
      <c r="M60" s="82">
        <f t="shared" si="4"/>
        <v>567.42250000000001</v>
      </c>
      <c r="N60" s="11">
        <f t="shared" si="1"/>
        <v>655.07899999999995</v>
      </c>
      <c r="O60" s="82">
        <f t="shared" si="2"/>
        <v>567.24745764575175</v>
      </c>
      <c r="P60">
        <f t="shared" si="3"/>
        <v>601.77104975224961</v>
      </c>
      <c r="S60" s="82"/>
      <c r="Y60" s="11"/>
      <c r="Z60" s="82"/>
      <c r="AD60" s="82"/>
      <c r="AH60" s="82"/>
      <c r="AK60" s="11"/>
    </row>
    <row r="61" spans="3:37" x14ac:dyDescent="0.25">
      <c r="C61" s="326">
        <v>39753</v>
      </c>
      <c r="D61" s="82">
        <v>519.03200000000004</v>
      </c>
      <c r="E61">
        <v>525.81299999999999</v>
      </c>
      <c r="F61">
        <v>626.63</v>
      </c>
      <c r="G61">
        <v>633.03</v>
      </c>
      <c r="H61">
        <v>617.12800000000004</v>
      </c>
      <c r="J61">
        <v>9.5900999999999996</v>
      </c>
      <c r="K61" s="11">
        <v>75.33</v>
      </c>
      <c r="L61" s="327">
        <f t="shared" si="0"/>
        <v>722.42223300000001</v>
      </c>
      <c r="M61" s="82">
        <f t="shared" si="4"/>
        <v>522.42250000000001</v>
      </c>
      <c r="N61" s="11">
        <f t="shared" si="1"/>
        <v>625.07899999999995</v>
      </c>
      <c r="O61" s="82">
        <f t="shared" si="2"/>
        <v>517.45851921729661</v>
      </c>
      <c r="P61">
        <f t="shared" si="3"/>
        <v>546.61958527682827</v>
      </c>
      <c r="S61" s="82"/>
      <c r="Y61" s="11"/>
      <c r="Z61" s="82"/>
      <c r="AD61" s="82"/>
      <c r="AH61" s="82"/>
      <c r="AK61" s="11"/>
    </row>
    <row r="62" spans="3:37" x14ac:dyDescent="0.25">
      <c r="C62" s="326">
        <v>39783</v>
      </c>
      <c r="D62" s="82">
        <v>358.03199999999998</v>
      </c>
      <c r="E62">
        <v>364.81299999999999</v>
      </c>
      <c r="F62">
        <v>545.63</v>
      </c>
      <c r="G62">
        <v>553.03</v>
      </c>
      <c r="H62">
        <v>542.12800000000004</v>
      </c>
      <c r="J62">
        <v>10.1823</v>
      </c>
      <c r="K62" s="11">
        <v>53.11</v>
      </c>
      <c r="L62" s="327">
        <f t="shared" si="0"/>
        <v>540.78195299999993</v>
      </c>
      <c r="M62" s="82">
        <f t="shared" si="4"/>
        <v>361.42250000000001</v>
      </c>
      <c r="N62" s="11">
        <f t="shared" si="1"/>
        <v>547.57899999999995</v>
      </c>
      <c r="O62" s="82">
        <f t="shared" si="2"/>
        <v>391.88856283043225</v>
      </c>
      <c r="P62">
        <f t="shared" si="3"/>
        <v>407.52509546757381</v>
      </c>
      <c r="S62" s="82"/>
      <c r="Y62" s="11"/>
      <c r="Z62" s="82"/>
      <c r="AD62" s="82"/>
      <c r="AH62" s="82"/>
      <c r="AK62" s="11"/>
    </row>
    <row r="63" spans="3:37" x14ac:dyDescent="0.25">
      <c r="C63" s="326">
        <v>39814</v>
      </c>
      <c r="D63" s="82">
        <v>265.98200000000003</v>
      </c>
      <c r="E63">
        <v>274.76299999999998</v>
      </c>
      <c r="F63">
        <v>421.63</v>
      </c>
      <c r="G63">
        <v>431.03</v>
      </c>
      <c r="H63">
        <v>405.12799999999999</v>
      </c>
      <c r="J63">
        <v>9.9518000000000004</v>
      </c>
      <c r="K63" s="11">
        <v>39.988999999999997</v>
      </c>
      <c r="L63" s="327">
        <f t="shared" si="0"/>
        <v>397.9625302</v>
      </c>
      <c r="M63" s="82">
        <f t="shared" si="4"/>
        <v>270.3725</v>
      </c>
      <c r="N63" s="11">
        <f t="shared" si="1"/>
        <v>418.07899999999995</v>
      </c>
      <c r="O63" s="82">
        <f t="shared" si="2"/>
        <v>293.15589906117839</v>
      </c>
      <c r="P63">
        <f t="shared" si="3"/>
        <v>298.1584134231606</v>
      </c>
      <c r="S63" s="82"/>
      <c r="Y63" s="11"/>
      <c r="Z63" s="82"/>
      <c r="AD63" s="82"/>
      <c r="AH63" s="82"/>
      <c r="AK63" s="11"/>
    </row>
    <row r="64" spans="3:37" x14ac:dyDescent="0.25">
      <c r="C64" s="326">
        <v>39845</v>
      </c>
      <c r="D64" s="82">
        <v>326.98200000000003</v>
      </c>
      <c r="E64">
        <v>335.76299999999998</v>
      </c>
      <c r="F64">
        <v>416.63</v>
      </c>
      <c r="G64">
        <v>424.03</v>
      </c>
      <c r="H64">
        <v>391.12799999999999</v>
      </c>
      <c r="J64">
        <v>9.9331999999999994</v>
      </c>
      <c r="K64" s="11">
        <v>43.548000000000002</v>
      </c>
      <c r="L64" s="327">
        <f t="shared" si="0"/>
        <v>432.57099360000001</v>
      </c>
      <c r="M64" s="82">
        <f t="shared" si="4"/>
        <v>331.3725</v>
      </c>
      <c r="N64" s="11">
        <f t="shared" si="1"/>
        <v>407.57899999999995</v>
      </c>
      <c r="O64" s="82">
        <f t="shared" si="2"/>
        <v>317.08111674832571</v>
      </c>
      <c r="P64">
        <f t="shared" si="3"/>
        <v>324.66050073388953</v>
      </c>
      <c r="S64" s="82"/>
      <c r="Y64" s="11"/>
      <c r="Z64" s="82"/>
      <c r="AD64" s="82"/>
      <c r="AH64" s="82"/>
      <c r="AK64" s="11"/>
    </row>
    <row r="65" spans="3:47" x14ac:dyDescent="0.25">
      <c r="C65" s="326">
        <v>39873</v>
      </c>
      <c r="D65" s="82">
        <v>371.98200000000003</v>
      </c>
      <c r="E65">
        <v>380.76299999999998</v>
      </c>
      <c r="F65">
        <v>378.63</v>
      </c>
      <c r="G65">
        <v>386.03</v>
      </c>
      <c r="H65">
        <v>365.12799999999999</v>
      </c>
      <c r="J65">
        <v>10.0602</v>
      </c>
      <c r="K65" s="11">
        <v>43.07</v>
      </c>
      <c r="L65" s="327">
        <f t="shared" si="0"/>
        <v>433.29281400000002</v>
      </c>
      <c r="M65" s="82">
        <f t="shared" si="4"/>
        <v>376.3725</v>
      </c>
      <c r="N65" s="11">
        <f t="shared" si="1"/>
        <v>375.57899999999995</v>
      </c>
      <c r="O65" s="82">
        <f t="shared" si="2"/>
        <v>317.58011926113369</v>
      </c>
      <c r="P65">
        <f t="shared" si="3"/>
        <v>325.21324839686338</v>
      </c>
      <c r="S65" s="82"/>
      <c r="Y65" s="11"/>
      <c r="Z65" s="82"/>
      <c r="AD65" s="82"/>
      <c r="AH65" s="82"/>
      <c r="AK65" s="11"/>
    </row>
    <row r="66" spans="3:47" x14ac:dyDescent="0.25">
      <c r="C66" s="326">
        <v>39904</v>
      </c>
      <c r="D66" s="82">
        <v>367.48200000000003</v>
      </c>
      <c r="E66">
        <v>371.26299999999998</v>
      </c>
      <c r="F66">
        <v>376.63</v>
      </c>
      <c r="G66">
        <v>384.03</v>
      </c>
      <c r="H66">
        <v>360.12799999999999</v>
      </c>
      <c r="J66">
        <v>10.0655</v>
      </c>
      <c r="K66" s="11">
        <v>46.543999999999997</v>
      </c>
      <c r="L66" s="327">
        <f t="shared" si="0"/>
        <v>468.488632</v>
      </c>
      <c r="M66" s="82">
        <f t="shared" si="4"/>
        <v>369.3725</v>
      </c>
      <c r="N66" s="11">
        <f t="shared" si="1"/>
        <v>372.07899999999995</v>
      </c>
      <c r="O66" s="82">
        <f t="shared" si="2"/>
        <v>341.9113817501588</v>
      </c>
      <c r="P66">
        <f t="shared" si="3"/>
        <v>352.16511363363446</v>
      </c>
      <c r="S66" s="82"/>
      <c r="Y66" s="11"/>
      <c r="Z66" s="82"/>
      <c r="AD66" s="82"/>
      <c r="AH66" s="82"/>
      <c r="AK66" s="11"/>
    </row>
    <row r="67" spans="3:47" x14ac:dyDescent="0.25">
      <c r="C67" s="326">
        <v>39934</v>
      </c>
      <c r="D67" s="82">
        <v>364.48200000000003</v>
      </c>
      <c r="E67">
        <v>368.26299999999998</v>
      </c>
      <c r="F67">
        <v>384.63</v>
      </c>
      <c r="G67">
        <v>390.03</v>
      </c>
      <c r="H67">
        <v>373.12799999999999</v>
      </c>
      <c r="J67">
        <v>9.1531000000000002</v>
      </c>
      <c r="K67" s="11">
        <v>50.274000000000001</v>
      </c>
      <c r="L67" s="327">
        <f t="shared" si="0"/>
        <v>460.1629494</v>
      </c>
      <c r="M67" s="82">
        <f t="shared" si="4"/>
        <v>366.3725</v>
      </c>
      <c r="N67" s="11">
        <f t="shared" si="1"/>
        <v>381.57899999999995</v>
      </c>
      <c r="O67" s="82">
        <f t="shared" si="2"/>
        <v>336.15574428377261</v>
      </c>
      <c r="P67">
        <f t="shared" si="3"/>
        <v>345.78956425900907</v>
      </c>
      <c r="S67" s="82"/>
      <c r="Y67" s="11"/>
      <c r="Z67" s="82"/>
      <c r="AD67" s="82"/>
      <c r="AH67" s="82"/>
      <c r="AK67" s="11"/>
      <c r="AR67" t="s">
        <v>768</v>
      </c>
    </row>
    <row r="68" spans="3:47" x14ac:dyDescent="0.25">
      <c r="C68" s="326">
        <v>39965</v>
      </c>
      <c r="D68" s="82">
        <v>379.38200000000001</v>
      </c>
      <c r="E68">
        <v>383.16300000000001</v>
      </c>
      <c r="F68">
        <v>371.63</v>
      </c>
      <c r="G68">
        <v>376.03</v>
      </c>
      <c r="H68">
        <v>364.12799999999999</v>
      </c>
      <c r="J68">
        <v>8.4370999999999992</v>
      </c>
      <c r="K68" s="11">
        <v>56.576999999999998</v>
      </c>
      <c r="L68" s="327">
        <f t="shared" si="0"/>
        <v>477.34580669999991</v>
      </c>
      <c r="M68" s="82">
        <f t="shared" si="4"/>
        <v>381.27250000000004</v>
      </c>
      <c r="N68" s="11">
        <f t="shared" si="1"/>
        <v>370.07899999999995</v>
      </c>
      <c r="O68" s="82">
        <f t="shared" si="2"/>
        <v>348.03444564760395</v>
      </c>
      <c r="P68">
        <f t="shared" si="3"/>
        <v>358.94766316531286</v>
      </c>
      <c r="S68" s="82"/>
      <c r="Y68" s="11"/>
      <c r="Z68" s="82"/>
      <c r="AD68" s="82"/>
      <c r="AH68" s="82"/>
      <c r="AK68" s="11"/>
    </row>
    <row r="69" spans="3:47" x14ac:dyDescent="0.25">
      <c r="C69" s="326">
        <v>39995</v>
      </c>
      <c r="D69" s="82">
        <v>416.38200000000001</v>
      </c>
      <c r="E69">
        <v>423.16300000000001</v>
      </c>
      <c r="F69">
        <v>411.63</v>
      </c>
      <c r="G69">
        <v>416.03</v>
      </c>
      <c r="H69">
        <v>410.12799999999999</v>
      </c>
      <c r="J69">
        <v>8.1092999999999993</v>
      </c>
      <c r="K69" s="11">
        <v>68.34</v>
      </c>
      <c r="L69" s="327">
        <f t="shared" si="0"/>
        <v>554.18956200000002</v>
      </c>
      <c r="M69" s="82">
        <f t="shared" si="4"/>
        <v>419.77250000000004</v>
      </c>
      <c r="N69" s="11">
        <f t="shared" si="1"/>
        <v>413.07899999999995</v>
      </c>
      <c r="O69" s="82">
        <f t="shared" si="2"/>
        <v>401.1573928354407</v>
      </c>
      <c r="P69">
        <f t="shared" si="3"/>
        <v>417.79222637827809</v>
      </c>
      <c r="S69" s="82"/>
      <c r="Y69" s="11"/>
      <c r="Z69" s="82"/>
      <c r="AD69" s="82"/>
      <c r="AH69" s="82"/>
      <c r="AK69" s="11"/>
    </row>
    <row r="70" spans="3:47" x14ac:dyDescent="0.25">
      <c r="C70" s="326">
        <v>40026</v>
      </c>
      <c r="D70" s="82">
        <v>389.98099999999999</v>
      </c>
      <c r="E70">
        <v>396.76299999999998</v>
      </c>
      <c r="F70">
        <v>391.63</v>
      </c>
      <c r="G70">
        <v>395.03</v>
      </c>
      <c r="H70">
        <v>396.12799999999999</v>
      </c>
      <c r="J70">
        <v>7.984</v>
      </c>
      <c r="K70" s="11">
        <v>64.89</v>
      </c>
      <c r="L70" s="327">
        <f t="shared" si="0"/>
        <v>518.08176000000003</v>
      </c>
      <c r="M70" s="82">
        <f t="shared" si="4"/>
        <v>393.37199999999996</v>
      </c>
      <c r="N70" s="11">
        <f t="shared" si="1"/>
        <v>395.57899999999995</v>
      </c>
      <c r="O70" s="82">
        <f t="shared" si="2"/>
        <v>376.19566561081007</v>
      </c>
      <c r="P70">
        <f t="shared" si="3"/>
        <v>390.14199209476135</v>
      </c>
      <c r="S70" s="82"/>
      <c r="Y70" s="11"/>
      <c r="Z70" s="82"/>
      <c r="AD70" s="82"/>
      <c r="AH70" s="82"/>
      <c r="AK70" s="11"/>
      <c r="AQ70" s="328">
        <v>100</v>
      </c>
      <c r="AR70" s="329">
        <v>100</v>
      </c>
    </row>
    <row r="71" spans="3:47" x14ac:dyDescent="0.25">
      <c r="C71" s="326">
        <v>40057</v>
      </c>
      <c r="D71" s="82">
        <v>425.928</v>
      </c>
      <c r="E71">
        <v>432.76299999999998</v>
      </c>
      <c r="F71">
        <v>426.63</v>
      </c>
      <c r="G71">
        <v>431.03</v>
      </c>
      <c r="H71">
        <v>417.12799999999999</v>
      </c>
      <c r="J71">
        <v>7.9912999999999998</v>
      </c>
      <c r="K71" s="11">
        <v>72.66</v>
      </c>
      <c r="L71" s="327">
        <f t="shared" si="0"/>
        <v>580.64785799999993</v>
      </c>
      <c r="M71" s="82">
        <f t="shared" si="4"/>
        <v>429.34550000000002</v>
      </c>
      <c r="N71" s="11">
        <f t="shared" si="1"/>
        <v>424.07899999999995</v>
      </c>
      <c r="O71" s="82">
        <f t="shared" si="2"/>
        <v>419.44830867630344</v>
      </c>
      <c r="P71">
        <f t="shared" si="3"/>
        <v>438.05316840799873</v>
      </c>
      <c r="S71" s="82"/>
      <c r="Y71" s="11"/>
      <c r="Z71" s="82"/>
      <c r="AD71" s="82"/>
      <c r="AH71" s="82"/>
      <c r="AK71" s="11"/>
      <c r="AQ71" s="330">
        <f>0.4706</f>
        <v>0.47060000000000002</v>
      </c>
      <c r="AR71" s="331">
        <v>0.33400000000000002</v>
      </c>
    </row>
    <row r="72" spans="3:47" x14ac:dyDescent="0.25">
      <c r="C72" s="326">
        <v>40087</v>
      </c>
      <c r="D72" s="82">
        <v>379.48200000000003</v>
      </c>
      <c r="E72">
        <v>385.26299999999998</v>
      </c>
      <c r="F72">
        <v>386.63</v>
      </c>
      <c r="G72">
        <v>390.03</v>
      </c>
      <c r="H72">
        <v>382.12799999999999</v>
      </c>
      <c r="J72">
        <v>7.5763999999999996</v>
      </c>
      <c r="K72" s="11">
        <v>67.84</v>
      </c>
      <c r="L72" s="327">
        <f t="shared" si="0"/>
        <v>513.98297600000001</v>
      </c>
      <c r="M72" s="82">
        <f t="shared" si="4"/>
        <v>382.3725</v>
      </c>
      <c r="N72" s="11">
        <f t="shared" si="1"/>
        <v>386.07899999999995</v>
      </c>
      <c r="O72" s="82">
        <f t="shared" si="2"/>
        <v>373.36213040529742</v>
      </c>
      <c r="P72">
        <f t="shared" si="3"/>
        <v>387.0032704999789</v>
      </c>
      <c r="S72" s="82"/>
      <c r="Y72" s="11"/>
      <c r="Z72" s="82"/>
      <c r="AD72" s="82"/>
      <c r="AH72" s="82"/>
      <c r="AK72" s="11"/>
      <c r="AQ72" s="330">
        <v>77.042000000000002</v>
      </c>
      <c r="AR72" s="331">
        <v>50.293999999999997</v>
      </c>
    </row>
    <row r="73" spans="3:47" x14ac:dyDescent="0.25">
      <c r="C73" s="326">
        <v>40118</v>
      </c>
      <c r="D73" s="82">
        <v>379.48200000000003</v>
      </c>
      <c r="E73">
        <v>385.26299999999998</v>
      </c>
      <c r="F73">
        <v>396.63</v>
      </c>
      <c r="G73">
        <v>398.03</v>
      </c>
      <c r="H73">
        <v>396.12799999999999</v>
      </c>
      <c r="J73">
        <v>7.4988000000000001</v>
      </c>
      <c r="K73" s="11">
        <v>72.92</v>
      </c>
      <c r="L73" s="327">
        <f t="shared" si="0"/>
        <v>546.81249600000001</v>
      </c>
      <c r="M73" s="82">
        <f t="shared" si="4"/>
        <v>382.3725</v>
      </c>
      <c r="N73" s="11">
        <f t="shared" si="1"/>
        <v>397.07899999999995</v>
      </c>
      <c r="O73" s="82">
        <f t="shared" si="2"/>
        <v>396.05754463060958</v>
      </c>
      <c r="P73">
        <f t="shared" si="3"/>
        <v>412.14309815870473</v>
      </c>
      <c r="S73" s="82"/>
      <c r="Y73" s="11"/>
      <c r="Z73" s="82"/>
      <c r="AD73" s="82"/>
      <c r="AH73" s="82"/>
      <c r="AK73" s="11"/>
      <c r="AL73" t="str">
        <f>L25</f>
        <v>Crude in Rands</v>
      </c>
      <c r="AP73" t="s">
        <v>769</v>
      </c>
      <c r="AQ73" s="262">
        <f>AQ70*AQ$71+AQ$72</f>
        <v>124.102</v>
      </c>
      <c r="AR73" s="262">
        <f>AR70*AR$71+AR$72</f>
        <v>83.693999999999988</v>
      </c>
    </row>
    <row r="74" spans="3:47" x14ac:dyDescent="0.25">
      <c r="C74" s="326">
        <v>40148</v>
      </c>
      <c r="D74" s="82">
        <v>406.48200000000003</v>
      </c>
      <c r="E74">
        <v>412.26299999999998</v>
      </c>
      <c r="F74">
        <v>421.63</v>
      </c>
      <c r="G74">
        <v>424.03</v>
      </c>
      <c r="H74">
        <v>425.12799999999999</v>
      </c>
      <c r="J74">
        <v>7.5721999999999996</v>
      </c>
      <c r="K74" s="11">
        <v>76.599999999999994</v>
      </c>
      <c r="L74" s="327">
        <f t="shared" si="0"/>
        <v>580.03051999999991</v>
      </c>
      <c r="M74" s="82">
        <f t="shared" si="4"/>
        <v>409.3725</v>
      </c>
      <c r="N74" s="11">
        <f t="shared" si="1"/>
        <v>424.57899999999995</v>
      </c>
      <c r="O74" s="82">
        <f t="shared" si="2"/>
        <v>419.02153601477727</v>
      </c>
      <c r="P74">
        <f t="shared" si="3"/>
        <v>437.58043012467374</v>
      </c>
      <c r="S74" s="82"/>
      <c r="Y74" s="11"/>
      <c r="Z74" s="82"/>
      <c r="AD74" s="82"/>
      <c r="AH74" s="82"/>
      <c r="AK74" s="11"/>
      <c r="AL74" t="s">
        <v>770</v>
      </c>
      <c r="AQ74" t="s">
        <v>771</v>
      </c>
      <c r="AR74" t="s">
        <v>772</v>
      </c>
      <c r="AT74" t="s">
        <v>773</v>
      </c>
      <c r="AU74" t="s">
        <v>774</v>
      </c>
    </row>
    <row r="75" spans="3:47" x14ac:dyDescent="0.25">
      <c r="C75" s="326">
        <v>40179</v>
      </c>
      <c r="D75" s="82">
        <v>397.48200000000003</v>
      </c>
      <c r="E75">
        <v>406.26299999999998</v>
      </c>
      <c r="F75">
        <v>407.63</v>
      </c>
      <c r="G75">
        <v>410.03</v>
      </c>
      <c r="H75">
        <v>413.12799999999999</v>
      </c>
      <c r="J75">
        <v>7.5246000000000004</v>
      </c>
      <c r="K75" s="11">
        <v>74.31</v>
      </c>
      <c r="L75" s="327">
        <f t="shared" si="0"/>
        <v>559.15302600000007</v>
      </c>
      <c r="M75" s="82">
        <f t="shared" si="4"/>
        <v>401.8725</v>
      </c>
      <c r="N75" s="11">
        <f t="shared" si="1"/>
        <v>411.57899999999995</v>
      </c>
      <c r="O75" s="82">
        <f t="shared" si="2"/>
        <v>404.58869099247823</v>
      </c>
      <c r="P75">
        <f t="shared" si="3"/>
        <v>421.5930930845318</v>
      </c>
      <c r="S75" s="82">
        <v>767</v>
      </c>
      <c r="T75">
        <v>763</v>
      </c>
      <c r="U75">
        <v>786</v>
      </c>
      <c r="V75">
        <v>689.45</v>
      </c>
      <c r="W75">
        <v>676.15</v>
      </c>
      <c r="X75">
        <v>483.1</v>
      </c>
      <c r="Y75" s="11">
        <v>512.20000000000005</v>
      </c>
      <c r="Z75" s="67">
        <f>AVERAGE(S75:U75)</f>
        <v>772</v>
      </c>
      <c r="AA75" s="62">
        <f t="shared" ref="AA75:AA98" si="5">AVERAGE(V75:W75)</f>
        <v>682.8</v>
      </c>
      <c r="AB75" s="62">
        <f t="shared" ref="AB75:AB98" si="6">AVERAGE(X75:Y75)</f>
        <v>497.65000000000003</v>
      </c>
      <c r="AC75" s="62"/>
      <c r="AD75" s="82">
        <f>L75*$E$12+$F$12</f>
        <v>789.22523227507838</v>
      </c>
      <c r="AE75">
        <f t="shared" ref="AE75:AE110" si="7">L75*$I$12+$J$12</f>
        <v>710.35635681148051</v>
      </c>
      <c r="AF75">
        <f t="shared" ref="AF75:AF110" si="8">L75*$M$12+$N$12</f>
        <v>502.55261762128106</v>
      </c>
      <c r="AH75" s="67">
        <f>M75*$E$17+$F$17</f>
        <v>785.35960832452008</v>
      </c>
      <c r="AI75" s="62">
        <f t="shared" ref="AI75:AI110" si="9">N75*$I$17+$J$17</f>
        <v>697.28841299445492</v>
      </c>
      <c r="AJ75" s="62">
        <f t="shared" ref="AJ75:AJ110" si="10">H75*$M$17+$N$17</f>
        <v>496.18505630617784</v>
      </c>
      <c r="AK75" s="11"/>
      <c r="AL75">
        <f>L75/$AP$7</f>
        <v>90.9191912195122</v>
      </c>
      <c r="AQ75" s="332">
        <f>(Z75-M75)/$AN$8 *10</f>
        <v>115.30451713395638</v>
      </c>
      <c r="AR75" s="332">
        <f>(AA75-N75)/$AN$9*10</f>
        <v>75.7600558659218</v>
      </c>
      <c r="AT75">
        <f>AQ75*$AN$8/1000</f>
        <v>3.7012749999999999</v>
      </c>
      <c r="AU75">
        <f>AR75*$AN$9/1000</f>
        <v>2.7122100000000002</v>
      </c>
    </row>
    <row r="76" spans="3:47" x14ac:dyDescent="0.25">
      <c r="C76" s="326">
        <v>40210</v>
      </c>
      <c r="D76" s="82">
        <v>415.48200000000003</v>
      </c>
      <c r="E76">
        <v>424.26299999999998</v>
      </c>
      <c r="F76">
        <v>417.63</v>
      </c>
      <c r="G76">
        <v>420.03</v>
      </c>
      <c r="H76">
        <v>418.12799999999999</v>
      </c>
      <c r="J76">
        <v>7.4734999999999996</v>
      </c>
      <c r="K76" s="11">
        <v>76.84</v>
      </c>
      <c r="L76" s="327">
        <f t="shared" si="0"/>
        <v>574.26373999999998</v>
      </c>
      <c r="M76" s="82">
        <f t="shared" si="4"/>
        <v>419.8725</v>
      </c>
      <c r="N76" s="11">
        <f t="shared" si="1"/>
        <v>419.07899999999995</v>
      </c>
      <c r="O76" s="82">
        <f t="shared" si="2"/>
        <v>415.03489652549308</v>
      </c>
      <c r="P76">
        <f t="shared" si="3"/>
        <v>433.1644089539169</v>
      </c>
      <c r="S76" s="82">
        <v>785</v>
      </c>
      <c r="T76">
        <v>781</v>
      </c>
      <c r="U76">
        <v>804</v>
      </c>
      <c r="V76">
        <v>699.45</v>
      </c>
      <c r="W76">
        <v>686.15</v>
      </c>
      <c r="X76">
        <v>488.1</v>
      </c>
      <c r="Y76" s="11">
        <v>517.20000000000005</v>
      </c>
      <c r="Z76" s="67">
        <f t="shared" ref="Z76:Z98" si="11">AVERAGE(S76:U76)</f>
        <v>790</v>
      </c>
      <c r="AA76" s="62">
        <f t="shared" si="5"/>
        <v>692.8</v>
      </c>
      <c r="AB76" s="62">
        <f t="shared" si="6"/>
        <v>502.65000000000003</v>
      </c>
      <c r="AC76" s="62"/>
      <c r="AD76" s="82">
        <f t="shared" ref="AD76:AD110" si="12">L76*$E$12+$F$12</f>
        <v>803.38272704595818</v>
      </c>
      <c r="AE76">
        <f t="shared" si="7"/>
        <v>724.86549267425937</v>
      </c>
      <c r="AF76">
        <f t="shared" si="8"/>
        <v>514.73147064117984</v>
      </c>
      <c r="AH76" s="67">
        <f t="shared" ref="AH76:AH110" si="13">M76*$E$17+$F$17</f>
        <v>809.77797005609966</v>
      </c>
      <c r="AI76" s="62">
        <f t="shared" si="9"/>
        <v>706.71592718939928</v>
      </c>
      <c r="AJ76" s="62">
        <f t="shared" si="10"/>
        <v>501.52979789622339</v>
      </c>
      <c r="AK76" s="11"/>
      <c r="AL76">
        <f t="shared" ref="AL76:AL110" si="14">L76/$AP$7</f>
        <v>93.37621788617885</v>
      </c>
      <c r="AQ76" s="332">
        <f t="shared" ref="AQ76:AQ110" si="15">(Z76-M76)/$AN$8 *10</f>
        <v>115.30451713395638</v>
      </c>
      <c r="AR76" s="332">
        <f t="shared" ref="AR76:AR110" si="16">(AA76-N76)/$AN$9*10</f>
        <v>76.458379888268155</v>
      </c>
      <c r="AT76">
        <f t="shared" ref="AT76:AT110" si="17">AQ76*$AN$8/1000</f>
        <v>3.7012749999999999</v>
      </c>
      <c r="AU76">
        <f t="shared" ref="AU76:AU110" si="18">AR76*$AN$9/1000</f>
        <v>2.7372099999999997</v>
      </c>
    </row>
    <row r="77" spans="3:47" x14ac:dyDescent="0.25">
      <c r="C77" s="326">
        <v>40238</v>
      </c>
      <c r="D77" s="82">
        <v>421.78199999999998</v>
      </c>
      <c r="E77">
        <v>430.56299999999999</v>
      </c>
      <c r="F77">
        <v>421.63</v>
      </c>
      <c r="G77">
        <v>424.03</v>
      </c>
      <c r="H77">
        <v>416.12799999999999</v>
      </c>
      <c r="J77">
        <v>7.6901999999999999</v>
      </c>
      <c r="K77" s="11">
        <v>73.17</v>
      </c>
      <c r="L77" s="327">
        <f t="shared" si="0"/>
        <v>562.69193400000006</v>
      </c>
      <c r="M77" s="82">
        <f t="shared" si="4"/>
        <v>426.17250000000001</v>
      </c>
      <c r="N77" s="11">
        <f t="shared" si="1"/>
        <v>420.07899999999995</v>
      </c>
      <c r="O77" s="82">
        <f t="shared" si="2"/>
        <v>407.03517765951665</v>
      </c>
      <c r="P77">
        <f t="shared" si="3"/>
        <v>424.30307901244322</v>
      </c>
      <c r="S77" s="82">
        <v>791</v>
      </c>
      <c r="T77">
        <v>787</v>
      </c>
      <c r="U77">
        <v>810</v>
      </c>
      <c r="V77">
        <v>703.45</v>
      </c>
      <c r="W77">
        <v>690.15</v>
      </c>
      <c r="X77">
        <v>486.1</v>
      </c>
      <c r="Y77" s="11">
        <v>515.20000000000005</v>
      </c>
      <c r="Z77" s="67">
        <f t="shared" si="11"/>
        <v>796</v>
      </c>
      <c r="AA77" s="62">
        <f t="shared" si="5"/>
        <v>696.8</v>
      </c>
      <c r="AB77" s="62">
        <f t="shared" si="6"/>
        <v>500.65000000000003</v>
      </c>
      <c r="AC77" s="62"/>
      <c r="AD77" s="82">
        <f t="shared" si="12"/>
        <v>792.54089767015</v>
      </c>
      <c r="AE77">
        <f t="shared" si="7"/>
        <v>713.75437605649267</v>
      </c>
      <c r="AF77">
        <f t="shared" si="8"/>
        <v>505.40488789672565</v>
      </c>
      <c r="AH77" s="67">
        <f t="shared" si="13"/>
        <v>818.32439666215248</v>
      </c>
      <c r="AI77" s="62">
        <f t="shared" si="9"/>
        <v>707.9729290820585</v>
      </c>
      <c r="AJ77" s="62">
        <f t="shared" si="10"/>
        <v>499.39190126020515</v>
      </c>
      <c r="AK77" s="11"/>
      <c r="AL77">
        <f t="shared" si="14"/>
        <v>91.494623414634148</v>
      </c>
      <c r="AQ77" s="332">
        <f t="shared" si="15"/>
        <v>115.21105919003114</v>
      </c>
      <c r="AR77" s="332">
        <f>(AA77-N77)/$AN$9*10</f>
        <v>77.296368715083801</v>
      </c>
      <c r="AT77">
        <f t="shared" si="17"/>
        <v>3.6982749999999998</v>
      </c>
      <c r="AU77">
        <f t="shared" si="18"/>
        <v>2.7672099999999999</v>
      </c>
    </row>
    <row r="78" spans="3:47" x14ac:dyDescent="0.25">
      <c r="C78" s="326">
        <v>40269</v>
      </c>
      <c r="D78" s="82">
        <v>445.28199999999998</v>
      </c>
      <c r="E78">
        <v>453.06299999999999</v>
      </c>
      <c r="F78">
        <v>444.63</v>
      </c>
      <c r="G78">
        <v>447.03</v>
      </c>
      <c r="H78">
        <v>437.12799999999999</v>
      </c>
      <c r="J78">
        <v>7.4752999999999998</v>
      </c>
      <c r="K78" s="11">
        <v>78.89</v>
      </c>
      <c r="L78" s="327">
        <f t="shared" si="0"/>
        <v>589.72641699999997</v>
      </c>
      <c r="M78" s="82">
        <f t="shared" si="4"/>
        <v>449.17250000000001</v>
      </c>
      <c r="N78" s="11">
        <f t="shared" si="1"/>
        <v>442.07899999999995</v>
      </c>
      <c r="O78" s="82">
        <f t="shared" si="2"/>
        <v>425.72441801551815</v>
      </c>
      <c r="P78">
        <f t="shared" si="3"/>
        <v>445.00524716667616</v>
      </c>
      <c r="S78" s="82">
        <v>840</v>
      </c>
      <c r="T78">
        <v>835</v>
      </c>
      <c r="U78">
        <v>858</v>
      </c>
      <c r="V78">
        <v>751.95</v>
      </c>
      <c r="W78">
        <v>738.65</v>
      </c>
      <c r="X78">
        <v>507.1</v>
      </c>
      <c r="Y78" s="11">
        <v>536.20000000000005</v>
      </c>
      <c r="Z78" s="67">
        <f t="shared" si="11"/>
        <v>844.33333333333337</v>
      </c>
      <c r="AA78" s="62">
        <f t="shared" si="5"/>
        <v>745.3</v>
      </c>
      <c r="AB78" s="62">
        <f t="shared" si="6"/>
        <v>521.65000000000009</v>
      </c>
      <c r="AC78" s="62"/>
      <c r="AD78" s="82">
        <f t="shared" si="12"/>
        <v>817.86998216648431</v>
      </c>
      <c r="AE78">
        <f t="shared" si="7"/>
        <v>739.71257940988733</v>
      </c>
      <c r="AF78">
        <f t="shared" si="8"/>
        <v>527.19399693061723</v>
      </c>
      <c r="AH78" s="67">
        <f t="shared" si="13"/>
        <v>849.52563665250409</v>
      </c>
      <c r="AI78" s="62">
        <f t="shared" si="9"/>
        <v>735.62697072056187</v>
      </c>
      <c r="AJ78" s="62">
        <f t="shared" si="10"/>
        <v>521.83981593839644</v>
      </c>
      <c r="AK78" s="11"/>
      <c r="AL78">
        <f t="shared" si="14"/>
        <v>95.890474308943084</v>
      </c>
      <c r="AQ78" s="332">
        <f t="shared" si="15"/>
        <v>123.10306334371757</v>
      </c>
      <c r="AR78" s="332">
        <f t="shared" si="16"/>
        <v>84.698603351955327</v>
      </c>
      <c r="AT78">
        <f t="shared" si="17"/>
        <v>3.9516083333333341</v>
      </c>
      <c r="AU78">
        <f t="shared" si="18"/>
        <v>3.0322100000000005</v>
      </c>
    </row>
    <row r="79" spans="3:47" x14ac:dyDescent="0.25">
      <c r="C79" s="326">
        <v>40299</v>
      </c>
      <c r="D79" s="82">
        <v>457.28199999999998</v>
      </c>
      <c r="E79">
        <v>465.06299999999999</v>
      </c>
      <c r="F79">
        <v>472.63</v>
      </c>
      <c r="G79">
        <v>475.03</v>
      </c>
      <c r="H79">
        <v>467.12880000000001</v>
      </c>
      <c r="J79">
        <v>7.3749000000000002</v>
      </c>
      <c r="K79" s="11">
        <v>85.75</v>
      </c>
      <c r="L79" s="327">
        <f t="shared" si="0"/>
        <v>632.39767500000005</v>
      </c>
      <c r="M79" s="82">
        <f t="shared" si="4"/>
        <v>461.17250000000001</v>
      </c>
      <c r="N79" s="11">
        <f t="shared" si="1"/>
        <v>471.07939999999996</v>
      </c>
      <c r="O79" s="82">
        <f t="shared" si="2"/>
        <v>455.2235357554415</v>
      </c>
      <c r="P79">
        <f t="shared" si="3"/>
        <v>477.68157237950379</v>
      </c>
      <c r="S79" s="82">
        <v>854</v>
      </c>
      <c r="T79">
        <v>848</v>
      </c>
      <c r="U79">
        <v>872</v>
      </c>
      <c r="V79">
        <v>781.45</v>
      </c>
      <c r="W79">
        <v>767.65</v>
      </c>
      <c r="X79">
        <v>566.20000000000005</v>
      </c>
      <c r="Y79" s="11">
        <v>538.1</v>
      </c>
      <c r="Z79" s="67">
        <f t="shared" si="11"/>
        <v>858</v>
      </c>
      <c r="AA79" s="62">
        <f t="shared" si="5"/>
        <v>774.55</v>
      </c>
      <c r="AB79" s="62">
        <f t="shared" si="6"/>
        <v>552.15000000000009</v>
      </c>
      <c r="AC79" s="62"/>
      <c r="AD79" s="82">
        <f t="shared" si="12"/>
        <v>857.84943727375912</v>
      </c>
      <c r="AE79">
        <f t="shared" si="7"/>
        <v>780.68503642003895</v>
      </c>
      <c r="AF79">
        <f t="shared" si="8"/>
        <v>561.5859508353883</v>
      </c>
      <c r="AH79" s="67">
        <f t="shared" si="13"/>
        <v>865.80454447355714</v>
      </c>
      <c r="AI79" s="62">
        <f t="shared" si="9"/>
        <v>772.08052840843686</v>
      </c>
      <c r="AJ79" s="62">
        <f t="shared" si="10"/>
        <v>553.90912063732435</v>
      </c>
      <c r="AK79" s="11"/>
      <c r="AL79">
        <f t="shared" si="14"/>
        <v>102.82889024390244</v>
      </c>
      <c r="AQ79" s="332">
        <f t="shared" si="15"/>
        <v>123.62227414330218</v>
      </c>
      <c r="AR79" s="332">
        <f t="shared" si="16"/>
        <v>84.768324022346363</v>
      </c>
      <c r="AT79">
        <f t="shared" si="17"/>
        <v>3.9682750000000002</v>
      </c>
      <c r="AU79">
        <f t="shared" si="18"/>
        <v>3.0347059999999995</v>
      </c>
    </row>
    <row r="80" spans="3:47" x14ac:dyDescent="0.25">
      <c r="C80" s="326">
        <v>40330</v>
      </c>
      <c r="D80" s="82">
        <v>430.28199999999998</v>
      </c>
      <c r="E80">
        <v>438.06299999999999</v>
      </c>
      <c r="F80">
        <v>457.63</v>
      </c>
      <c r="G80">
        <v>460.03</v>
      </c>
      <c r="H80">
        <v>454.12799999999999</v>
      </c>
      <c r="J80">
        <v>7.6574999999999998</v>
      </c>
      <c r="K80" s="11">
        <v>76.3</v>
      </c>
      <c r="L80" s="327">
        <f t="shared" si="0"/>
        <v>584.26724999999999</v>
      </c>
      <c r="M80" s="82">
        <f t="shared" si="4"/>
        <v>434.17250000000001</v>
      </c>
      <c r="N80" s="11">
        <f t="shared" si="1"/>
        <v>457.07899999999995</v>
      </c>
      <c r="O80" s="82">
        <f t="shared" si="2"/>
        <v>421.95043483239044</v>
      </c>
      <c r="P80">
        <f t="shared" si="3"/>
        <v>440.82478648555127</v>
      </c>
      <c r="S80" s="82">
        <v>827</v>
      </c>
      <c r="T80">
        <v>821</v>
      </c>
      <c r="U80">
        <v>845</v>
      </c>
      <c r="V80">
        <v>766.45</v>
      </c>
      <c r="W80">
        <v>752.65</v>
      </c>
      <c r="X80">
        <v>553.20000000000005</v>
      </c>
      <c r="Y80" s="11">
        <v>525.1</v>
      </c>
      <c r="Z80" s="67">
        <f t="shared" si="11"/>
        <v>831</v>
      </c>
      <c r="AA80" s="62">
        <f t="shared" si="5"/>
        <v>759.55</v>
      </c>
      <c r="AB80" s="62">
        <f t="shared" si="6"/>
        <v>539.15000000000009</v>
      </c>
      <c r="AC80" s="62"/>
      <c r="AD80" s="82">
        <f t="shared" si="12"/>
        <v>812.75519220646925</v>
      </c>
      <c r="AE80">
        <f t="shared" si="7"/>
        <v>734.47074929513576</v>
      </c>
      <c r="AF80">
        <f t="shared" si="8"/>
        <v>522.79404650444394</v>
      </c>
      <c r="AH80" s="67">
        <f t="shared" si="13"/>
        <v>829.17700187618777</v>
      </c>
      <c r="AI80" s="62">
        <f t="shared" si="9"/>
        <v>754.48199911045037</v>
      </c>
      <c r="AJ80" s="62">
        <f t="shared" si="10"/>
        <v>540.01193734455137</v>
      </c>
      <c r="AK80" s="11"/>
      <c r="AL80">
        <f t="shared" si="14"/>
        <v>95.002804878048778</v>
      </c>
      <c r="AQ80" s="332">
        <f t="shared" si="15"/>
        <v>123.62227414330218</v>
      </c>
      <c r="AR80" s="332">
        <f t="shared" si="16"/>
        <v>84.489106145251398</v>
      </c>
      <c r="AT80">
        <f t="shared" si="17"/>
        <v>3.9682750000000002</v>
      </c>
      <c r="AU80">
        <f t="shared" si="18"/>
        <v>3.0247100000000002</v>
      </c>
    </row>
    <row r="81" spans="3:47" x14ac:dyDescent="0.25">
      <c r="C81" s="326">
        <v>40360</v>
      </c>
      <c r="D81" s="82">
        <v>415.28199999999998</v>
      </c>
      <c r="E81">
        <v>420.06299999999999</v>
      </c>
      <c r="F81">
        <v>442.63</v>
      </c>
      <c r="G81">
        <v>444.03</v>
      </c>
      <c r="H81">
        <v>442.12799999999999</v>
      </c>
      <c r="J81">
        <v>7.6707999999999998</v>
      </c>
      <c r="K81" s="11">
        <v>74.61</v>
      </c>
      <c r="L81" s="327">
        <f t="shared" si="0"/>
        <v>572.31838800000003</v>
      </c>
      <c r="M81" s="82">
        <f t="shared" si="4"/>
        <v>417.67250000000001</v>
      </c>
      <c r="N81" s="11">
        <f t="shared" si="1"/>
        <v>443.07899999999995</v>
      </c>
      <c r="O81" s="82">
        <f t="shared" si="2"/>
        <v>413.69005293795243</v>
      </c>
      <c r="P81">
        <f t="shared" si="3"/>
        <v>431.67471875998297</v>
      </c>
      <c r="S81" s="82">
        <v>812</v>
      </c>
      <c r="T81">
        <v>803</v>
      </c>
      <c r="U81">
        <v>827</v>
      </c>
      <c r="V81">
        <v>751.45</v>
      </c>
      <c r="W81">
        <v>737.65</v>
      </c>
      <c r="X81">
        <v>513.1</v>
      </c>
      <c r="Y81" s="11">
        <v>541.20000000000005</v>
      </c>
      <c r="Z81" s="67">
        <f t="shared" si="11"/>
        <v>814</v>
      </c>
      <c r="AA81" s="62">
        <f t="shared" si="5"/>
        <v>744.55</v>
      </c>
      <c r="AB81" s="62">
        <f t="shared" si="6"/>
        <v>527.15000000000009</v>
      </c>
      <c r="AC81" s="62"/>
      <c r="AD81" s="82">
        <f t="shared" si="12"/>
        <v>801.56009240622382</v>
      </c>
      <c r="AE81">
        <f t="shared" si="7"/>
        <v>722.99758779107992</v>
      </c>
      <c r="AF81">
        <f t="shared" si="8"/>
        <v>513.1635661675748</v>
      </c>
      <c r="AH81" s="67">
        <f t="shared" si="13"/>
        <v>806.79350362223988</v>
      </c>
      <c r="AI81" s="62">
        <f t="shared" si="9"/>
        <v>736.88397261322109</v>
      </c>
      <c r="AJ81" s="62">
        <f t="shared" si="10"/>
        <v>527.18455752844216</v>
      </c>
      <c r="AK81" s="11"/>
      <c r="AL81">
        <f t="shared" si="14"/>
        <v>93.059900487804882</v>
      </c>
      <c r="AQ81" s="332">
        <f t="shared" si="15"/>
        <v>123.46651090342678</v>
      </c>
      <c r="AR81" s="332">
        <f t="shared" si="16"/>
        <v>84.209776536312845</v>
      </c>
      <c r="AT81">
        <f t="shared" si="17"/>
        <v>3.9632749999999994</v>
      </c>
      <c r="AU81">
        <f t="shared" si="18"/>
        <v>3.0147099999999996</v>
      </c>
    </row>
    <row r="82" spans="3:47" x14ac:dyDescent="0.25">
      <c r="C82" s="326">
        <v>40391</v>
      </c>
      <c r="D82" s="82">
        <v>405.28199999999998</v>
      </c>
      <c r="E82">
        <v>410.06299999999999</v>
      </c>
      <c r="F82">
        <v>429.63</v>
      </c>
      <c r="G82">
        <v>431.03</v>
      </c>
      <c r="H82">
        <v>427.18200000000002</v>
      </c>
      <c r="J82">
        <v>7.5757000000000003</v>
      </c>
      <c r="K82" s="11">
        <v>78.680000000000007</v>
      </c>
      <c r="L82" s="327">
        <f t="shared" si="0"/>
        <v>596.05607600000008</v>
      </c>
      <c r="M82" s="82">
        <f t="shared" si="4"/>
        <v>407.67250000000001</v>
      </c>
      <c r="N82" s="11">
        <f t="shared" si="1"/>
        <v>429.10599999999999</v>
      </c>
      <c r="O82" s="82">
        <f t="shared" si="2"/>
        <v>430.10018205075164</v>
      </c>
      <c r="P82">
        <f t="shared" si="3"/>
        <v>449.85230360851585</v>
      </c>
      <c r="S82" s="82">
        <v>802</v>
      </c>
      <c r="T82">
        <v>793</v>
      </c>
      <c r="U82">
        <v>817</v>
      </c>
      <c r="V82">
        <v>738.45</v>
      </c>
      <c r="W82">
        <v>724.65</v>
      </c>
      <c r="X82">
        <v>498.1</v>
      </c>
      <c r="Y82" s="11">
        <v>526.20000000000005</v>
      </c>
      <c r="Z82" s="67">
        <f t="shared" si="11"/>
        <v>804</v>
      </c>
      <c r="AA82" s="62">
        <f t="shared" si="5"/>
        <v>731.55</v>
      </c>
      <c r="AB82" s="62">
        <f t="shared" si="6"/>
        <v>512.15000000000009</v>
      </c>
      <c r="AC82" s="62"/>
      <c r="AD82" s="82">
        <f t="shared" si="12"/>
        <v>823.80035145240652</v>
      </c>
      <c r="AE82">
        <f t="shared" si="7"/>
        <v>745.79024605066047</v>
      </c>
      <c r="AF82">
        <f t="shared" si="8"/>
        <v>532.29554187595068</v>
      </c>
      <c r="AH82" s="67">
        <f t="shared" si="13"/>
        <v>793.22774710469571</v>
      </c>
      <c r="AI82" s="62">
        <f t="shared" si="9"/>
        <v>719.3198851670935</v>
      </c>
      <c r="AJ82" s="62">
        <f t="shared" si="10"/>
        <v>511.20805596747795</v>
      </c>
      <c r="AK82" s="11"/>
      <c r="AL82">
        <f t="shared" si="14"/>
        <v>96.919687154471546</v>
      </c>
      <c r="AQ82" s="332">
        <f t="shared" si="15"/>
        <v>123.46651090342678</v>
      </c>
      <c r="AR82" s="332">
        <f t="shared" si="16"/>
        <v>84.481564245810063</v>
      </c>
      <c r="AT82">
        <f t="shared" si="17"/>
        <v>3.9632749999999994</v>
      </c>
      <c r="AU82">
        <f t="shared" si="18"/>
        <v>3.0244400000000002</v>
      </c>
    </row>
    <row r="83" spans="3:47" x14ac:dyDescent="0.25">
      <c r="C83" s="326">
        <v>40422</v>
      </c>
      <c r="D83" s="82">
        <v>395.28199999999998</v>
      </c>
      <c r="E83">
        <v>400.06299999999999</v>
      </c>
      <c r="F83">
        <v>429.63</v>
      </c>
      <c r="G83">
        <v>433.03</v>
      </c>
      <c r="H83">
        <v>422.12799999999999</v>
      </c>
      <c r="J83">
        <v>7.3178000000000001</v>
      </c>
      <c r="K83" s="11">
        <v>77.39</v>
      </c>
      <c r="L83" s="327">
        <f t="shared" si="0"/>
        <v>566.32454200000006</v>
      </c>
      <c r="M83" s="82">
        <f t="shared" si="4"/>
        <v>397.67250000000001</v>
      </c>
      <c r="N83" s="11">
        <f t="shared" si="1"/>
        <v>427.57899999999995</v>
      </c>
      <c r="O83" s="82">
        <f t="shared" si="2"/>
        <v>409.54644018416468</v>
      </c>
      <c r="P83">
        <f t="shared" si="3"/>
        <v>427.0848174926802</v>
      </c>
      <c r="S83" s="82">
        <v>792</v>
      </c>
      <c r="T83">
        <v>783</v>
      </c>
      <c r="U83">
        <v>807</v>
      </c>
      <c r="V83">
        <v>738.45</v>
      </c>
      <c r="W83">
        <v>724.65</v>
      </c>
      <c r="X83">
        <v>493.1</v>
      </c>
      <c r="Y83" s="11">
        <v>521.20000000000005</v>
      </c>
      <c r="Z83" s="67">
        <f t="shared" si="11"/>
        <v>794</v>
      </c>
      <c r="AA83" s="62">
        <f t="shared" si="5"/>
        <v>731.55</v>
      </c>
      <c r="AB83" s="62">
        <f t="shared" si="6"/>
        <v>507.15000000000003</v>
      </c>
      <c r="AC83" s="62"/>
      <c r="AD83" s="82">
        <f t="shared" si="12"/>
        <v>795.9443522497719</v>
      </c>
      <c r="AE83">
        <f t="shared" si="7"/>
        <v>717.24236497668653</v>
      </c>
      <c r="AF83">
        <f t="shared" si="8"/>
        <v>508.33267800054921</v>
      </c>
      <c r="AH83" s="67">
        <f t="shared" si="13"/>
        <v>779.66199058715154</v>
      </c>
      <c r="AI83" s="62">
        <f t="shared" si="9"/>
        <v>717.40044327700286</v>
      </c>
      <c r="AJ83" s="62">
        <f t="shared" si="10"/>
        <v>505.80559116825981</v>
      </c>
      <c r="AK83" s="11"/>
      <c r="AL83">
        <f t="shared" si="14"/>
        <v>92.085291382113823</v>
      </c>
      <c r="AQ83" s="332">
        <f t="shared" si="15"/>
        <v>123.46651090342678</v>
      </c>
      <c r="AR83" s="332">
        <f t="shared" si="16"/>
        <v>84.908100558659228</v>
      </c>
      <c r="AT83">
        <f t="shared" si="17"/>
        <v>3.9632749999999994</v>
      </c>
      <c r="AU83">
        <f t="shared" si="18"/>
        <v>3.0397099999999999</v>
      </c>
    </row>
    <row r="84" spans="3:47" x14ac:dyDescent="0.25">
      <c r="C84" s="326">
        <v>40452</v>
      </c>
      <c r="D84" s="82">
        <v>390.78199999999998</v>
      </c>
      <c r="E84">
        <v>396.56299999999999</v>
      </c>
      <c r="F84">
        <v>426.63</v>
      </c>
      <c r="G84">
        <v>430.03</v>
      </c>
      <c r="H84">
        <v>421.12799999999999</v>
      </c>
      <c r="J84">
        <v>7.1859000000000002</v>
      </c>
      <c r="K84" s="11">
        <v>77.37</v>
      </c>
      <c r="L84" s="327">
        <f t="shared" si="0"/>
        <v>555.97308300000009</v>
      </c>
      <c r="M84" s="82">
        <f t="shared" si="4"/>
        <v>393.67250000000001</v>
      </c>
      <c r="N84" s="11">
        <f t="shared" si="1"/>
        <v>425.57899999999995</v>
      </c>
      <c r="O84" s="82">
        <f t="shared" si="2"/>
        <v>402.3903608433356</v>
      </c>
      <c r="P84">
        <f t="shared" si="3"/>
        <v>419.15799141431029</v>
      </c>
      <c r="S84" s="82">
        <v>796</v>
      </c>
      <c r="T84">
        <v>788</v>
      </c>
      <c r="U84">
        <v>812</v>
      </c>
      <c r="V84">
        <v>735.45</v>
      </c>
      <c r="W84">
        <v>721.65</v>
      </c>
      <c r="X84">
        <v>492.1</v>
      </c>
      <c r="Y84" s="11">
        <v>520.20000000000005</v>
      </c>
      <c r="Z84" s="67">
        <f t="shared" si="11"/>
        <v>798.66666666666663</v>
      </c>
      <c r="AA84" s="62">
        <f t="shared" si="5"/>
        <v>728.55</v>
      </c>
      <c r="AB84" s="62">
        <f t="shared" si="6"/>
        <v>506.15000000000003</v>
      </c>
      <c r="AC84" s="62"/>
      <c r="AD84" s="82">
        <f t="shared" si="12"/>
        <v>786.24588752709383</v>
      </c>
      <c r="AE84">
        <f t="shared" si="7"/>
        <v>707.30301168014569</v>
      </c>
      <c r="AF84">
        <f t="shared" si="8"/>
        <v>499.98966405014897</v>
      </c>
      <c r="AH84" s="67">
        <f t="shared" si="13"/>
        <v>774.23568798013378</v>
      </c>
      <c r="AI84" s="62">
        <f t="shared" si="9"/>
        <v>714.88643949168431</v>
      </c>
      <c r="AJ84" s="62">
        <f t="shared" si="10"/>
        <v>504.73664285025075</v>
      </c>
      <c r="AK84" s="11"/>
      <c r="AL84">
        <f t="shared" si="14"/>
        <v>90.40212731707318</v>
      </c>
      <c r="AQ84" s="332">
        <f t="shared" si="15"/>
        <v>126.16640706126685</v>
      </c>
      <c r="AR84" s="332">
        <f t="shared" si="16"/>
        <v>84.628770949720689</v>
      </c>
      <c r="AT84">
        <f t="shared" si="17"/>
        <v>4.0499416666666663</v>
      </c>
      <c r="AU84">
        <f t="shared" si="18"/>
        <v>3.0297100000000006</v>
      </c>
    </row>
    <row r="85" spans="3:47" x14ac:dyDescent="0.25">
      <c r="C85" s="326">
        <v>40483</v>
      </c>
      <c r="D85" s="82">
        <v>410.78199999999998</v>
      </c>
      <c r="E85">
        <v>416.56299999999999</v>
      </c>
      <c r="F85">
        <v>437.63</v>
      </c>
      <c r="G85">
        <v>442.03</v>
      </c>
      <c r="H85">
        <v>435.12799999999999</v>
      </c>
      <c r="J85">
        <v>6.9374000000000002</v>
      </c>
      <c r="K85" s="11">
        <v>82.73</v>
      </c>
      <c r="L85" s="327">
        <f t="shared" si="0"/>
        <v>573.93110200000001</v>
      </c>
      <c r="M85" s="82">
        <f t="shared" si="4"/>
        <v>413.67250000000001</v>
      </c>
      <c r="N85" s="11">
        <f t="shared" si="1"/>
        <v>438.57899999999995</v>
      </c>
      <c r="O85" s="82">
        <f t="shared" si="2"/>
        <v>414.80494015704545</v>
      </c>
      <c r="P85">
        <f t="shared" si="3"/>
        <v>432.90968509585429</v>
      </c>
      <c r="S85" s="82">
        <v>816</v>
      </c>
      <c r="T85">
        <v>808</v>
      </c>
      <c r="U85">
        <v>832</v>
      </c>
      <c r="V85">
        <v>746.45</v>
      </c>
      <c r="W85">
        <v>732.65</v>
      </c>
      <c r="X85">
        <v>506.1</v>
      </c>
      <c r="Y85" s="11">
        <v>534.20000000000005</v>
      </c>
      <c r="Z85" s="67">
        <f t="shared" si="11"/>
        <v>818.66666666666663</v>
      </c>
      <c r="AA85" s="62">
        <f t="shared" si="5"/>
        <v>739.55</v>
      </c>
      <c r="AB85" s="62">
        <f t="shared" si="6"/>
        <v>520.15000000000009</v>
      </c>
      <c r="AC85" s="62"/>
      <c r="AD85" s="82">
        <f t="shared" si="12"/>
        <v>803.07107263005207</v>
      </c>
      <c r="AE85">
        <f t="shared" si="7"/>
        <v>724.54609744679874</v>
      </c>
      <c r="AF85">
        <f t="shared" si="8"/>
        <v>514.46337283251023</v>
      </c>
      <c r="AH85" s="67">
        <f t="shared" si="13"/>
        <v>801.36720101522224</v>
      </c>
      <c r="AI85" s="62">
        <f t="shared" si="9"/>
        <v>731.22746409625449</v>
      </c>
      <c r="AJ85" s="62">
        <f t="shared" si="10"/>
        <v>519.70191930237831</v>
      </c>
      <c r="AK85" s="11"/>
      <c r="AL85">
        <f t="shared" si="14"/>
        <v>93.322130406504058</v>
      </c>
      <c r="AQ85" s="332">
        <f t="shared" si="15"/>
        <v>126.16640706126685</v>
      </c>
      <c r="AR85" s="332">
        <f t="shared" si="16"/>
        <v>84.070111731843582</v>
      </c>
      <c r="AT85">
        <f t="shared" si="17"/>
        <v>4.0499416666666663</v>
      </c>
      <c r="AU85">
        <f t="shared" si="18"/>
        <v>3.0097100000000001</v>
      </c>
    </row>
    <row r="86" spans="3:47" x14ac:dyDescent="0.25">
      <c r="C86" s="326">
        <v>40513</v>
      </c>
      <c r="D86" s="82">
        <v>423.78199999999998</v>
      </c>
      <c r="E86">
        <v>429.56299999999999</v>
      </c>
      <c r="F86">
        <v>451.63</v>
      </c>
      <c r="G86">
        <v>457.03</v>
      </c>
      <c r="H86">
        <v>449.12799999999999</v>
      </c>
      <c r="J86">
        <v>6.9767000000000001</v>
      </c>
      <c r="K86" s="11">
        <v>85.15</v>
      </c>
      <c r="L86" s="327">
        <f t="shared" si="0"/>
        <v>594.06600500000002</v>
      </c>
      <c r="M86" s="82">
        <f t="shared" si="4"/>
        <v>426.67250000000001</v>
      </c>
      <c r="N86" s="11">
        <f t="shared" si="1"/>
        <v>453.07899999999995</v>
      </c>
      <c r="O86" s="82">
        <f t="shared" si="2"/>
        <v>428.72442371853163</v>
      </c>
      <c r="P86">
        <f t="shared" si="3"/>
        <v>448.32836899209047</v>
      </c>
      <c r="S86" s="82">
        <v>829</v>
      </c>
      <c r="T86">
        <v>821</v>
      </c>
      <c r="U86">
        <v>845</v>
      </c>
      <c r="V86">
        <v>760.45</v>
      </c>
      <c r="W86">
        <v>746.65</v>
      </c>
      <c r="X86">
        <v>520.1</v>
      </c>
      <c r="Y86" s="11">
        <v>548.20000000000005</v>
      </c>
      <c r="Z86" s="67">
        <f t="shared" si="11"/>
        <v>831.66666666666663</v>
      </c>
      <c r="AA86" s="62">
        <f t="shared" si="5"/>
        <v>753.55</v>
      </c>
      <c r="AB86" s="62">
        <f t="shared" si="6"/>
        <v>534.15000000000009</v>
      </c>
      <c r="AC86" s="62"/>
      <c r="AD86" s="82">
        <f t="shared" si="12"/>
        <v>821.93581879192595</v>
      </c>
      <c r="AE86">
        <f t="shared" si="7"/>
        <v>743.87940249187318</v>
      </c>
      <c r="AF86">
        <f t="shared" si="8"/>
        <v>530.69159502021876</v>
      </c>
      <c r="AH86" s="67">
        <f t="shared" si="13"/>
        <v>819.00268448802967</v>
      </c>
      <c r="AI86" s="62">
        <f t="shared" si="9"/>
        <v>749.4539915398135</v>
      </c>
      <c r="AJ86" s="62">
        <f t="shared" si="10"/>
        <v>534.66719575450588</v>
      </c>
      <c r="AK86" s="11"/>
      <c r="AL86">
        <f t="shared" si="14"/>
        <v>96.596098373983736</v>
      </c>
      <c r="AQ86" s="332">
        <f t="shared" si="15"/>
        <v>126.16640706126685</v>
      </c>
      <c r="AR86" s="332">
        <f t="shared" si="16"/>
        <v>83.930446927374319</v>
      </c>
      <c r="AT86">
        <f t="shared" si="17"/>
        <v>4.0499416666666663</v>
      </c>
      <c r="AU86">
        <f t="shared" si="18"/>
        <v>3.0047100000000007</v>
      </c>
    </row>
    <row r="87" spans="3:47" x14ac:dyDescent="0.25">
      <c r="C87" s="326">
        <v>40544</v>
      </c>
      <c r="D87" s="82">
        <v>449.18099999999998</v>
      </c>
      <c r="E87">
        <v>453.94900000000001</v>
      </c>
      <c r="F87">
        <v>471.63</v>
      </c>
      <c r="G87">
        <v>477.03</v>
      </c>
      <c r="H87">
        <v>467.12799999999999</v>
      </c>
      <c r="J87">
        <v>6.9009999999999998</v>
      </c>
      <c r="K87" s="11">
        <v>90.77</v>
      </c>
      <c r="L87" s="327">
        <f t="shared" si="0"/>
        <v>626.40377000000001</v>
      </c>
      <c r="M87" s="82">
        <f t="shared" si="4"/>
        <v>451.565</v>
      </c>
      <c r="N87" s="11">
        <f t="shared" si="1"/>
        <v>472.07899999999995</v>
      </c>
      <c r="O87" s="82">
        <f t="shared" si="2"/>
        <v>451.07988221429406</v>
      </c>
      <c r="P87">
        <f t="shared" si="3"/>
        <v>473.0916259318318</v>
      </c>
      <c r="S87" s="82">
        <v>858</v>
      </c>
      <c r="T87">
        <v>849</v>
      </c>
      <c r="U87">
        <v>858</v>
      </c>
      <c r="V87">
        <v>784.05100000000004</v>
      </c>
      <c r="W87">
        <v>770.25099999999998</v>
      </c>
      <c r="X87">
        <v>541.71299999999997</v>
      </c>
      <c r="Y87" s="11">
        <v>569.81299999999999</v>
      </c>
      <c r="Z87" s="67">
        <f t="shared" si="11"/>
        <v>855</v>
      </c>
      <c r="AA87" s="62">
        <f t="shared" si="5"/>
        <v>777.15100000000007</v>
      </c>
      <c r="AB87" s="62">
        <f t="shared" si="6"/>
        <v>555.76299999999992</v>
      </c>
      <c r="AC87" s="62"/>
      <c r="AD87" s="82">
        <f t="shared" si="12"/>
        <v>852.23364183916544</v>
      </c>
      <c r="AE87">
        <f t="shared" si="7"/>
        <v>774.92975695451594</v>
      </c>
      <c r="AF87">
        <f t="shared" si="8"/>
        <v>556.75501511585605</v>
      </c>
      <c r="AH87" s="67">
        <f t="shared" si="13"/>
        <v>852.77124389932658</v>
      </c>
      <c r="AI87" s="62">
        <f t="shared" si="9"/>
        <v>773.33702750033899</v>
      </c>
      <c r="AJ87" s="62">
        <f t="shared" si="10"/>
        <v>553.90826547866993</v>
      </c>
      <c r="AK87" s="11"/>
      <c r="AL87">
        <f t="shared" si="14"/>
        <v>101.85427154471544</v>
      </c>
      <c r="AQ87" s="332">
        <f t="shared" si="15"/>
        <v>125.68068535825545</v>
      </c>
      <c r="AR87" s="332">
        <f t="shared" si="16"/>
        <v>85.215642458100604</v>
      </c>
      <c r="AT87">
        <f t="shared" si="17"/>
        <v>4.0343499999999999</v>
      </c>
      <c r="AU87">
        <f t="shared" si="18"/>
        <v>3.050720000000001</v>
      </c>
    </row>
    <row r="88" spans="3:47" x14ac:dyDescent="0.25">
      <c r="C88" s="326">
        <v>40575</v>
      </c>
      <c r="D88" s="82">
        <v>475.18099999999998</v>
      </c>
      <c r="E88">
        <v>479.94900000000001</v>
      </c>
      <c r="F88">
        <v>501.63</v>
      </c>
      <c r="G88">
        <v>509.03</v>
      </c>
      <c r="H88">
        <v>499.12799999999999</v>
      </c>
      <c r="J88">
        <v>6.8982999999999999</v>
      </c>
      <c r="K88" s="11">
        <v>95.97</v>
      </c>
      <c r="L88" s="327">
        <f t="shared" si="0"/>
        <v>662.02985100000001</v>
      </c>
      <c r="M88" s="82">
        <f t="shared" si="4"/>
        <v>477.565</v>
      </c>
      <c r="N88" s="11">
        <f t="shared" si="1"/>
        <v>504.07899999999995</v>
      </c>
      <c r="O88" s="82">
        <f t="shared" si="2"/>
        <v>475.70859032575976</v>
      </c>
      <c r="P88">
        <f t="shared" si="3"/>
        <v>500.37297322219149</v>
      </c>
      <c r="S88" s="82">
        <v>884</v>
      </c>
      <c r="T88">
        <v>875</v>
      </c>
      <c r="U88">
        <v>899</v>
      </c>
      <c r="V88">
        <v>814.05100000000004</v>
      </c>
      <c r="W88">
        <v>800.25099999999998</v>
      </c>
      <c r="X88">
        <v>573.71299999999997</v>
      </c>
      <c r="Y88" s="11">
        <v>601.81299999999999</v>
      </c>
      <c r="Z88" s="67">
        <f t="shared" si="11"/>
        <v>886</v>
      </c>
      <c r="AA88" s="62">
        <f t="shared" si="5"/>
        <v>807.15100000000007</v>
      </c>
      <c r="AB88" s="62">
        <f t="shared" si="6"/>
        <v>587.76299999999992</v>
      </c>
      <c r="AC88" s="62"/>
      <c r="AD88" s="82">
        <f t="shared" si="12"/>
        <v>885.6123462117348</v>
      </c>
      <c r="AE88">
        <f t="shared" si="7"/>
        <v>809.13751507152938</v>
      </c>
      <c r="AF88">
        <f t="shared" si="8"/>
        <v>585.4687346776193</v>
      </c>
      <c r="AH88" s="67">
        <f t="shared" si="13"/>
        <v>888.04221084494145</v>
      </c>
      <c r="AI88" s="62">
        <f t="shared" si="9"/>
        <v>813.56108806543477</v>
      </c>
      <c r="AJ88" s="62">
        <f t="shared" si="10"/>
        <v>588.11461165496155</v>
      </c>
      <c r="AK88" s="11"/>
      <c r="AL88">
        <f t="shared" si="14"/>
        <v>107.64713024390244</v>
      </c>
      <c r="AQ88" s="332">
        <f t="shared" si="15"/>
        <v>127.23831775700933</v>
      </c>
      <c r="AR88" s="332">
        <f t="shared" si="16"/>
        <v>84.656983240223497</v>
      </c>
      <c r="AT88">
        <f t="shared" si="17"/>
        <v>4.0843499999999997</v>
      </c>
      <c r="AU88">
        <f t="shared" si="18"/>
        <v>3.0307200000000005</v>
      </c>
    </row>
    <row r="89" spans="3:47" x14ac:dyDescent="0.25">
      <c r="C89" s="326">
        <v>40603</v>
      </c>
      <c r="D89" s="82">
        <v>518.18100000000004</v>
      </c>
      <c r="E89">
        <v>522.94899999999996</v>
      </c>
      <c r="F89">
        <v>565.63</v>
      </c>
      <c r="G89">
        <v>572.03</v>
      </c>
      <c r="H89">
        <v>569.12800000000004</v>
      </c>
      <c r="J89">
        <v>7.2333999999999996</v>
      </c>
      <c r="K89" s="11">
        <v>102.37</v>
      </c>
      <c r="L89" s="327">
        <f t="shared" si="0"/>
        <v>740.483158</v>
      </c>
      <c r="M89" s="82">
        <f t="shared" si="4"/>
        <v>520.56500000000005</v>
      </c>
      <c r="N89" s="11">
        <f t="shared" si="1"/>
        <v>570.57899999999995</v>
      </c>
      <c r="O89" s="82">
        <f t="shared" si="2"/>
        <v>529.94423859934352</v>
      </c>
      <c r="P89">
        <f t="shared" si="3"/>
        <v>560.45008117981968</v>
      </c>
      <c r="S89" s="82">
        <v>927</v>
      </c>
      <c r="T89">
        <v>918</v>
      </c>
      <c r="U89">
        <v>942</v>
      </c>
      <c r="V89">
        <v>878.05100000000004</v>
      </c>
      <c r="W89">
        <v>864.25099999999998</v>
      </c>
      <c r="X89">
        <v>643.71299999999997</v>
      </c>
      <c r="Y89" s="11">
        <v>671.81299999999999</v>
      </c>
      <c r="Z89" s="67">
        <f t="shared" si="11"/>
        <v>929</v>
      </c>
      <c r="AA89" s="62">
        <f t="shared" si="5"/>
        <v>871.15100000000007</v>
      </c>
      <c r="AB89" s="62">
        <f t="shared" si="6"/>
        <v>657.76299999999992</v>
      </c>
      <c r="AC89" s="62"/>
      <c r="AD89" s="82">
        <f t="shared" si="12"/>
        <v>959.11663486485452</v>
      </c>
      <c r="AE89">
        <f t="shared" si="7"/>
        <v>884.46748889985474</v>
      </c>
      <c r="AF89">
        <f t="shared" si="8"/>
        <v>648.70011440448036</v>
      </c>
      <c r="AH89" s="67">
        <f t="shared" si="13"/>
        <v>946.37496387038163</v>
      </c>
      <c r="AI89" s="62">
        <f t="shared" si="9"/>
        <v>897.15171392727427</v>
      </c>
      <c r="AJ89" s="62">
        <f t="shared" si="10"/>
        <v>662.94099391559951</v>
      </c>
      <c r="AK89" s="11"/>
      <c r="AL89">
        <f t="shared" si="14"/>
        <v>120.40376552845528</v>
      </c>
      <c r="AQ89" s="332">
        <f t="shared" si="15"/>
        <v>127.23831775700931</v>
      </c>
      <c r="AR89" s="332">
        <f t="shared" si="16"/>
        <v>83.958659217877141</v>
      </c>
      <c r="AT89">
        <f t="shared" si="17"/>
        <v>4.0843499999999988</v>
      </c>
      <c r="AU89">
        <f t="shared" si="18"/>
        <v>3.0057200000000015</v>
      </c>
    </row>
    <row r="90" spans="3:47" x14ac:dyDescent="0.25">
      <c r="C90" s="326">
        <v>40634</v>
      </c>
      <c r="D90" s="82">
        <v>546.38099999999997</v>
      </c>
      <c r="E90">
        <v>552.149</v>
      </c>
      <c r="F90">
        <v>610.63</v>
      </c>
      <c r="G90">
        <v>616.03</v>
      </c>
      <c r="H90">
        <v>609.12800000000004</v>
      </c>
      <c r="J90">
        <v>6.9512</v>
      </c>
      <c r="K90" s="11">
        <v>114.41</v>
      </c>
      <c r="L90" s="327">
        <f t="shared" si="0"/>
        <v>795.28679199999999</v>
      </c>
      <c r="M90" s="82">
        <f t="shared" si="4"/>
        <v>549.26499999999999</v>
      </c>
      <c r="N90" s="11">
        <f t="shared" si="1"/>
        <v>612.57899999999995</v>
      </c>
      <c r="O90" s="82">
        <f t="shared" si="2"/>
        <v>567.83060351367681</v>
      </c>
      <c r="P90">
        <f t="shared" si="3"/>
        <v>602.41700344465596</v>
      </c>
      <c r="S90" s="82">
        <v>980</v>
      </c>
      <c r="T90">
        <v>966</v>
      </c>
      <c r="U90">
        <v>996</v>
      </c>
      <c r="V90">
        <v>948.45100000000002</v>
      </c>
      <c r="W90">
        <v>928.05100000000004</v>
      </c>
      <c r="X90">
        <v>684.51300000000003</v>
      </c>
      <c r="Y90" s="11">
        <v>720.41300000000001</v>
      </c>
      <c r="Z90" s="67">
        <f t="shared" si="11"/>
        <v>980.66666666666663</v>
      </c>
      <c r="AA90" s="62">
        <f t="shared" si="5"/>
        <v>938.25099999999998</v>
      </c>
      <c r="AB90" s="62">
        <f t="shared" si="6"/>
        <v>702.46299999999997</v>
      </c>
      <c r="AC90" s="62"/>
      <c r="AD90" s="82">
        <f t="shared" si="12"/>
        <v>1010.4631272794564</v>
      </c>
      <c r="AE90">
        <f t="shared" si="7"/>
        <v>937.08931547138627</v>
      </c>
      <c r="AF90">
        <f t="shared" si="8"/>
        <v>692.87045628523651</v>
      </c>
      <c r="AH90" s="67">
        <f t="shared" si="13"/>
        <v>985.30868507573337</v>
      </c>
      <c r="AI90" s="62">
        <f t="shared" si="9"/>
        <v>949.94579341896235</v>
      </c>
      <c r="AJ90" s="62">
        <f t="shared" si="10"/>
        <v>705.69892663596397</v>
      </c>
      <c r="AK90" s="11"/>
      <c r="AL90">
        <f t="shared" si="14"/>
        <v>129.31492552845526</v>
      </c>
      <c r="AQ90" s="332">
        <f t="shared" si="15"/>
        <v>134.39304257528556</v>
      </c>
      <c r="AR90" s="332">
        <f t="shared" si="16"/>
        <v>90.969832402234658</v>
      </c>
      <c r="AT90">
        <f t="shared" si="17"/>
        <v>4.3140166666666664</v>
      </c>
      <c r="AU90">
        <f t="shared" si="18"/>
        <v>3.2567200000000005</v>
      </c>
    </row>
    <row r="91" spans="3:47" x14ac:dyDescent="0.25">
      <c r="C91" s="326">
        <v>40664</v>
      </c>
      <c r="D91" s="82">
        <v>575.38099999999997</v>
      </c>
      <c r="E91">
        <v>581.149</v>
      </c>
      <c r="F91">
        <v>626.63</v>
      </c>
      <c r="G91">
        <v>632.03</v>
      </c>
      <c r="H91">
        <v>624.12800000000004</v>
      </c>
      <c r="J91">
        <v>6.7701000000000002</v>
      </c>
      <c r="K91" s="11">
        <v>123.49</v>
      </c>
      <c r="L91" s="327">
        <f t="shared" ref="L91:L110" si="19">K91*J91</f>
        <v>836.03964899999994</v>
      </c>
      <c r="M91" s="82">
        <f t="shared" si="4"/>
        <v>578.26499999999999</v>
      </c>
      <c r="N91" s="11">
        <f t="shared" ref="N91:N110" si="20">AVERAGE(G91:H91)</f>
        <v>628.07899999999995</v>
      </c>
      <c r="O91" s="82">
        <f t="shared" ref="O91:O110" si="21">$E$7*L91+$F$7</f>
        <v>596.00350919368407</v>
      </c>
      <c r="P91">
        <f t="shared" ref="P91:P110" si="22">$I$7*L91+$J$7</f>
        <v>633.62427670301315</v>
      </c>
      <c r="S91" s="82">
        <v>1009</v>
      </c>
      <c r="T91">
        <v>995</v>
      </c>
      <c r="U91">
        <v>1025</v>
      </c>
      <c r="V91">
        <v>964.45100000000002</v>
      </c>
      <c r="W91">
        <v>944.05100000000004</v>
      </c>
      <c r="X91">
        <v>699.51300000000003</v>
      </c>
      <c r="Y91" s="11">
        <v>735.41300000000001</v>
      </c>
      <c r="Z91" s="67">
        <f t="shared" si="11"/>
        <v>1009.6666666666666</v>
      </c>
      <c r="AA91" s="62">
        <f t="shared" si="5"/>
        <v>954.25099999999998</v>
      </c>
      <c r="AB91" s="62">
        <f t="shared" si="6"/>
        <v>717.46299999999997</v>
      </c>
      <c r="AC91" s="62"/>
      <c r="AD91" s="82">
        <f t="shared" si="12"/>
        <v>1048.6451986147963</v>
      </c>
      <c r="AE91">
        <f t="shared" si="7"/>
        <v>976.21974564228378</v>
      </c>
      <c r="AF91">
        <f t="shared" si="8"/>
        <v>725.71622754025145</v>
      </c>
      <c r="AH91" s="67">
        <f t="shared" si="13"/>
        <v>1024.6493789766114</v>
      </c>
      <c r="AI91" s="62">
        <f t="shared" si="9"/>
        <v>969.42932275518058</v>
      </c>
      <c r="AJ91" s="62">
        <f t="shared" si="10"/>
        <v>721.73315140610066</v>
      </c>
      <c r="AK91" s="11"/>
      <c r="AL91">
        <f t="shared" si="14"/>
        <v>135.94140634146339</v>
      </c>
      <c r="AQ91" s="332">
        <f t="shared" si="15"/>
        <v>134.39304257528556</v>
      </c>
      <c r="AR91" s="332">
        <f t="shared" si="16"/>
        <v>91.109497206703921</v>
      </c>
      <c r="AT91">
        <f t="shared" si="17"/>
        <v>4.3140166666666664</v>
      </c>
      <c r="AU91">
        <f t="shared" si="18"/>
        <v>3.2617200000000004</v>
      </c>
    </row>
    <row r="92" spans="3:47" x14ac:dyDescent="0.25">
      <c r="C92" s="326">
        <v>40695</v>
      </c>
      <c r="D92" s="82">
        <v>573.38099999999997</v>
      </c>
      <c r="E92">
        <v>579.149</v>
      </c>
      <c r="F92">
        <v>588.63</v>
      </c>
      <c r="G92">
        <v>595.03</v>
      </c>
      <c r="H92">
        <v>592.12800000000004</v>
      </c>
      <c r="J92">
        <v>6.8516000000000004</v>
      </c>
      <c r="K92" s="11">
        <v>116.15</v>
      </c>
      <c r="L92" s="327">
        <f t="shared" si="19"/>
        <v>795.81334000000004</v>
      </c>
      <c r="M92" s="82">
        <f t="shared" ref="M92:M110" si="23">AVERAGE(D92:E92)</f>
        <v>576.26499999999999</v>
      </c>
      <c r="N92" s="11">
        <f t="shared" si="20"/>
        <v>593.57899999999995</v>
      </c>
      <c r="O92" s="82">
        <f t="shared" si="21"/>
        <v>568.19461203312858</v>
      </c>
      <c r="P92">
        <f t="shared" si="22"/>
        <v>602.82021756335314</v>
      </c>
      <c r="S92" s="82">
        <v>1007</v>
      </c>
      <c r="T92">
        <v>993</v>
      </c>
      <c r="U92">
        <v>1023</v>
      </c>
      <c r="V92">
        <v>926.45100000000002</v>
      </c>
      <c r="W92">
        <v>906.05100000000004</v>
      </c>
      <c r="X92">
        <v>667.51300000000003</v>
      </c>
      <c r="Y92" s="11">
        <v>703.41300000000001</v>
      </c>
      <c r="Z92" s="67">
        <f t="shared" si="11"/>
        <v>1007.6666666666666</v>
      </c>
      <c r="AA92" s="62">
        <f t="shared" si="5"/>
        <v>916.25099999999998</v>
      </c>
      <c r="AB92" s="62">
        <f t="shared" si="6"/>
        <v>685.46299999999997</v>
      </c>
      <c r="AC92" s="62"/>
      <c r="AD92" s="82">
        <f t="shared" si="12"/>
        <v>1010.9564593984163</v>
      </c>
      <c r="AE92">
        <f t="shared" si="7"/>
        <v>937.59490087722975</v>
      </c>
      <c r="AF92">
        <f t="shared" si="8"/>
        <v>693.29484064589087</v>
      </c>
      <c r="AH92" s="67">
        <f t="shared" si="13"/>
        <v>1021.9362276731026</v>
      </c>
      <c r="AI92" s="62">
        <f t="shared" si="9"/>
        <v>926.06275745843675</v>
      </c>
      <c r="AJ92" s="62">
        <f t="shared" si="10"/>
        <v>687.52680522980904</v>
      </c>
      <c r="AK92" s="11"/>
      <c r="AL92">
        <f t="shared" si="14"/>
        <v>129.4005430894309</v>
      </c>
      <c r="AQ92" s="332">
        <f t="shared" si="15"/>
        <v>134.39304257528556</v>
      </c>
      <c r="AR92" s="332">
        <f t="shared" si="16"/>
        <v>90.131843575419012</v>
      </c>
      <c r="AT92">
        <f t="shared" si="17"/>
        <v>4.3140166666666664</v>
      </c>
      <c r="AU92">
        <f t="shared" si="18"/>
        <v>3.2267200000000003</v>
      </c>
    </row>
    <row r="93" spans="3:47" x14ac:dyDescent="0.25">
      <c r="C93" s="326">
        <v>40725</v>
      </c>
      <c r="D93" s="82">
        <v>540.38099999999997</v>
      </c>
      <c r="E93">
        <v>548.149</v>
      </c>
      <c r="F93">
        <v>577.63</v>
      </c>
      <c r="G93">
        <v>583.03</v>
      </c>
      <c r="H93">
        <v>580.12800000000004</v>
      </c>
      <c r="J93">
        <v>6.8353000000000002</v>
      </c>
      <c r="K93" s="11">
        <v>114.19</v>
      </c>
      <c r="L93" s="327">
        <f t="shared" si="19"/>
        <v>780.52290700000003</v>
      </c>
      <c r="M93" s="82">
        <f t="shared" si="23"/>
        <v>544.26499999999999</v>
      </c>
      <c r="N93" s="11">
        <f t="shared" si="20"/>
        <v>581.57899999999995</v>
      </c>
      <c r="O93" s="82">
        <f t="shared" si="21"/>
        <v>557.62416474607153</v>
      </c>
      <c r="P93">
        <f t="shared" si="22"/>
        <v>591.11127846076204</v>
      </c>
      <c r="S93" s="82">
        <v>974</v>
      </c>
      <c r="T93">
        <v>962</v>
      </c>
      <c r="U93">
        <v>992</v>
      </c>
      <c r="V93">
        <v>915.45100000000002</v>
      </c>
      <c r="W93">
        <v>895.05100000000004</v>
      </c>
      <c r="X93">
        <v>655.51300000000003</v>
      </c>
      <c r="Y93" s="11">
        <v>691.41300000000001</v>
      </c>
      <c r="Z93" s="67">
        <f t="shared" si="11"/>
        <v>976</v>
      </c>
      <c r="AA93" s="62">
        <f t="shared" si="5"/>
        <v>905.25099999999998</v>
      </c>
      <c r="AB93" s="62">
        <f t="shared" si="6"/>
        <v>673.46299999999997</v>
      </c>
      <c r="AC93" s="62"/>
      <c r="AD93" s="82">
        <f t="shared" si="12"/>
        <v>996.63058272296678</v>
      </c>
      <c r="AE93">
        <f t="shared" si="7"/>
        <v>922.91320087299971</v>
      </c>
      <c r="AF93">
        <f t="shared" si="8"/>
        <v>680.97113866082191</v>
      </c>
      <c r="AH93" s="67">
        <f t="shared" si="13"/>
        <v>978.52580681696122</v>
      </c>
      <c r="AI93" s="62">
        <f t="shared" si="9"/>
        <v>910.9787347465259</v>
      </c>
      <c r="AJ93" s="62">
        <f t="shared" si="10"/>
        <v>674.69942541369971</v>
      </c>
      <c r="AK93" s="11"/>
      <c r="AL93">
        <f t="shared" si="14"/>
        <v>126.91429382113822</v>
      </c>
      <c r="AQ93" s="332">
        <f t="shared" si="15"/>
        <v>134.49688473520249</v>
      </c>
      <c r="AR93" s="332">
        <f t="shared" si="16"/>
        <v>90.411173184357551</v>
      </c>
      <c r="AT93">
        <f t="shared" si="17"/>
        <v>4.3173500000000002</v>
      </c>
      <c r="AU93">
        <f t="shared" si="18"/>
        <v>3.23672</v>
      </c>
    </row>
    <row r="94" spans="3:47" x14ac:dyDescent="0.25">
      <c r="C94" s="326">
        <v>40756</v>
      </c>
      <c r="D94" s="82">
        <v>557.38099999999997</v>
      </c>
      <c r="E94">
        <v>565.149</v>
      </c>
      <c r="F94">
        <v>592.63</v>
      </c>
      <c r="G94">
        <v>598.03</v>
      </c>
      <c r="H94">
        <v>590.12800000000004</v>
      </c>
      <c r="J94">
        <v>6.8133999999999997</v>
      </c>
      <c r="K94" s="11">
        <v>116.88</v>
      </c>
      <c r="L94" s="327">
        <f t="shared" si="19"/>
        <v>796.35019199999988</v>
      </c>
      <c r="M94" s="82">
        <f t="shared" si="23"/>
        <v>561.26499999999999</v>
      </c>
      <c r="N94" s="11">
        <f t="shared" si="20"/>
        <v>594.07899999999995</v>
      </c>
      <c r="O94" s="82">
        <f t="shared" si="21"/>
        <v>568.56574382298368</v>
      </c>
      <c r="P94">
        <f t="shared" si="22"/>
        <v>603.23132216549891</v>
      </c>
      <c r="S94" s="82">
        <v>991</v>
      </c>
      <c r="T94">
        <v>979</v>
      </c>
      <c r="U94">
        <v>1009</v>
      </c>
      <c r="V94">
        <v>930.45100000000002</v>
      </c>
      <c r="W94">
        <v>910.05100000000004</v>
      </c>
      <c r="X94">
        <v>665.51300000000003</v>
      </c>
      <c r="Y94" s="11">
        <v>701.41300000000001</v>
      </c>
      <c r="Z94" s="67">
        <f t="shared" si="11"/>
        <v>993</v>
      </c>
      <c r="AA94" s="62">
        <f t="shared" si="5"/>
        <v>920.25099999999998</v>
      </c>
      <c r="AB94" s="62">
        <f t="shared" si="6"/>
        <v>683.46299999999997</v>
      </c>
      <c r="AC94" s="62"/>
      <c r="AD94" s="82">
        <f t="shared" si="12"/>
        <v>1011.4594455169237</v>
      </c>
      <c r="AE94">
        <f t="shared" si="7"/>
        <v>938.11038006677722</v>
      </c>
      <c r="AF94">
        <f t="shared" si="8"/>
        <v>693.72752976974277</v>
      </c>
      <c r="AH94" s="67">
        <f t="shared" si="13"/>
        <v>1001.5875928967864</v>
      </c>
      <c r="AI94" s="62">
        <f t="shared" si="9"/>
        <v>926.69125840476636</v>
      </c>
      <c r="AJ94" s="62">
        <f t="shared" si="10"/>
        <v>685.3889085937908</v>
      </c>
      <c r="AK94" s="11"/>
      <c r="AL94">
        <f t="shared" si="14"/>
        <v>129.48783609756094</v>
      </c>
      <c r="AQ94" s="332">
        <f t="shared" si="15"/>
        <v>134.49688473520249</v>
      </c>
      <c r="AR94" s="332">
        <f t="shared" si="16"/>
        <v>91.109497206703921</v>
      </c>
      <c r="AT94">
        <f t="shared" si="17"/>
        <v>4.3173500000000002</v>
      </c>
      <c r="AU94">
        <f t="shared" si="18"/>
        <v>3.2617200000000004</v>
      </c>
    </row>
    <row r="95" spans="3:47" x14ac:dyDescent="0.25">
      <c r="C95" s="326">
        <v>40787</v>
      </c>
      <c r="D95" s="82">
        <v>566.38099999999997</v>
      </c>
      <c r="E95">
        <v>574.149</v>
      </c>
      <c r="F95">
        <v>592.63</v>
      </c>
      <c r="G95">
        <v>598.03</v>
      </c>
      <c r="H95">
        <v>588.12800000000004</v>
      </c>
      <c r="J95">
        <v>7.0590000000000002</v>
      </c>
      <c r="K95" s="11">
        <v>110.67</v>
      </c>
      <c r="L95" s="327">
        <f t="shared" si="19"/>
        <v>781.21953000000008</v>
      </c>
      <c r="M95" s="82">
        <f t="shared" si="23"/>
        <v>570.26499999999999</v>
      </c>
      <c r="N95" s="11">
        <f t="shared" si="20"/>
        <v>593.07899999999995</v>
      </c>
      <c r="O95" s="82">
        <f t="shared" si="21"/>
        <v>558.10574801454095</v>
      </c>
      <c r="P95">
        <f t="shared" si="22"/>
        <v>591.64473073673514</v>
      </c>
      <c r="S95" s="333">
        <v>1000</v>
      </c>
      <c r="T95">
        <v>988</v>
      </c>
      <c r="U95">
        <v>1018</v>
      </c>
      <c r="V95">
        <v>930.45100000000002</v>
      </c>
      <c r="W95">
        <v>910.05100000000004</v>
      </c>
      <c r="X95">
        <v>663.51300000000003</v>
      </c>
      <c r="Y95" s="11">
        <v>699.41300000000001</v>
      </c>
      <c r="Z95" s="67">
        <f t="shared" si="11"/>
        <v>1002</v>
      </c>
      <c r="AA95" s="62">
        <f t="shared" si="5"/>
        <v>920.25099999999998</v>
      </c>
      <c r="AB95" s="62">
        <f t="shared" si="6"/>
        <v>681.46299999999997</v>
      </c>
      <c r="AC95" s="62"/>
      <c r="AD95" s="82">
        <f t="shared" si="12"/>
        <v>997.2832611126031</v>
      </c>
      <c r="AE95">
        <f t="shared" si="7"/>
        <v>923.58209036108997</v>
      </c>
      <c r="AF95">
        <f t="shared" si="8"/>
        <v>681.53259916674381</v>
      </c>
      <c r="AH95" s="67">
        <f t="shared" si="13"/>
        <v>1013.7967737625761</v>
      </c>
      <c r="AI95" s="62">
        <f t="shared" si="9"/>
        <v>925.43425651210714</v>
      </c>
      <c r="AJ95" s="62">
        <f t="shared" si="10"/>
        <v>683.25101195777268</v>
      </c>
      <c r="AK95" s="11"/>
      <c r="AL95">
        <f t="shared" si="14"/>
        <v>127.02756585365854</v>
      </c>
      <c r="AQ95" s="332">
        <f t="shared" si="15"/>
        <v>134.49688473520249</v>
      </c>
      <c r="AR95" s="332">
        <f t="shared" si="16"/>
        <v>91.388826815642474</v>
      </c>
      <c r="AT95">
        <f t="shared" si="17"/>
        <v>4.3173500000000002</v>
      </c>
      <c r="AU95">
        <f t="shared" si="18"/>
        <v>3.2717200000000002</v>
      </c>
    </row>
    <row r="96" spans="3:47" x14ac:dyDescent="0.25">
      <c r="C96" s="326">
        <v>40817</v>
      </c>
      <c r="D96" s="82">
        <v>599.38099999999997</v>
      </c>
      <c r="E96">
        <v>606.149</v>
      </c>
      <c r="F96">
        <v>627.63</v>
      </c>
      <c r="G96">
        <v>635.03</v>
      </c>
      <c r="H96">
        <v>618.12800000000004</v>
      </c>
      <c r="J96">
        <v>7.5656999999999996</v>
      </c>
      <c r="K96" s="11">
        <v>113.61</v>
      </c>
      <c r="L96" s="327">
        <f t="shared" si="19"/>
        <v>859.539177</v>
      </c>
      <c r="M96" s="82">
        <f t="shared" si="23"/>
        <v>602.76499999999999</v>
      </c>
      <c r="N96" s="11">
        <f t="shared" si="20"/>
        <v>626.57899999999995</v>
      </c>
      <c r="O96" s="82">
        <f t="shared" si="21"/>
        <v>612.24899563574365</v>
      </c>
      <c r="P96">
        <f t="shared" si="22"/>
        <v>651.61948601406618</v>
      </c>
      <c r="S96" s="82">
        <v>1037</v>
      </c>
      <c r="T96">
        <v>1024</v>
      </c>
      <c r="U96">
        <v>1054</v>
      </c>
      <c r="V96">
        <v>965.45100000000002</v>
      </c>
      <c r="W96">
        <v>945.05100000000004</v>
      </c>
      <c r="X96">
        <v>693.51300000000003</v>
      </c>
      <c r="Y96" s="11">
        <v>729.41300000000001</v>
      </c>
      <c r="Z96" s="67">
        <f t="shared" si="11"/>
        <v>1038.3333333333333</v>
      </c>
      <c r="AA96" s="62">
        <f t="shared" si="5"/>
        <v>955.25099999999998</v>
      </c>
      <c r="AB96" s="62">
        <f t="shared" si="6"/>
        <v>711.46299999999997</v>
      </c>
      <c r="AC96" s="62"/>
      <c r="AD96" s="82">
        <f t="shared" si="12"/>
        <v>1070.6623213515609</v>
      </c>
      <c r="AE96">
        <f t="shared" si="7"/>
        <v>998.78372537634391</v>
      </c>
      <c r="AF96">
        <f t="shared" si="8"/>
        <v>744.65625231664501</v>
      </c>
      <c r="AH96" s="67">
        <f t="shared" si="13"/>
        <v>1057.8854824445948</v>
      </c>
      <c r="AI96" s="62">
        <f t="shared" si="9"/>
        <v>967.54381991619175</v>
      </c>
      <c r="AJ96" s="62">
        <f t="shared" si="10"/>
        <v>715.31946149804605</v>
      </c>
      <c r="AK96" s="11"/>
      <c r="AL96">
        <f t="shared" si="14"/>
        <v>139.76246780487804</v>
      </c>
      <c r="AQ96" s="332">
        <f t="shared" si="15"/>
        <v>135.69106957424711</v>
      </c>
      <c r="AR96" s="332">
        <f t="shared" si="16"/>
        <v>91.80782122905029</v>
      </c>
      <c r="AT96">
        <f t="shared" si="17"/>
        <v>4.3556833333333325</v>
      </c>
      <c r="AU96">
        <f t="shared" si="18"/>
        <v>3.2867200000000003</v>
      </c>
    </row>
    <row r="97" spans="3:47" x14ac:dyDescent="0.25">
      <c r="C97" s="326">
        <v>40848</v>
      </c>
      <c r="D97" s="82">
        <v>622.38099999999997</v>
      </c>
      <c r="E97">
        <v>629.149</v>
      </c>
      <c r="F97">
        <v>663.63</v>
      </c>
      <c r="G97">
        <v>671.03</v>
      </c>
      <c r="H97">
        <v>659.12800000000004</v>
      </c>
      <c r="J97">
        <v>8.0012000000000008</v>
      </c>
      <c r="K97" s="11">
        <v>109.28</v>
      </c>
      <c r="L97" s="327">
        <f t="shared" si="19"/>
        <v>874.37113600000009</v>
      </c>
      <c r="M97" s="82">
        <f t="shared" si="23"/>
        <v>625.76499999999999</v>
      </c>
      <c r="N97" s="11">
        <f t="shared" si="20"/>
        <v>665.07899999999995</v>
      </c>
      <c r="O97" s="82">
        <f t="shared" si="21"/>
        <v>622.50249472064797</v>
      </c>
      <c r="P97">
        <f t="shared" si="22"/>
        <v>662.97733995470537</v>
      </c>
      <c r="S97" s="82">
        <v>1060</v>
      </c>
      <c r="T97">
        <v>1047</v>
      </c>
      <c r="U97">
        <v>1077</v>
      </c>
      <c r="V97">
        <v>1001.451</v>
      </c>
      <c r="W97">
        <v>981.05100000000004</v>
      </c>
      <c r="X97">
        <v>734.53099999999995</v>
      </c>
      <c r="Y97" s="11">
        <v>770.41300000000001</v>
      </c>
      <c r="Z97" s="67">
        <f t="shared" si="11"/>
        <v>1061.3333333333333</v>
      </c>
      <c r="AA97" s="62">
        <f t="shared" si="5"/>
        <v>991.25099999999998</v>
      </c>
      <c r="AB97" s="62">
        <f t="shared" si="6"/>
        <v>752.47199999999998</v>
      </c>
      <c r="AC97" s="62"/>
      <c r="AD97" s="82">
        <f t="shared" si="12"/>
        <v>1084.5586456406982</v>
      </c>
      <c r="AE97">
        <f t="shared" si="7"/>
        <v>1013.0252038559292</v>
      </c>
      <c r="AF97">
        <f t="shared" si="8"/>
        <v>756.61043586205301</v>
      </c>
      <c r="AH97" s="67">
        <f t="shared" si="13"/>
        <v>1089.0867224349463</v>
      </c>
      <c r="AI97" s="62">
        <f t="shared" si="9"/>
        <v>1015.9383927835725</v>
      </c>
      <c r="AJ97" s="62">
        <f t="shared" si="10"/>
        <v>759.14634253641964</v>
      </c>
      <c r="AK97" s="11"/>
      <c r="AL97">
        <f t="shared" si="14"/>
        <v>142.17416845528456</v>
      </c>
      <c r="AQ97" s="332">
        <f t="shared" si="15"/>
        <v>135.69106957424711</v>
      </c>
      <c r="AR97" s="332">
        <f t="shared" si="16"/>
        <v>91.109497206703921</v>
      </c>
      <c r="AT97">
        <f t="shared" si="17"/>
        <v>4.3556833333333325</v>
      </c>
      <c r="AU97">
        <f t="shared" si="18"/>
        <v>3.2617200000000004</v>
      </c>
    </row>
    <row r="98" spans="3:47" x14ac:dyDescent="0.25">
      <c r="C98" s="326">
        <v>40878</v>
      </c>
      <c r="D98" s="82">
        <v>596.54999999999995</v>
      </c>
      <c r="E98">
        <v>603.54999999999995</v>
      </c>
      <c r="F98">
        <v>702.63</v>
      </c>
      <c r="G98">
        <v>707.03</v>
      </c>
      <c r="H98">
        <v>694.12800000000004</v>
      </c>
      <c r="J98">
        <v>8.1397999999999993</v>
      </c>
      <c r="K98" s="11">
        <v>110.51</v>
      </c>
      <c r="L98" s="327">
        <f t="shared" si="19"/>
        <v>899.52929799999993</v>
      </c>
      <c r="M98" s="82">
        <f t="shared" si="23"/>
        <v>600.04999999999995</v>
      </c>
      <c r="N98" s="11">
        <f t="shared" si="20"/>
        <v>700.57899999999995</v>
      </c>
      <c r="O98" s="82">
        <f t="shared" si="21"/>
        <v>639.89461339120749</v>
      </c>
      <c r="P98">
        <f t="shared" si="22"/>
        <v>682.24267971265192</v>
      </c>
      <c r="S98" s="82">
        <v>1049</v>
      </c>
      <c r="T98">
        <v>1036</v>
      </c>
      <c r="U98">
        <v>1066</v>
      </c>
      <c r="V98">
        <v>1048.69</v>
      </c>
      <c r="W98">
        <v>1028.29</v>
      </c>
      <c r="X98">
        <v>777.52800000000002</v>
      </c>
      <c r="Y98" s="11">
        <v>813.428</v>
      </c>
      <c r="Z98" s="67">
        <f t="shared" si="11"/>
        <v>1050.3333333333333</v>
      </c>
      <c r="AA98" s="62">
        <f t="shared" si="5"/>
        <v>1038.49</v>
      </c>
      <c r="AB98" s="62">
        <f t="shared" si="6"/>
        <v>795.47800000000007</v>
      </c>
      <c r="AC98" s="62">
        <v>2121</v>
      </c>
      <c r="AD98" s="82">
        <f t="shared" si="12"/>
        <v>1108.129771860144</v>
      </c>
      <c r="AE98">
        <f t="shared" si="7"/>
        <v>1037.1817851078677</v>
      </c>
      <c r="AF98">
        <f t="shared" si="8"/>
        <v>776.88727766111037</v>
      </c>
      <c r="AH98" s="67">
        <f t="shared" si="13"/>
        <v>1054.2023795500813</v>
      </c>
      <c r="AI98" s="62">
        <f t="shared" si="9"/>
        <v>1060.5619599729755</v>
      </c>
      <c r="AJ98" s="62">
        <f t="shared" si="10"/>
        <v>796.55953366673862</v>
      </c>
      <c r="AK98" s="11"/>
      <c r="AL98">
        <f t="shared" si="14"/>
        <v>146.26492650406502</v>
      </c>
      <c r="AQ98" s="332">
        <f t="shared" si="15"/>
        <v>140.27518172377984</v>
      </c>
      <c r="AR98" s="332">
        <f t="shared" si="16"/>
        <v>94.388547486033545</v>
      </c>
      <c r="AT98">
        <f t="shared" si="17"/>
        <v>4.5028333333333332</v>
      </c>
      <c r="AU98">
        <f t="shared" si="18"/>
        <v>3.3791100000000007</v>
      </c>
    </row>
    <row r="99" spans="3:47" x14ac:dyDescent="0.25">
      <c r="C99" s="326">
        <v>40909</v>
      </c>
      <c r="D99" s="82">
        <v>590.54999999999995</v>
      </c>
      <c r="E99">
        <v>598.54999999999995</v>
      </c>
      <c r="F99">
        <v>681.63</v>
      </c>
      <c r="G99">
        <v>687.03</v>
      </c>
      <c r="H99">
        <v>669.12800000000004</v>
      </c>
      <c r="J99">
        <v>8.2121999999999993</v>
      </c>
      <c r="K99" s="11">
        <v>107.96</v>
      </c>
      <c r="L99" s="327">
        <f t="shared" si="19"/>
        <v>886.58911199999989</v>
      </c>
      <c r="M99" s="82">
        <f t="shared" si="23"/>
        <v>594.54999999999995</v>
      </c>
      <c r="N99" s="11">
        <f t="shared" si="20"/>
        <v>678.07899999999995</v>
      </c>
      <c r="O99" s="82">
        <f t="shared" si="21"/>
        <v>630.94891813210575</v>
      </c>
      <c r="P99">
        <f t="shared" si="22"/>
        <v>672.33348683039662</v>
      </c>
      <c r="S99" s="82">
        <v>1043</v>
      </c>
      <c r="T99">
        <v>1031</v>
      </c>
      <c r="U99">
        <v>1061</v>
      </c>
      <c r="V99">
        <v>1027.69</v>
      </c>
      <c r="W99">
        <v>1007.29</v>
      </c>
      <c r="X99">
        <v>752.52800000000002</v>
      </c>
      <c r="Y99" s="11">
        <v>788.428</v>
      </c>
      <c r="Z99" s="67">
        <f>AVERAGE(S99:U99)</f>
        <v>1045</v>
      </c>
      <c r="AA99" s="62">
        <f>AVERAGE(V99:W99)</f>
        <v>1017.49</v>
      </c>
      <c r="AB99" s="62">
        <f>AVERAGE(X99:Y99)</f>
        <v>770.47800000000007</v>
      </c>
      <c r="AC99" s="62"/>
      <c r="AD99" s="82">
        <f t="shared" si="12"/>
        <v>1096.0058830995458</v>
      </c>
      <c r="AE99">
        <f t="shared" si="7"/>
        <v>1024.7567655645403</v>
      </c>
      <c r="AF99">
        <f t="shared" si="8"/>
        <v>766.45781527143424</v>
      </c>
      <c r="AH99" s="67">
        <f t="shared" si="13"/>
        <v>1046.7412134654323</v>
      </c>
      <c r="AI99" s="62">
        <f t="shared" si="9"/>
        <v>1032.2794173881425</v>
      </c>
      <c r="AJ99" s="62">
        <f t="shared" si="10"/>
        <v>769.83582571651073</v>
      </c>
      <c r="AK99" s="11"/>
      <c r="AL99">
        <f t="shared" si="14"/>
        <v>144.16083121951218</v>
      </c>
      <c r="AQ99" s="332">
        <f t="shared" si="15"/>
        <v>140.32710280373831</v>
      </c>
      <c r="AR99" s="332">
        <f t="shared" si="16"/>
        <v>94.807541899441361</v>
      </c>
      <c r="AT99">
        <f t="shared" si="17"/>
        <v>4.5045000000000002</v>
      </c>
      <c r="AU99">
        <f t="shared" si="18"/>
        <v>3.3941100000000004</v>
      </c>
    </row>
    <row r="100" spans="3:47" x14ac:dyDescent="0.25">
      <c r="C100" s="326">
        <v>40940</v>
      </c>
      <c r="D100" s="82">
        <v>624.54999999999995</v>
      </c>
      <c r="E100">
        <v>632.54999999999995</v>
      </c>
      <c r="F100">
        <v>680.63</v>
      </c>
      <c r="G100">
        <v>685.03</v>
      </c>
      <c r="H100">
        <v>666.12800000000004</v>
      </c>
      <c r="J100">
        <v>8.0840999999999994</v>
      </c>
      <c r="K100" s="11">
        <v>110.42</v>
      </c>
      <c r="L100" s="327">
        <f t="shared" si="19"/>
        <v>892.64632199999994</v>
      </c>
      <c r="M100" s="82">
        <f t="shared" si="23"/>
        <v>628.54999999999995</v>
      </c>
      <c r="N100" s="11">
        <f t="shared" si="20"/>
        <v>675.57899999999995</v>
      </c>
      <c r="O100" s="82">
        <f t="shared" si="21"/>
        <v>635.13633512753256</v>
      </c>
      <c r="P100">
        <f t="shared" si="22"/>
        <v>676.97191028260409</v>
      </c>
      <c r="S100" s="82">
        <v>1077</v>
      </c>
      <c r="T100">
        <v>1065</v>
      </c>
      <c r="U100">
        <v>1095</v>
      </c>
      <c r="V100">
        <v>1026.69</v>
      </c>
      <c r="W100">
        <v>1006.29</v>
      </c>
      <c r="X100">
        <v>749.52800000000002</v>
      </c>
      <c r="Y100" s="11">
        <v>785.428</v>
      </c>
      <c r="Z100" s="82">
        <f t="shared" ref="Z100:Z110" si="24">AVERAGE(S100:U100)</f>
        <v>1079</v>
      </c>
      <c r="AA100">
        <f t="shared" ref="AA100:AA110" si="25">AVERAGE(V100:W100)</f>
        <v>1016.49</v>
      </c>
      <c r="AB100">
        <f t="shared" ref="AB100:AB110" si="26">AVERAGE(X100:Y100)</f>
        <v>767.47800000000007</v>
      </c>
      <c r="AD100" s="82">
        <f t="shared" si="12"/>
        <v>1101.6809901064762</v>
      </c>
      <c r="AE100">
        <f t="shared" si="7"/>
        <v>1030.5728297716573</v>
      </c>
      <c r="AF100">
        <f t="shared" si="8"/>
        <v>771.33977321866701</v>
      </c>
      <c r="AH100" s="67">
        <f t="shared" si="13"/>
        <v>1092.8647856250823</v>
      </c>
      <c r="AI100" s="62">
        <f t="shared" si="9"/>
        <v>1029.1369126564946</v>
      </c>
      <c r="AJ100" s="62">
        <f t="shared" si="10"/>
        <v>766.62898076248348</v>
      </c>
      <c r="AK100" s="11"/>
      <c r="AL100">
        <f t="shared" si="14"/>
        <v>145.14574341463413</v>
      </c>
      <c r="AQ100" s="332">
        <f t="shared" si="15"/>
        <v>140.32710280373831</v>
      </c>
      <c r="AR100" s="332">
        <f t="shared" si="16"/>
        <v>95.226536312849177</v>
      </c>
      <c r="AT100">
        <f t="shared" si="17"/>
        <v>4.5045000000000002</v>
      </c>
      <c r="AU100">
        <f t="shared" si="18"/>
        <v>3.4091100000000001</v>
      </c>
    </row>
    <row r="101" spans="3:47" x14ac:dyDescent="0.25">
      <c r="C101" s="326">
        <v>40969</v>
      </c>
      <c r="D101" s="82">
        <v>648.16999999999996</v>
      </c>
      <c r="E101">
        <v>656.17</v>
      </c>
      <c r="F101">
        <v>686.63</v>
      </c>
      <c r="G101">
        <v>690.03</v>
      </c>
      <c r="H101">
        <v>670.12800000000004</v>
      </c>
      <c r="I101">
        <v>1507.415</v>
      </c>
      <c r="J101">
        <v>7.6790000000000003</v>
      </c>
      <c r="K101" s="11">
        <v>126.39</v>
      </c>
      <c r="L101" s="327">
        <f t="shared" si="19"/>
        <v>970.54881</v>
      </c>
      <c r="M101" s="82">
        <f t="shared" si="23"/>
        <v>652.16999999999996</v>
      </c>
      <c r="N101" s="11">
        <f t="shared" si="20"/>
        <v>680.07899999999995</v>
      </c>
      <c r="O101" s="82">
        <f t="shared" si="21"/>
        <v>688.99119606800366</v>
      </c>
      <c r="P101">
        <f t="shared" si="22"/>
        <v>736.62721814290671</v>
      </c>
      <c r="S101" s="82">
        <v>1105</v>
      </c>
      <c r="T101">
        <v>1093</v>
      </c>
      <c r="U101">
        <v>1123</v>
      </c>
      <c r="V101">
        <v>1037.07</v>
      </c>
      <c r="W101">
        <v>1016.67</v>
      </c>
      <c r="X101">
        <v>753.52800000000002</v>
      </c>
      <c r="Y101" s="11">
        <v>789.428</v>
      </c>
      <c r="Z101" s="82">
        <f t="shared" si="24"/>
        <v>1107</v>
      </c>
      <c r="AA101">
        <f t="shared" si="25"/>
        <v>1026.8699999999999</v>
      </c>
      <c r="AB101">
        <f t="shared" si="26"/>
        <v>771.47800000000007</v>
      </c>
      <c r="AC101">
        <v>2207</v>
      </c>
      <c r="AD101" s="82">
        <f t="shared" si="12"/>
        <v>1174.6692067121598</v>
      </c>
      <c r="AE101">
        <f t="shared" si="7"/>
        <v>1105.3739134557579</v>
      </c>
      <c r="AF101">
        <f t="shared" si="8"/>
        <v>834.12720677319192</v>
      </c>
      <c r="AH101" s="67">
        <f t="shared" si="13"/>
        <v>1124.9071025195217</v>
      </c>
      <c r="AI101" s="62">
        <f t="shared" si="9"/>
        <v>1034.793421173461</v>
      </c>
      <c r="AJ101" s="62">
        <f t="shared" si="10"/>
        <v>770.90477403451985</v>
      </c>
      <c r="AK101" s="11"/>
      <c r="AL101">
        <f t="shared" si="14"/>
        <v>157.81281463414632</v>
      </c>
      <c r="AQ101" s="332">
        <f t="shared" si="15"/>
        <v>141.69158878504672</v>
      </c>
      <c r="AR101" s="332">
        <f t="shared" si="16"/>
        <v>96.868994413407819</v>
      </c>
      <c r="AT101">
        <f t="shared" si="17"/>
        <v>4.5483000000000002</v>
      </c>
      <c r="AU101">
        <f t="shared" si="18"/>
        <v>3.4679099999999998</v>
      </c>
    </row>
    <row r="102" spans="3:47" x14ac:dyDescent="0.25">
      <c r="C102" s="326">
        <v>41000</v>
      </c>
      <c r="D102" s="82">
        <v>687.57</v>
      </c>
      <c r="E102">
        <v>694.57</v>
      </c>
      <c r="F102">
        <v>706.63</v>
      </c>
      <c r="G102">
        <v>712.03</v>
      </c>
      <c r="H102">
        <v>691.12800000000004</v>
      </c>
      <c r="I102">
        <v>1559.3980000000001</v>
      </c>
      <c r="J102">
        <v>7.6193</v>
      </c>
      <c r="K102" s="11">
        <v>125.42</v>
      </c>
      <c r="L102" s="327">
        <f t="shared" si="19"/>
        <v>955.61260600000003</v>
      </c>
      <c r="M102" s="82">
        <f t="shared" si="23"/>
        <v>691.07</v>
      </c>
      <c r="N102" s="11">
        <f t="shared" si="20"/>
        <v>701.57899999999995</v>
      </c>
      <c r="O102" s="82">
        <f t="shared" si="21"/>
        <v>678.66563124909169</v>
      </c>
      <c r="P102">
        <f t="shared" si="22"/>
        <v>725.18953661617184</v>
      </c>
      <c r="S102" s="82">
        <v>1177</v>
      </c>
      <c r="T102">
        <v>1164</v>
      </c>
      <c r="U102">
        <v>1194</v>
      </c>
      <c r="V102">
        <v>1088.97</v>
      </c>
      <c r="W102">
        <v>1064.27</v>
      </c>
      <c r="X102">
        <v>774.12800000000004</v>
      </c>
      <c r="Y102" s="11">
        <v>816.02800000000002</v>
      </c>
      <c r="Z102" s="82">
        <f t="shared" si="24"/>
        <v>1178.3333333333333</v>
      </c>
      <c r="AA102">
        <f t="shared" si="25"/>
        <v>1076.6199999999999</v>
      </c>
      <c r="AB102">
        <f t="shared" si="26"/>
        <v>795.07799999999997</v>
      </c>
      <c r="AC102">
        <v>2275</v>
      </c>
      <c r="AD102" s="82">
        <f t="shared" si="12"/>
        <v>1160.6752134417693</v>
      </c>
      <c r="AE102">
        <f t="shared" si="7"/>
        <v>1091.0323401118258</v>
      </c>
      <c r="AF102">
        <f t="shared" si="8"/>
        <v>822.08900439630725</v>
      </c>
      <c r="AH102" s="67">
        <f t="shared" si="13"/>
        <v>1177.6778953727689</v>
      </c>
      <c r="AI102" s="62">
        <f t="shared" si="9"/>
        <v>1061.8189618656347</v>
      </c>
      <c r="AJ102" s="62">
        <f t="shared" si="10"/>
        <v>793.35268871271126</v>
      </c>
      <c r="AK102" s="11"/>
      <c r="AL102">
        <f t="shared" si="14"/>
        <v>155.38416357723577</v>
      </c>
      <c r="AQ102" s="332">
        <f t="shared" si="15"/>
        <v>151.79543094496361</v>
      </c>
      <c r="AR102" s="332">
        <f t="shared" si="16"/>
        <v>104.76005586592179</v>
      </c>
      <c r="AT102">
        <f t="shared" si="17"/>
        <v>4.872633333333332</v>
      </c>
      <c r="AU102">
        <f t="shared" si="18"/>
        <v>3.7504099999999996</v>
      </c>
    </row>
    <row r="103" spans="3:47" x14ac:dyDescent="0.25">
      <c r="C103" s="326">
        <v>41030</v>
      </c>
      <c r="D103" s="82">
        <v>711.17</v>
      </c>
      <c r="E103">
        <v>718.17</v>
      </c>
      <c r="F103">
        <v>711.63</v>
      </c>
      <c r="G103">
        <v>716.03</v>
      </c>
      <c r="H103">
        <v>700.12800000000004</v>
      </c>
      <c r="I103">
        <v>1583.268</v>
      </c>
      <c r="J103">
        <v>7.8536000000000001</v>
      </c>
      <c r="K103" s="11">
        <v>120.18</v>
      </c>
      <c r="L103" s="327">
        <f t="shared" si="19"/>
        <v>943.8456480000001</v>
      </c>
      <c r="M103" s="82">
        <f t="shared" si="23"/>
        <v>714.67</v>
      </c>
      <c r="N103" s="11">
        <f t="shared" si="20"/>
        <v>708.07899999999995</v>
      </c>
      <c r="O103" s="82">
        <f t="shared" si="21"/>
        <v>670.53100162362512</v>
      </c>
      <c r="P103">
        <f t="shared" si="22"/>
        <v>716.17876532900516</v>
      </c>
      <c r="S103" s="82">
        <v>1205</v>
      </c>
      <c r="T103">
        <v>1187</v>
      </c>
      <c r="U103">
        <v>1222</v>
      </c>
      <c r="V103">
        <v>1098.3699999999999</v>
      </c>
      <c r="W103">
        <v>1073.67</v>
      </c>
      <c r="X103">
        <v>783.12800000000004</v>
      </c>
      <c r="Y103" s="11">
        <v>825.02800000000002</v>
      </c>
      <c r="Z103" s="82">
        <f t="shared" si="24"/>
        <v>1204.6666666666667</v>
      </c>
      <c r="AA103">
        <f t="shared" si="25"/>
        <v>1086.02</v>
      </c>
      <c r="AB103">
        <f t="shared" si="26"/>
        <v>804.07799999999997</v>
      </c>
      <c r="AC103">
        <v>2306</v>
      </c>
      <c r="AD103" s="82">
        <f t="shared" si="12"/>
        <v>1149.6505427111765</v>
      </c>
      <c r="AE103">
        <f t="shared" si="7"/>
        <v>1079.7338407613904</v>
      </c>
      <c r="AF103">
        <f t="shared" si="8"/>
        <v>812.60513407930432</v>
      </c>
      <c r="AH103" s="67">
        <f t="shared" si="13"/>
        <v>1209.693080754173</v>
      </c>
      <c r="AI103" s="62">
        <f t="shared" si="9"/>
        <v>1069.98947416792</v>
      </c>
      <c r="AJ103" s="62">
        <f t="shared" si="10"/>
        <v>802.97322357479322</v>
      </c>
      <c r="AK103" s="11"/>
      <c r="AL103">
        <f t="shared" si="14"/>
        <v>153.47083707317074</v>
      </c>
      <c r="AQ103" s="332">
        <f t="shared" si="15"/>
        <v>152.64693665628249</v>
      </c>
      <c r="AR103" s="332">
        <f t="shared" si="16"/>
        <v>105.57011173184358</v>
      </c>
      <c r="AT103">
        <f t="shared" si="17"/>
        <v>4.8999666666666677</v>
      </c>
      <c r="AU103">
        <f t="shared" si="18"/>
        <v>3.7794099999999999</v>
      </c>
    </row>
    <row r="104" spans="3:47" x14ac:dyDescent="0.25">
      <c r="C104" s="326">
        <v>41061</v>
      </c>
      <c r="D104" s="82">
        <v>653.99</v>
      </c>
      <c r="E104">
        <v>660.99</v>
      </c>
      <c r="F104">
        <v>684.63</v>
      </c>
      <c r="G104">
        <v>689.03</v>
      </c>
      <c r="H104">
        <v>679.12800000000004</v>
      </c>
      <c r="I104">
        <v>1507.4009999999998</v>
      </c>
      <c r="J104">
        <v>8.1030999999999995</v>
      </c>
      <c r="K104" s="11">
        <v>110.27</v>
      </c>
      <c r="L104" s="327">
        <f t="shared" si="19"/>
        <v>893.52883699999995</v>
      </c>
      <c r="M104" s="82">
        <f t="shared" si="23"/>
        <v>657.49</v>
      </c>
      <c r="N104" s="11">
        <f t="shared" si="20"/>
        <v>684.07899999999995</v>
      </c>
      <c r="O104" s="82">
        <f t="shared" si="21"/>
        <v>635.74642761396092</v>
      </c>
      <c r="P104">
        <f t="shared" si="22"/>
        <v>677.64771288362408</v>
      </c>
      <c r="S104" s="82">
        <v>1150</v>
      </c>
      <c r="T104">
        <v>1132</v>
      </c>
      <c r="U104">
        <v>1167</v>
      </c>
      <c r="V104">
        <v>1073.55</v>
      </c>
      <c r="W104">
        <v>1048.8499999999999</v>
      </c>
      <c r="X104">
        <v>762.12800000000004</v>
      </c>
      <c r="Y104" s="11">
        <v>804.02800000000002</v>
      </c>
      <c r="Z104" s="82">
        <f t="shared" si="24"/>
        <v>1149.6666666666667</v>
      </c>
      <c r="AA104">
        <f t="shared" si="25"/>
        <v>1061.1999999999998</v>
      </c>
      <c r="AB104">
        <f t="shared" si="26"/>
        <v>783.07799999999997</v>
      </c>
      <c r="AC104">
        <v>2207</v>
      </c>
      <c r="AD104" s="82">
        <f t="shared" si="12"/>
        <v>1102.5078339933848</v>
      </c>
      <c r="AE104">
        <f t="shared" si="7"/>
        <v>1031.4202106456478</v>
      </c>
      <c r="AF104">
        <f t="shared" si="8"/>
        <v>772.05105797151566</v>
      </c>
      <c r="AH104" s="67">
        <f t="shared" si="13"/>
        <v>1132.1240849868555</v>
      </c>
      <c r="AI104" s="62">
        <f t="shared" si="9"/>
        <v>1039.8214287440981</v>
      </c>
      <c r="AJ104" s="62">
        <f t="shared" si="10"/>
        <v>780.52530889660193</v>
      </c>
      <c r="AK104" s="11"/>
      <c r="AL104">
        <f t="shared" si="14"/>
        <v>145.28924178861786</v>
      </c>
      <c r="AQ104" s="332">
        <f t="shared" si="15"/>
        <v>153.32606438213918</v>
      </c>
      <c r="AR104" s="332">
        <f t="shared" si="16"/>
        <v>105.34106145251394</v>
      </c>
      <c r="AT104">
        <f t="shared" si="17"/>
        <v>4.9217666666666684</v>
      </c>
      <c r="AU104">
        <f t="shared" si="18"/>
        <v>3.7712099999999986</v>
      </c>
    </row>
    <row r="105" spans="3:47" x14ac:dyDescent="0.25">
      <c r="C105" s="326">
        <v>41091</v>
      </c>
      <c r="D105" s="82">
        <v>571.57000000000005</v>
      </c>
      <c r="E105">
        <v>582.57000000000005</v>
      </c>
      <c r="F105">
        <v>628.63</v>
      </c>
      <c r="G105">
        <v>634.03</v>
      </c>
      <c r="H105">
        <v>621.12800000000004</v>
      </c>
      <c r="I105">
        <v>1421.42</v>
      </c>
      <c r="J105">
        <v>8.4189000000000007</v>
      </c>
      <c r="K105" s="11">
        <v>95.22</v>
      </c>
      <c r="L105" s="327">
        <f t="shared" si="19"/>
        <v>801.64765800000009</v>
      </c>
      <c r="M105" s="82">
        <f t="shared" si="23"/>
        <v>577.07000000000005</v>
      </c>
      <c r="N105" s="11">
        <f t="shared" si="20"/>
        <v>627.57899999999995</v>
      </c>
      <c r="O105" s="82">
        <f t="shared" si="21"/>
        <v>572.22794129691908</v>
      </c>
      <c r="P105">
        <f t="shared" si="22"/>
        <v>607.28795723868814</v>
      </c>
      <c r="S105" s="82">
        <v>1061</v>
      </c>
      <c r="T105">
        <v>1047</v>
      </c>
      <c r="U105">
        <v>1082</v>
      </c>
      <c r="V105">
        <v>1010.97</v>
      </c>
      <c r="W105">
        <v>986.27</v>
      </c>
      <c r="X105">
        <v>704.12800000000004</v>
      </c>
      <c r="Y105" s="11">
        <v>746.02800000000002</v>
      </c>
      <c r="Z105" s="82">
        <f t="shared" si="24"/>
        <v>1063.3333333333333</v>
      </c>
      <c r="AA105">
        <f t="shared" si="25"/>
        <v>998.62</v>
      </c>
      <c r="AB105">
        <f t="shared" si="26"/>
        <v>725.07799999999997</v>
      </c>
      <c r="AC105">
        <v>2094</v>
      </c>
      <c r="AD105" s="82">
        <f t="shared" si="12"/>
        <v>1016.4227349547303</v>
      </c>
      <c r="AE105">
        <f t="shared" si="7"/>
        <v>943.19694671891921</v>
      </c>
      <c r="AF105">
        <f t="shared" si="8"/>
        <v>697.99715328269622</v>
      </c>
      <c r="AH105" s="67">
        <f t="shared" si="13"/>
        <v>1023.0282710727651</v>
      </c>
      <c r="AI105" s="62">
        <f t="shared" si="9"/>
        <v>968.80082180885097</v>
      </c>
      <c r="AJ105" s="62">
        <f t="shared" si="10"/>
        <v>718.5263064520733</v>
      </c>
      <c r="AK105" s="11"/>
      <c r="AL105">
        <f t="shared" si="14"/>
        <v>130.34921268292683</v>
      </c>
      <c r="AQ105" s="332">
        <f t="shared" si="15"/>
        <v>151.48390446521285</v>
      </c>
      <c r="AR105" s="332">
        <f t="shared" si="16"/>
        <v>103.64273743016761</v>
      </c>
      <c r="AT105">
        <f t="shared" si="17"/>
        <v>4.8626333333333323</v>
      </c>
      <c r="AU105">
        <f t="shared" si="18"/>
        <v>3.7104100000000004</v>
      </c>
    </row>
    <row r="106" spans="3:47" x14ac:dyDescent="0.25">
      <c r="C106" s="326">
        <v>41122</v>
      </c>
      <c r="D106" s="82">
        <v>597.95000000000005</v>
      </c>
      <c r="E106">
        <v>608.95000000000005</v>
      </c>
      <c r="F106">
        <v>647.63</v>
      </c>
      <c r="G106">
        <v>654.03</v>
      </c>
      <c r="H106">
        <v>636.12800000000004</v>
      </c>
      <c r="I106">
        <v>1461.1410000000001</v>
      </c>
      <c r="J106">
        <v>8.2657000000000007</v>
      </c>
      <c r="K106" s="11">
        <v>102.04</v>
      </c>
      <c r="L106" s="327">
        <f t="shared" si="19"/>
        <v>843.43202800000017</v>
      </c>
      <c r="M106" s="82">
        <f t="shared" si="23"/>
        <v>603.45000000000005</v>
      </c>
      <c r="N106" s="11">
        <f t="shared" si="20"/>
        <v>645.07899999999995</v>
      </c>
      <c r="O106" s="82">
        <f t="shared" si="21"/>
        <v>601.11394344662187</v>
      </c>
      <c r="P106">
        <f t="shared" si="22"/>
        <v>639.28513114279747</v>
      </c>
      <c r="S106" s="82">
        <v>1083</v>
      </c>
      <c r="T106">
        <v>1069</v>
      </c>
      <c r="U106">
        <v>1104</v>
      </c>
      <c r="V106">
        <v>1025.5899999999999</v>
      </c>
      <c r="W106">
        <v>1000.89</v>
      </c>
      <c r="X106">
        <v>719.12800000000004</v>
      </c>
      <c r="Y106" s="11">
        <v>761.02800000000002</v>
      </c>
      <c r="Z106" s="82">
        <f t="shared" si="24"/>
        <v>1085.3333333333333</v>
      </c>
      <c r="AA106">
        <f t="shared" si="25"/>
        <v>1013.24</v>
      </c>
      <c r="AB106">
        <f t="shared" si="26"/>
        <v>740.07799999999997</v>
      </c>
      <c r="AC106">
        <v>2146</v>
      </c>
      <c r="AD106" s="82">
        <f t="shared" si="12"/>
        <v>1055.5712490341784</v>
      </c>
      <c r="AE106">
        <f t="shared" si="7"/>
        <v>983.31782395017558</v>
      </c>
      <c r="AF106">
        <f t="shared" si="8"/>
        <v>731.67429790730284</v>
      </c>
      <c r="AH106" s="67">
        <f t="shared" si="13"/>
        <v>1058.8147367660467</v>
      </c>
      <c r="AI106" s="62">
        <f t="shared" si="9"/>
        <v>990.79835493038775</v>
      </c>
      <c r="AJ106" s="62">
        <f t="shared" si="10"/>
        <v>734.56053122220999</v>
      </c>
      <c r="AK106" s="11"/>
      <c r="AL106">
        <f t="shared" si="14"/>
        <v>137.14341918699188</v>
      </c>
      <c r="AQ106" s="332">
        <f t="shared" si="15"/>
        <v>150.11941848390444</v>
      </c>
      <c r="AR106" s="332">
        <f t="shared" si="16"/>
        <v>102.83826815642459</v>
      </c>
      <c r="AT106">
        <f t="shared" si="17"/>
        <v>4.8188333333333331</v>
      </c>
      <c r="AU106">
        <f t="shared" si="18"/>
        <v>3.68161</v>
      </c>
    </row>
    <row r="107" spans="3:47" x14ac:dyDescent="0.25">
      <c r="C107" s="326">
        <v>41153</v>
      </c>
      <c r="D107" s="82">
        <v>687.45</v>
      </c>
      <c r="E107">
        <v>698.45</v>
      </c>
      <c r="F107">
        <v>716.63</v>
      </c>
      <c r="G107">
        <v>723.03</v>
      </c>
      <c r="H107">
        <v>709.12800000000004</v>
      </c>
      <c r="I107">
        <v>1559.6109999999999</v>
      </c>
      <c r="J107">
        <v>8.2758000000000003</v>
      </c>
      <c r="K107" s="11">
        <v>113.51</v>
      </c>
      <c r="L107" s="327">
        <f t="shared" si="19"/>
        <v>939.38605800000005</v>
      </c>
      <c r="M107" s="82">
        <f t="shared" si="23"/>
        <v>692.95</v>
      </c>
      <c r="N107" s="11">
        <f t="shared" si="20"/>
        <v>716.07899999999995</v>
      </c>
      <c r="O107" s="82">
        <f t="shared" si="21"/>
        <v>667.44803719633342</v>
      </c>
      <c r="P107">
        <f t="shared" si="22"/>
        <v>712.7637496958622</v>
      </c>
      <c r="S107" s="82">
        <v>1176</v>
      </c>
      <c r="T107">
        <v>1162</v>
      </c>
      <c r="U107">
        <v>1197</v>
      </c>
      <c r="V107">
        <v>1094.5899999999999</v>
      </c>
      <c r="W107">
        <v>1069.8900000000001</v>
      </c>
      <c r="X107">
        <v>792.12800000000004</v>
      </c>
      <c r="Y107" s="11">
        <v>834.02800000000002</v>
      </c>
      <c r="Z107" s="82">
        <f t="shared" si="24"/>
        <v>1178.3333333333333</v>
      </c>
      <c r="AA107">
        <f t="shared" si="25"/>
        <v>1082.24</v>
      </c>
      <c r="AB107">
        <f t="shared" si="26"/>
        <v>813.07799999999997</v>
      </c>
      <c r="AC107">
        <v>2275</v>
      </c>
      <c r="AD107" s="82">
        <f t="shared" si="12"/>
        <v>1145.4722740929451</v>
      </c>
      <c r="AE107">
        <f t="shared" si="7"/>
        <v>1075.4517931227222</v>
      </c>
      <c r="AF107">
        <f t="shared" si="8"/>
        <v>809.010817415048</v>
      </c>
      <c r="AH107" s="67">
        <f t="shared" si="13"/>
        <v>1180.2282575980671</v>
      </c>
      <c r="AI107" s="62">
        <f t="shared" si="9"/>
        <v>1080.0454893091937</v>
      </c>
      <c r="AJ107" s="62">
        <f t="shared" si="10"/>
        <v>812.59375843687531</v>
      </c>
      <c r="AK107" s="11"/>
      <c r="AL107">
        <f t="shared" si="14"/>
        <v>152.74570048780487</v>
      </c>
      <c r="AQ107" s="332">
        <f t="shared" si="15"/>
        <v>151.20976116303214</v>
      </c>
      <c r="AR107" s="332">
        <f t="shared" si="16"/>
        <v>102.27960893854751</v>
      </c>
      <c r="AT107">
        <f t="shared" si="17"/>
        <v>4.8538333333333323</v>
      </c>
      <c r="AU107">
        <f t="shared" si="18"/>
        <v>3.6616100000000005</v>
      </c>
    </row>
    <row r="108" spans="3:47" x14ac:dyDescent="0.25">
      <c r="C108" s="326">
        <v>41183</v>
      </c>
      <c r="D108" s="82">
        <v>695.29</v>
      </c>
      <c r="E108">
        <v>708.29</v>
      </c>
      <c r="F108">
        <v>742.63</v>
      </c>
      <c r="G108">
        <v>750.03</v>
      </c>
      <c r="H108">
        <v>742.12800000000004</v>
      </c>
      <c r="I108">
        <v>1557.1100000000001</v>
      </c>
      <c r="J108">
        <v>8.3074999999999992</v>
      </c>
      <c r="K108" s="11">
        <v>112.96</v>
      </c>
      <c r="L108" s="327">
        <f t="shared" si="19"/>
        <v>938.41519999999991</v>
      </c>
      <c r="M108" s="82">
        <f t="shared" si="23"/>
        <v>701.79</v>
      </c>
      <c r="N108" s="11">
        <f t="shared" si="20"/>
        <v>746.07899999999995</v>
      </c>
      <c r="O108" s="82">
        <f t="shared" si="21"/>
        <v>666.776872206289</v>
      </c>
      <c r="P108">
        <f t="shared" si="22"/>
        <v>712.02029676687948</v>
      </c>
      <c r="S108" s="82">
        <v>1197</v>
      </c>
      <c r="T108">
        <v>1185</v>
      </c>
      <c r="U108">
        <v>1220</v>
      </c>
      <c r="V108">
        <v>1133.75</v>
      </c>
      <c r="W108">
        <v>1109.05</v>
      </c>
      <c r="X108">
        <v>825.12800000000004</v>
      </c>
      <c r="Y108" s="11">
        <v>867.02800000000002</v>
      </c>
      <c r="Z108" s="82">
        <f t="shared" si="24"/>
        <v>1200.6666666666667</v>
      </c>
      <c r="AA108">
        <f t="shared" si="25"/>
        <v>1121.4000000000001</v>
      </c>
      <c r="AB108">
        <f t="shared" si="26"/>
        <v>846.07799999999997</v>
      </c>
      <c r="AC108">
        <v>2272</v>
      </c>
      <c r="AD108" s="82">
        <f t="shared" si="12"/>
        <v>1144.5626600893797</v>
      </c>
      <c r="AE108">
        <f t="shared" si="7"/>
        <v>1074.5195863040724</v>
      </c>
      <c r="AF108">
        <f t="shared" si="8"/>
        <v>808.22833044023037</v>
      </c>
      <c r="AH108" s="67">
        <f t="shared" si="13"/>
        <v>1192.2203863595762</v>
      </c>
      <c r="AI108" s="62">
        <f t="shared" si="9"/>
        <v>1117.755546088971</v>
      </c>
      <c r="AJ108" s="62">
        <f t="shared" si="10"/>
        <v>847.86905293117604</v>
      </c>
      <c r="AK108" s="11"/>
      <c r="AL108">
        <f t="shared" si="14"/>
        <v>152.58783739837395</v>
      </c>
      <c r="AQ108" s="332">
        <f t="shared" si="15"/>
        <v>155.41329179646939</v>
      </c>
      <c r="AR108" s="332">
        <f t="shared" si="16"/>
        <v>104.83826815642462</v>
      </c>
      <c r="AT108">
        <f t="shared" si="17"/>
        <v>4.9887666666666677</v>
      </c>
      <c r="AU108">
        <f t="shared" si="18"/>
        <v>3.753210000000001</v>
      </c>
    </row>
    <row r="109" spans="3:47" x14ac:dyDescent="0.25">
      <c r="C109" s="326">
        <v>41214</v>
      </c>
      <c r="D109" s="82">
        <v>683.09</v>
      </c>
      <c r="E109">
        <v>696.09</v>
      </c>
      <c r="F109">
        <v>750.63</v>
      </c>
      <c r="G109">
        <v>757.03</v>
      </c>
      <c r="H109">
        <v>745.12800000000004</v>
      </c>
      <c r="I109">
        <v>1557.88</v>
      </c>
      <c r="J109">
        <v>8.6478999999999999</v>
      </c>
      <c r="K109" s="11">
        <v>109.05</v>
      </c>
      <c r="L109" s="327">
        <f t="shared" si="19"/>
        <v>943.053495</v>
      </c>
      <c r="M109" s="82">
        <f t="shared" si="23"/>
        <v>689.59</v>
      </c>
      <c r="N109" s="11">
        <f t="shared" si="20"/>
        <v>751.07899999999995</v>
      </c>
      <c r="O109" s="82">
        <f t="shared" si="21"/>
        <v>669.98337739808585</v>
      </c>
      <c r="P109">
        <f t="shared" si="22"/>
        <v>715.57215914349456</v>
      </c>
      <c r="S109" s="82">
        <v>1187</v>
      </c>
      <c r="T109">
        <v>1175</v>
      </c>
      <c r="U109">
        <v>1210</v>
      </c>
      <c r="V109">
        <v>1143.95</v>
      </c>
      <c r="W109">
        <v>1119.25</v>
      </c>
      <c r="X109">
        <v>828.12800000000004</v>
      </c>
      <c r="Y109" s="11">
        <v>870.02800000000002</v>
      </c>
      <c r="Z109" s="82">
        <f t="shared" si="24"/>
        <v>1190.6666666666667</v>
      </c>
      <c r="AA109">
        <f t="shared" si="25"/>
        <v>1131.5999999999999</v>
      </c>
      <c r="AB109">
        <f t="shared" si="26"/>
        <v>849.07799999999997</v>
      </c>
      <c r="AC109">
        <v>2273</v>
      </c>
      <c r="AD109" s="82">
        <f t="shared" si="12"/>
        <v>1148.9083605776757</v>
      </c>
      <c r="AE109">
        <f t="shared" si="7"/>
        <v>1078.973224452915</v>
      </c>
      <c r="AF109">
        <f t="shared" si="8"/>
        <v>811.96667881132203</v>
      </c>
      <c r="AH109" s="67">
        <f t="shared" si="13"/>
        <v>1175.6701634081724</v>
      </c>
      <c r="AI109" s="62">
        <f t="shared" si="9"/>
        <v>1124.0405555522671</v>
      </c>
      <c r="AJ109" s="62">
        <f t="shared" si="10"/>
        <v>851.07589788520329</v>
      </c>
      <c r="AK109" s="11"/>
      <c r="AL109">
        <f t="shared" si="14"/>
        <v>153.34203170731706</v>
      </c>
      <c r="AQ109" s="332">
        <f t="shared" si="15"/>
        <v>156.09865005192108</v>
      </c>
      <c r="AR109" s="332">
        <f t="shared" si="16"/>
        <v>106.29078212290503</v>
      </c>
      <c r="AT109">
        <f t="shared" si="17"/>
        <v>5.010766666666667</v>
      </c>
      <c r="AU109">
        <f t="shared" si="18"/>
        <v>3.8052099999999998</v>
      </c>
    </row>
    <row r="110" spans="3:47" x14ac:dyDescent="0.25">
      <c r="C110" s="334">
        <v>41244</v>
      </c>
      <c r="D110" s="224">
        <v>660.19</v>
      </c>
      <c r="E110" s="13">
        <v>673.19</v>
      </c>
      <c r="F110" s="13">
        <v>735.63</v>
      </c>
      <c r="G110" s="13">
        <v>741.03</v>
      </c>
      <c r="H110" s="13">
        <v>731.12800000000004</v>
      </c>
      <c r="I110" s="13">
        <v>1531.421</v>
      </c>
      <c r="J110" s="13">
        <v>8.8252000000000006</v>
      </c>
      <c r="K110" s="14">
        <v>109.04</v>
      </c>
      <c r="L110" s="335">
        <f t="shared" si="19"/>
        <v>962.2998080000001</v>
      </c>
      <c r="M110" s="224">
        <f t="shared" si="23"/>
        <v>666.69</v>
      </c>
      <c r="N110" s="14">
        <f t="shared" si="20"/>
        <v>736.07899999999995</v>
      </c>
      <c r="O110" s="224">
        <f t="shared" si="21"/>
        <v>683.28856875772226</v>
      </c>
      <c r="P110" s="13">
        <f t="shared" si="22"/>
        <v>730.31038839222856</v>
      </c>
      <c r="Q110" s="13"/>
      <c r="R110" s="13"/>
      <c r="S110" s="224">
        <v>1178</v>
      </c>
      <c r="T110" s="13">
        <v>1166</v>
      </c>
      <c r="U110" s="13">
        <v>1201</v>
      </c>
      <c r="V110" s="13">
        <v>1138.95</v>
      </c>
      <c r="W110" s="13">
        <v>1114.25</v>
      </c>
      <c r="X110" s="13">
        <v>824.12800000000004</v>
      </c>
      <c r="Y110" s="14">
        <v>866.02800000000002</v>
      </c>
      <c r="Z110" s="224">
        <f t="shared" si="24"/>
        <v>1181.6666666666667</v>
      </c>
      <c r="AA110" s="13">
        <f t="shared" si="25"/>
        <v>1126.5999999999999</v>
      </c>
      <c r="AB110" s="13">
        <f t="shared" si="26"/>
        <v>845.07799999999997</v>
      </c>
      <c r="AC110" s="13">
        <v>2238</v>
      </c>
      <c r="AD110" s="224">
        <f t="shared" si="12"/>
        <v>1166.9405710778692</v>
      </c>
      <c r="AE110" s="13">
        <f t="shared" si="7"/>
        <v>1097.4533154780361</v>
      </c>
      <c r="AF110" s="13">
        <f t="shared" si="8"/>
        <v>827.47871994994523</v>
      </c>
      <c r="AG110" s="13"/>
      <c r="AH110" s="225">
        <f t="shared" si="13"/>
        <v>1144.6045809829961</v>
      </c>
      <c r="AI110" s="226">
        <f t="shared" si="9"/>
        <v>1105.1855271623785</v>
      </c>
      <c r="AJ110" s="226">
        <f t="shared" si="10"/>
        <v>836.11062143307572</v>
      </c>
      <c r="AK110" s="14"/>
      <c r="AL110">
        <f t="shared" si="14"/>
        <v>156.47151349593497</v>
      </c>
      <c r="AQ110" s="332">
        <f t="shared" si="15"/>
        <v>160.42886812045691</v>
      </c>
      <c r="AR110" s="332">
        <f t="shared" si="16"/>
        <v>109.08407821229049</v>
      </c>
      <c r="AT110">
        <f t="shared" si="17"/>
        <v>5.1497666666666673</v>
      </c>
      <c r="AU110">
        <f t="shared" si="18"/>
        <v>3.905209999999999</v>
      </c>
    </row>
    <row r="111" spans="3:47" x14ac:dyDescent="0.25">
      <c r="E111" s="336">
        <v>884.85</v>
      </c>
      <c r="F111" s="336">
        <v>769</v>
      </c>
    </row>
    <row r="112" spans="3:47" x14ac:dyDescent="0.25">
      <c r="AM112" t="s">
        <v>493</v>
      </c>
      <c r="AN112" t="s">
        <v>496</v>
      </c>
      <c r="AO112">
        <v>0.82</v>
      </c>
    </row>
    <row r="113" spans="3:41" x14ac:dyDescent="0.25">
      <c r="AM113" t="s">
        <v>262</v>
      </c>
      <c r="AN113" t="s">
        <v>262</v>
      </c>
    </row>
    <row r="114" spans="3:41" x14ac:dyDescent="0.25">
      <c r="C114" s="22">
        <v>44197</v>
      </c>
      <c r="D114">
        <v>512.16999999999996</v>
      </c>
      <c r="E114">
        <v>519.16999999999996</v>
      </c>
      <c r="F114">
        <v>541.63</v>
      </c>
      <c r="G114">
        <v>543.03</v>
      </c>
      <c r="H114">
        <v>527.12800000000004</v>
      </c>
      <c r="I114">
        <v>926.43899999999996</v>
      </c>
      <c r="J114">
        <v>14.939</v>
      </c>
      <c r="K114">
        <v>49.2</v>
      </c>
      <c r="L114" s="335">
        <f t="shared" ref="L114:L116" si="27">K114*J114</f>
        <v>734.99880000000007</v>
      </c>
      <c r="M114" s="224">
        <f t="shared" ref="M114:M116" si="28">AVERAGE(D114:E114)</f>
        <v>515.66999999999996</v>
      </c>
      <c r="N114" s="14">
        <f t="shared" ref="N114:N116" si="29">AVERAGE(G114:H114)</f>
        <v>535.07899999999995</v>
      </c>
      <c r="AM114" s="93">
        <f>1/$AC$8/100*M114*1000</f>
        <v>150.78070175438597</v>
      </c>
      <c r="AN114" s="93">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35">
        <f t="shared" si="27"/>
        <v>801.11969999999997</v>
      </c>
      <c r="M115" s="224">
        <f t="shared" si="28"/>
        <v>596.66999999999996</v>
      </c>
      <c r="N115" s="14">
        <f t="shared" si="29"/>
        <v>594.07899999999995</v>
      </c>
      <c r="AM115" s="93">
        <f t="shared" ref="AM115:AM116" si="30">1/$AC$8/100*M115*1000</f>
        <v>174.46491228070175</v>
      </c>
      <c r="AN115" s="93">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35">
        <f t="shared" si="27"/>
        <v>885.78</v>
      </c>
      <c r="M116" s="224">
        <f t="shared" si="28"/>
        <v>661.67</v>
      </c>
      <c r="N116" s="14">
        <f t="shared" si="29"/>
        <v>645.57899999999995</v>
      </c>
      <c r="AM116" s="93">
        <f t="shared" si="30"/>
        <v>193.47076023391813</v>
      </c>
      <c r="AN116" s="93">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309" t="s">
        <v>1184</v>
      </c>
      <c r="C2" s="309"/>
      <c r="D2" s="309"/>
      <c r="E2" s="309"/>
      <c r="F2" s="309"/>
    </row>
    <row r="3" spans="2:55" ht="15.75" thickTop="1" x14ac:dyDescent="0.25"/>
    <row r="9" spans="2:55" x14ac:dyDescent="0.25">
      <c r="G9" t="s">
        <v>777</v>
      </c>
      <c r="H9" t="s">
        <v>778</v>
      </c>
      <c r="I9" t="s">
        <v>779</v>
      </c>
    </row>
    <row r="10" spans="2:55" x14ac:dyDescent="0.25">
      <c r="B10" t="s">
        <v>780</v>
      </c>
      <c r="G10">
        <v>2009</v>
      </c>
      <c r="H10">
        <v>60.4</v>
      </c>
      <c r="I10" s="312">
        <f>H10*[11]Deflator!U20/[11]Deflator!T20</f>
        <v>61.096005114485806</v>
      </c>
      <c r="V10" t="s">
        <v>781</v>
      </c>
      <c r="AO10" t="s">
        <v>782</v>
      </c>
    </row>
    <row r="12" spans="2:55" ht="15.75" thickBot="1" x14ac:dyDescent="0.3">
      <c r="B12" t="s">
        <v>783</v>
      </c>
      <c r="D12" t="s">
        <v>784</v>
      </c>
      <c r="I12" t="s">
        <v>785</v>
      </c>
      <c r="N12">
        <v>450</v>
      </c>
      <c r="T12" t="s">
        <v>786</v>
      </c>
      <c r="V12" t="s">
        <v>784</v>
      </c>
      <c r="AA12" t="s">
        <v>785</v>
      </c>
      <c r="AF12">
        <v>450</v>
      </c>
      <c r="AM12" t="s">
        <v>787</v>
      </c>
      <c r="AO12" t="s">
        <v>784</v>
      </c>
      <c r="AT12" t="s">
        <v>785</v>
      </c>
      <c r="AY12">
        <v>450</v>
      </c>
    </row>
    <row r="13" spans="2:55" x14ac:dyDescent="0.25">
      <c r="C13">
        <v>2010</v>
      </c>
      <c r="D13" s="116">
        <v>2015</v>
      </c>
      <c r="E13" s="236">
        <v>2020</v>
      </c>
      <c r="F13" s="236">
        <v>2025</v>
      </c>
      <c r="G13" s="236">
        <v>2030</v>
      </c>
      <c r="H13" s="237">
        <v>2035</v>
      </c>
      <c r="I13" s="116">
        <v>2015</v>
      </c>
      <c r="J13" s="236">
        <v>2020</v>
      </c>
      <c r="K13" s="236">
        <v>2025</v>
      </c>
      <c r="L13" s="236">
        <v>2030</v>
      </c>
      <c r="M13" s="237">
        <v>2035</v>
      </c>
      <c r="N13" s="116">
        <v>2015</v>
      </c>
      <c r="O13" s="236">
        <v>2020</v>
      </c>
      <c r="P13" s="236">
        <v>2025</v>
      </c>
      <c r="Q13" s="236">
        <v>2030</v>
      </c>
      <c r="R13" s="237">
        <v>2035</v>
      </c>
      <c r="U13">
        <v>2011</v>
      </c>
      <c r="V13" s="116">
        <v>2015</v>
      </c>
      <c r="W13" s="236">
        <v>2020</v>
      </c>
      <c r="X13" s="236">
        <v>2025</v>
      </c>
      <c r="Y13" s="236">
        <v>2030</v>
      </c>
      <c r="Z13" s="237">
        <v>2035</v>
      </c>
      <c r="AA13" s="116">
        <v>2015</v>
      </c>
      <c r="AB13" s="236">
        <v>2020</v>
      </c>
      <c r="AC13" s="236">
        <v>2025</v>
      </c>
      <c r="AD13" s="236">
        <v>2030</v>
      </c>
      <c r="AE13" s="237">
        <v>2035</v>
      </c>
      <c r="AF13" s="116">
        <v>2015</v>
      </c>
      <c r="AG13" s="236">
        <v>2020</v>
      </c>
      <c r="AH13" s="236">
        <v>2025</v>
      </c>
      <c r="AI13" s="236">
        <v>2030</v>
      </c>
      <c r="AJ13" s="237">
        <v>2035</v>
      </c>
      <c r="AN13">
        <v>2012</v>
      </c>
      <c r="AO13" s="116">
        <v>2015</v>
      </c>
      <c r="AP13" s="236">
        <v>2020</v>
      </c>
      <c r="AQ13" s="236">
        <v>2025</v>
      </c>
      <c r="AR13" s="236">
        <v>2030</v>
      </c>
      <c r="AS13" s="237">
        <v>2035</v>
      </c>
      <c r="AT13" s="116">
        <v>2015</v>
      </c>
      <c r="AU13" s="236">
        <v>2020</v>
      </c>
      <c r="AV13" s="236">
        <v>2025</v>
      </c>
      <c r="AW13" s="236">
        <v>2030</v>
      </c>
      <c r="AX13" s="237">
        <v>2035</v>
      </c>
      <c r="AY13" s="116">
        <v>2015</v>
      </c>
      <c r="AZ13" s="236">
        <v>2020</v>
      </c>
      <c r="BA13" s="236">
        <v>2025</v>
      </c>
      <c r="BB13" s="236">
        <v>2030</v>
      </c>
      <c r="BC13" s="237">
        <v>2035</v>
      </c>
    </row>
    <row r="14" spans="2:55" x14ac:dyDescent="0.25">
      <c r="B14" t="s">
        <v>788</v>
      </c>
      <c r="C14">
        <v>78.099999999999994</v>
      </c>
      <c r="D14" s="80">
        <v>102</v>
      </c>
      <c r="E14">
        <v>108.6</v>
      </c>
      <c r="F14">
        <v>113.6</v>
      </c>
      <c r="G14">
        <v>117.3</v>
      </c>
      <c r="H14" s="256">
        <v>120</v>
      </c>
      <c r="I14" s="80">
        <v>106.3</v>
      </c>
      <c r="J14">
        <v>118.1</v>
      </c>
      <c r="K14">
        <v>127.3</v>
      </c>
      <c r="L14">
        <v>134.5</v>
      </c>
      <c r="M14" s="256">
        <v>140</v>
      </c>
      <c r="N14" s="80">
        <v>97</v>
      </c>
      <c r="O14">
        <v>97</v>
      </c>
      <c r="P14">
        <v>97</v>
      </c>
      <c r="Q14">
        <v>97</v>
      </c>
      <c r="R14" s="256">
        <v>97</v>
      </c>
      <c r="T14" t="s">
        <v>788</v>
      </c>
      <c r="U14">
        <v>107.6</v>
      </c>
      <c r="V14" s="80">
        <v>116</v>
      </c>
      <c r="W14">
        <v>119.5</v>
      </c>
      <c r="X14">
        <v>121.9</v>
      </c>
      <c r="Y14">
        <v>123.6</v>
      </c>
      <c r="Z14" s="256">
        <v>125</v>
      </c>
      <c r="AA14" s="80">
        <v>118.4</v>
      </c>
      <c r="AB14">
        <v>128.30000000000001</v>
      </c>
      <c r="AC14">
        <v>135.6</v>
      </c>
      <c r="AD14">
        <v>141.1</v>
      </c>
      <c r="AE14" s="256">
        <v>145</v>
      </c>
      <c r="AF14" s="80">
        <v>115.3</v>
      </c>
      <c r="AG14">
        <v>113.3</v>
      </c>
      <c r="AH14">
        <v>109.1</v>
      </c>
      <c r="AI14">
        <v>104.7</v>
      </c>
      <c r="AJ14" s="256">
        <v>100</v>
      </c>
      <c r="AM14" t="s">
        <v>788</v>
      </c>
      <c r="AN14">
        <v>109</v>
      </c>
      <c r="AO14" s="80">
        <f>(AN14*5+AP14*3)/8</f>
        <v>110.5</v>
      </c>
      <c r="AP14" s="80">
        <v>113</v>
      </c>
      <c r="AQ14">
        <v>116</v>
      </c>
      <c r="AR14">
        <v>121</v>
      </c>
      <c r="AS14" s="256">
        <v>128</v>
      </c>
      <c r="AT14" s="340">
        <f>(AN14*5+AU14*3)/8</f>
        <v>113.125</v>
      </c>
      <c r="AU14">
        <v>120</v>
      </c>
      <c r="AV14">
        <v>127</v>
      </c>
      <c r="AW14">
        <v>136</v>
      </c>
      <c r="AX14" s="256">
        <v>145</v>
      </c>
      <c r="AY14" s="340">
        <f>(AN14*5+AZ14*3)/8</f>
        <v>109.375</v>
      </c>
      <c r="AZ14">
        <v>110</v>
      </c>
      <c r="BA14">
        <v>107</v>
      </c>
      <c r="BB14">
        <v>104</v>
      </c>
      <c r="BC14" s="256">
        <v>100</v>
      </c>
    </row>
    <row r="15" spans="2:55" x14ac:dyDescent="0.25">
      <c r="B15" t="s">
        <v>789</v>
      </c>
      <c r="D15" s="80"/>
      <c r="H15" s="256"/>
      <c r="I15" s="80"/>
      <c r="M15" s="256"/>
      <c r="N15" s="80"/>
      <c r="R15" s="256"/>
      <c r="T15" t="s">
        <v>789</v>
      </c>
      <c r="V15" s="80"/>
      <c r="Z15" s="256"/>
      <c r="AA15" s="80"/>
      <c r="AE15" s="256"/>
      <c r="AF15" s="80"/>
      <c r="AJ15" s="256"/>
      <c r="AM15" t="s">
        <v>789</v>
      </c>
      <c r="AO15" s="80"/>
      <c r="AP15" s="80"/>
      <c r="AS15" s="256"/>
      <c r="AT15" s="80"/>
      <c r="AX15" s="256"/>
      <c r="AY15" s="80"/>
      <c r="BC15" s="256"/>
    </row>
    <row r="16" spans="2:55" x14ac:dyDescent="0.25">
      <c r="B16" t="s">
        <v>790</v>
      </c>
      <c r="C16">
        <v>4.4000000000000004</v>
      </c>
      <c r="D16" s="80">
        <v>6</v>
      </c>
      <c r="E16">
        <v>6.7</v>
      </c>
      <c r="F16">
        <v>7.3</v>
      </c>
      <c r="G16">
        <v>7.9</v>
      </c>
      <c r="H16" s="256">
        <v>8.6</v>
      </c>
      <c r="I16" s="80">
        <v>6.1</v>
      </c>
      <c r="J16">
        <v>7</v>
      </c>
      <c r="K16">
        <v>7.7</v>
      </c>
      <c r="L16">
        <v>8.4</v>
      </c>
      <c r="M16" s="256">
        <v>9</v>
      </c>
      <c r="N16" s="80">
        <v>5.9</v>
      </c>
      <c r="O16">
        <v>6.5</v>
      </c>
      <c r="P16">
        <v>8</v>
      </c>
      <c r="Q16">
        <v>8.4</v>
      </c>
      <c r="R16" s="256">
        <v>7.8</v>
      </c>
      <c r="T16" t="s">
        <v>790</v>
      </c>
      <c r="U16">
        <v>4.0999999999999996</v>
      </c>
      <c r="V16" s="80">
        <v>4.5999999999999996</v>
      </c>
      <c r="W16">
        <v>5.4</v>
      </c>
      <c r="X16">
        <v>6.3</v>
      </c>
      <c r="Y16">
        <v>7.1</v>
      </c>
      <c r="Z16" s="256">
        <v>8</v>
      </c>
      <c r="AA16" s="80">
        <v>4.5999999999999996</v>
      </c>
      <c r="AB16">
        <v>5.5</v>
      </c>
      <c r="AC16">
        <v>6.4</v>
      </c>
      <c r="AD16">
        <v>7.2</v>
      </c>
      <c r="AE16" s="256">
        <v>8</v>
      </c>
      <c r="AF16" s="80">
        <v>4.4000000000000004</v>
      </c>
      <c r="AG16">
        <v>5.5</v>
      </c>
      <c r="AH16">
        <v>6.9</v>
      </c>
      <c r="AI16">
        <v>7.6</v>
      </c>
      <c r="AJ16" s="256">
        <v>7.6</v>
      </c>
      <c r="AM16" t="s">
        <v>790</v>
      </c>
      <c r="AN16">
        <v>2.7</v>
      </c>
      <c r="AO16" s="341">
        <f>(AN16*5+AP16*3)/8</f>
        <v>3.5999999999999996</v>
      </c>
      <c r="AP16" s="80">
        <v>5.0999999999999996</v>
      </c>
      <c r="AQ16">
        <v>5.6</v>
      </c>
      <c r="AR16">
        <v>6</v>
      </c>
      <c r="AS16" s="256">
        <v>6.8</v>
      </c>
      <c r="AT16" s="340">
        <f>(AN16*5+AU16*3)/8</f>
        <v>3.6375000000000002</v>
      </c>
      <c r="AU16">
        <v>5.2</v>
      </c>
      <c r="AV16">
        <v>5.8</v>
      </c>
      <c r="AW16">
        <v>6.2</v>
      </c>
      <c r="AX16" s="256">
        <v>6.9</v>
      </c>
      <c r="AY16" s="340">
        <f>(AN16*5+AZ16*3)/8</f>
        <v>3.4874999999999998</v>
      </c>
      <c r="AZ16">
        <v>4.8</v>
      </c>
      <c r="BA16">
        <v>5.4</v>
      </c>
      <c r="BB16">
        <v>5.7</v>
      </c>
      <c r="BC16" s="256">
        <v>5.9</v>
      </c>
    </row>
    <row r="17" spans="2:68" x14ac:dyDescent="0.25">
      <c r="B17" t="s">
        <v>791</v>
      </c>
      <c r="C17">
        <v>7.5</v>
      </c>
      <c r="D17" s="80">
        <v>9.6</v>
      </c>
      <c r="E17">
        <v>10.4</v>
      </c>
      <c r="F17">
        <v>11.1</v>
      </c>
      <c r="G17">
        <v>11.7</v>
      </c>
      <c r="H17" s="256">
        <v>12.1</v>
      </c>
      <c r="I17" s="80">
        <v>9.8000000000000007</v>
      </c>
      <c r="J17">
        <v>11</v>
      </c>
      <c r="K17">
        <v>11.9</v>
      </c>
      <c r="L17">
        <v>12.6</v>
      </c>
      <c r="M17" s="256">
        <v>13</v>
      </c>
      <c r="N17" s="80">
        <v>9.4</v>
      </c>
      <c r="O17">
        <v>9.8000000000000007</v>
      </c>
      <c r="P17">
        <v>9.8000000000000007</v>
      </c>
      <c r="Q17">
        <v>9.6999999999999993</v>
      </c>
      <c r="R17" s="256">
        <v>9.4</v>
      </c>
      <c r="T17" t="s">
        <v>791</v>
      </c>
      <c r="U17">
        <v>9.6</v>
      </c>
      <c r="V17" s="80">
        <v>11</v>
      </c>
      <c r="W17">
        <v>11.5</v>
      </c>
      <c r="X17">
        <v>11.9</v>
      </c>
      <c r="Y17">
        <v>12.2</v>
      </c>
      <c r="Z17" s="256">
        <v>12.5</v>
      </c>
      <c r="AA17" s="80">
        <v>11.1</v>
      </c>
      <c r="AB17">
        <v>12.1</v>
      </c>
      <c r="AC17">
        <v>12.9</v>
      </c>
      <c r="AD17">
        <v>13.4</v>
      </c>
      <c r="AE17" s="256">
        <v>13.7</v>
      </c>
      <c r="AF17" s="80">
        <v>10.9</v>
      </c>
      <c r="AG17">
        <v>10.8</v>
      </c>
      <c r="AH17">
        <v>10.4</v>
      </c>
      <c r="AI17">
        <v>10</v>
      </c>
      <c r="AJ17" s="256">
        <v>9.6</v>
      </c>
      <c r="AM17" t="s">
        <v>791</v>
      </c>
      <c r="AN17">
        <v>11.7</v>
      </c>
      <c r="AO17" s="341">
        <f>(AN17*5+AP17*3)/8</f>
        <v>11.775</v>
      </c>
      <c r="AP17" s="80">
        <v>11.9</v>
      </c>
      <c r="AQ17">
        <v>12</v>
      </c>
      <c r="AR17">
        <v>12.3</v>
      </c>
      <c r="AS17" s="256">
        <v>12.7</v>
      </c>
      <c r="AT17" s="340">
        <f>(AN17*5+AU17*3)/8</f>
        <v>11.9625</v>
      </c>
      <c r="AU17">
        <v>12.4</v>
      </c>
      <c r="AV17">
        <v>12.9</v>
      </c>
      <c r="AW17">
        <v>13.4</v>
      </c>
      <c r="AX17" s="256">
        <v>14</v>
      </c>
      <c r="AY17" s="340">
        <f>(AN17*5+AZ17*3)/8</f>
        <v>11.625</v>
      </c>
      <c r="AZ17">
        <v>11.5</v>
      </c>
      <c r="BA17">
        <v>11</v>
      </c>
      <c r="BB17">
        <v>10.199999999999999</v>
      </c>
      <c r="BC17" s="256">
        <v>9.5</v>
      </c>
      <c r="BJ17">
        <v>2010</v>
      </c>
      <c r="BK17">
        <f>BJ17+5</f>
        <v>2015</v>
      </c>
      <c r="BL17">
        <v>2020</v>
      </c>
      <c r="BM17">
        <v>2025</v>
      </c>
      <c r="BN17">
        <v>2030</v>
      </c>
      <c r="BO17">
        <v>2035</v>
      </c>
      <c r="BP17">
        <v>2040</v>
      </c>
    </row>
    <row r="18" spans="2:68" x14ac:dyDescent="0.25">
      <c r="B18" t="s">
        <v>792</v>
      </c>
      <c r="C18">
        <v>11</v>
      </c>
      <c r="D18" s="80">
        <v>12.2</v>
      </c>
      <c r="E18">
        <v>12.9</v>
      </c>
      <c r="F18">
        <v>13.4</v>
      </c>
      <c r="G18">
        <v>13.9</v>
      </c>
      <c r="H18" s="256">
        <v>14.3</v>
      </c>
      <c r="I18" s="80">
        <v>12.7</v>
      </c>
      <c r="J18">
        <v>13.5</v>
      </c>
      <c r="K18">
        <v>14.2</v>
      </c>
      <c r="L18">
        <v>14.8</v>
      </c>
      <c r="M18" s="256">
        <v>15.2</v>
      </c>
      <c r="N18" s="80">
        <v>11.9</v>
      </c>
      <c r="O18">
        <v>12</v>
      </c>
      <c r="P18">
        <v>12</v>
      </c>
      <c r="Q18">
        <v>12.1</v>
      </c>
      <c r="R18" s="256">
        <v>12.1</v>
      </c>
      <c r="T18" t="s">
        <v>792</v>
      </c>
      <c r="U18">
        <v>14.8</v>
      </c>
      <c r="V18" s="80">
        <v>15</v>
      </c>
      <c r="W18">
        <v>14.3</v>
      </c>
      <c r="X18">
        <v>14.5</v>
      </c>
      <c r="Y18">
        <v>14.7</v>
      </c>
      <c r="Z18" s="256">
        <v>14.8</v>
      </c>
      <c r="AA18" s="80">
        <v>15.3</v>
      </c>
      <c r="AB18">
        <v>14.7</v>
      </c>
      <c r="AC18">
        <v>15.2</v>
      </c>
      <c r="AD18">
        <v>15.6</v>
      </c>
      <c r="AE18" s="256">
        <v>16</v>
      </c>
      <c r="AF18" s="80">
        <v>14.9</v>
      </c>
      <c r="AG18">
        <v>13.5</v>
      </c>
      <c r="AH18">
        <v>12.9</v>
      </c>
      <c r="AI18">
        <v>12.5</v>
      </c>
      <c r="AJ18" s="256">
        <v>12.2</v>
      </c>
      <c r="AM18" t="s">
        <v>792</v>
      </c>
      <c r="AN18">
        <v>16.899999999999999</v>
      </c>
      <c r="AO18" s="341">
        <f>(AN18*5+AP18*3)/8</f>
        <v>15.887499999999999</v>
      </c>
      <c r="AP18" s="80">
        <v>14.2</v>
      </c>
      <c r="AQ18">
        <v>14.2</v>
      </c>
      <c r="AR18">
        <v>14.4</v>
      </c>
      <c r="AS18" s="256">
        <v>14.9</v>
      </c>
      <c r="AT18" s="340">
        <f>(AN18*5+AU18*3)/8</f>
        <v>16.074999999999999</v>
      </c>
      <c r="AU18">
        <v>14.7</v>
      </c>
      <c r="AV18">
        <v>15.2</v>
      </c>
      <c r="AW18">
        <v>15.9</v>
      </c>
      <c r="AX18" s="256">
        <v>16.7</v>
      </c>
      <c r="AY18" s="340">
        <f>(AN18*5+AZ18*3)/8</f>
        <v>15.5875</v>
      </c>
      <c r="AZ18">
        <v>13.4</v>
      </c>
      <c r="BA18">
        <v>12.8</v>
      </c>
      <c r="BB18">
        <v>12.2</v>
      </c>
      <c r="BC18" s="256">
        <v>11.7</v>
      </c>
      <c r="BI18" t="s">
        <v>157</v>
      </c>
      <c r="BJ18">
        <v>12.09</v>
      </c>
      <c r="BK18">
        <v>15.98453488</v>
      </c>
      <c r="BL18">
        <v>19.88</v>
      </c>
      <c r="BM18">
        <v>21.242425820000001</v>
      </c>
      <c r="BN18">
        <v>22.6</v>
      </c>
      <c r="BO18">
        <v>23.378894710000001</v>
      </c>
      <c r="BP18">
        <v>24.154876730000002</v>
      </c>
    </row>
    <row r="19" spans="2:68" ht="15.75" thickBot="1" x14ac:dyDescent="0.3">
      <c r="B19" t="s">
        <v>793</v>
      </c>
      <c r="C19">
        <v>99.2</v>
      </c>
      <c r="D19" s="342">
        <v>103.7</v>
      </c>
      <c r="E19" s="106">
        <v>106.3</v>
      </c>
      <c r="F19" s="106">
        <v>108.1</v>
      </c>
      <c r="G19" s="106">
        <v>109.3</v>
      </c>
      <c r="H19" s="241">
        <v>110</v>
      </c>
      <c r="I19" s="342">
        <v>104.6</v>
      </c>
      <c r="J19" s="106">
        <v>109</v>
      </c>
      <c r="K19" s="106">
        <v>112.8</v>
      </c>
      <c r="L19" s="106">
        <v>115.9</v>
      </c>
      <c r="M19" s="241">
        <v>118.4</v>
      </c>
      <c r="N19" s="342">
        <v>100.3</v>
      </c>
      <c r="O19" s="106">
        <v>93.3</v>
      </c>
      <c r="P19" s="106">
        <v>83.2</v>
      </c>
      <c r="Q19" s="106">
        <v>73.7</v>
      </c>
      <c r="R19" s="241">
        <v>67.7</v>
      </c>
      <c r="T19" t="s">
        <v>793</v>
      </c>
      <c r="U19">
        <v>123.4</v>
      </c>
      <c r="V19" s="342">
        <v>108.5</v>
      </c>
      <c r="W19" s="106">
        <v>112</v>
      </c>
      <c r="X19" s="106">
        <v>113</v>
      </c>
      <c r="Y19" s="106">
        <v>114</v>
      </c>
      <c r="Z19" s="241">
        <v>115</v>
      </c>
      <c r="AA19" s="342">
        <v>110</v>
      </c>
      <c r="AB19" s="106">
        <v>115</v>
      </c>
      <c r="AC19" s="106">
        <v>119.2</v>
      </c>
      <c r="AD19" s="106">
        <v>122.5</v>
      </c>
      <c r="AE19" s="241">
        <v>125</v>
      </c>
      <c r="AF19" s="342">
        <v>105.3</v>
      </c>
      <c r="AG19" s="106">
        <v>97.5</v>
      </c>
      <c r="AH19" s="106">
        <v>89</v>
      </c>
      <c r="AI19" s="106">
        <v>78</v>
      </c>
      <c r="AJ19" s="241">
        <v>70</v>
      </c>
      <c r="AM19" t="s">
        <v>793</v>
      </c>
      <c r="AN19">
        <v>99</v>
      </c>
      <c r="AO19" s="343">
        <f>(AN19*5+AP19*3)/8</f>
        <v>101.625</v>
      </c>
      <c r="AP19" s="342">
        <v>106</v>
      </c>
      <c r="AQ19" s="106">
        <v>109</v>
      </c>
      <c r="AR19" s="106">
        <v>110</v>
      </c>
      <c r="AS19" s="241">
        <v>110</v>
      </c>
      <c r="AT19" s="342">
        <f>(AN19*5+AU19*3)/8</f>
        <v>103.875</v>
      </c>
      <c r="AU19" s="106">
        <v>112</v>
      </c>
      <c r="AV19" s="106">
        <v>116</v>
      </c>
      <c r="AW19" s="241">
        <v>118</v>
      </c>
      <c r="AX19" s="342">
        <v>120</v>
      </c>
      <c r="AY19" s="106">
        <f>(AN19*5+AZ19*3)/8</f>
        <v>99.75</v>
      </c>
      <c r="AZ19" s="106">
        <v>101</v>
      </c>
      <c r="BA19" s="106">
        <v>95</v>
      </c>
      <c r="BB19" s="106">
        <v>86</v>
      </c>
      <c r="BC19" s="241">
        <v>75</v>
      </c>
      <c r="BI19" t="s">
        <v>161</v>
      </c>
      <c r="BJ19">
        <v>6.05</v>
      </c>
      <c r="BK19">
        <v>7.99</v>
      </c>
      <c r="BL19">
        <v>9.94</v>
      </c>
      <c r="BM19">
        <v>10.62</v>
      </c>
      <c r="BN19">
        <v>11.3</v>
      </c>
      <c r="BO19">
        <v>11.69</v>
      </c>
      <c r="BP19">
        <v>12.08</v>
      </c>
    </row>
    <row r="20" spans="2:68" x14ac:dyDescent="0.25">
      <c r="D20" s="93">
        <f>(D19/C19)/(D14/C14)</f>
        <v>0.80042002688172043</v>
      </c>
      <c r="E20" s="93">
        <f>(E19/D19)/(E14/D14)</f>
        <v>0.96277511095009505</v>
      </c>
      <c r="F20" s="93">
        <f t="shared" ref="F20:R20" si="0">(F19/E19)/(F14/E14)</f>
        <v>0.97217382375154016</v>
      </c>
      <c r="G20" s="93">
        <f t="shared" si="0"/>
        <v>0.97920762642023396</v>
      </c>
      <c r="H20" s="93">
        <f t="shared" si="0"/>
        <v>0.98376029277218657</v>
      </c>
      <c r="I20" s="93">
        <f>(I19/C19)/(I14/C14)</f>
        <v>0.77470753800867898</v>
      </c>
      <c r="J20" s="93">
        <f t="shared" si="0"/>
        <v>0.93794674442212023</v>
      </c>
      <c r="K20" s="93">
        <f t="shared" si="0"/>
        <v>0.96007264498367662</v>
      </c>
      <c r="L20" s="93">
        <f t="shared" si="0"/>
        <v>0.97247950117324478</v>
      </c>
      <c r="M20" s="93">
        <f t="shared" si="0"/>
        <v>0.98143719955626774</v>
      </c>
      <c r="N20" s="93">
        <f>(N19/C19)/(N14/C14)</f>
        <v>0.81408276521449929</v>
      </c>
      <c r="O20" s="93">
        <f t="shared" si="0"/>
        <v>0.93020937188434694</v>
      </c>
      <c r="P20" s="93">
        <f t="shared" si="0"/>
        <v>0.89174705251875674</v>
      </c>
      <c r="Q20" s="93">
        <f t="shared" si="0"/>
        <v>0.88581730769230771</v>
      </c>
      <c r="R20" s="93">
        <f t="shared" si="0"/>
        <v>0.91858887381275445</v>
      </c>
      <c r="V20" s="93">
        <f>(V19/U19)/(V14/U14)</f>
        <v>0.8155843067121219</v>
      </c>
      <c r="W20" s="93">
        <f>(W19/V19)/(W14/V14)</f>
        <v>1.0020245647185855</v>
      </c>
      <c r="X20" s="93">
        <f>(X19/W19)/(X14/W14)</f>
        <v>0.98906451423883734</v>
      </c>
      <c r="Y20" s="93">
        <f>(Y19/X19)/(Y14/X14)</f>
        <v>0.99497379499957062</v>
      </c>
      <c r="Z20" s="93">
        <f>(Z19/Y19)/(Z14/Y14)</f>
        <v>0.99747368421052618</v>
      </c>
      <c r="AA20" s="93">
        <f>(AA19/U19)/(AA14/U14)</f>
        <v>0.8100989968899206</v>
      </c>
      <c r="AB20" s="93">
        <f>(AB19/AA19)/(AB14/AA14)</f>
        <v>0.96478424147948694</v>
      </c>
      <c r="AC20" s="93">
        <f>(AC19/AB19)/(AC14/AB14)</f>
        <v>0.98072079004745438</v>
      </c>
      <c r="AD20" s="93">
        <f>(AD19/AC19)/(AD14/AC14)</f>
        <v>0.98762598756653142</v>
      </c>
      <c r="AE20" s="93">
        <f>(AE19/AD19)/(AE14/AD14)</f>
        <v>0.99296270232230821</v>
      </c>
      <c r="AF20" s="93">
        <f>(AF19/U19)/(AF14/U14)</f>
        <v>0.79633568128242704</v>
      </c>
      <c r="AG20" s="93">
        <f>(AG19/AF19)/(AG14/AF14)</f>
        <v>0.94227060246477723</v>
      </c>
      <c r="AH20" s="93">
        <f>(AH19/AG19)/(AH14/AG14)</f>
        <v>0.94796117417565628</v>
      </c>
      <c r="AI20" s="93">
        <f>(AI19/AH19)/(AI14/AH14)</f>
        <v>0.91323524677247991</v>
      </c>
      <c r="AJ20" s="93">
        <f>(AJ19/AI19)/(AJ14/AI14)</f>
        <v>0.93961538461538463</v>
      </c>
      <c r="AM20" t="s">
        <v>794</v>
      </c>
      <c r="AO20" s="93">
        <f>(AO19/AN19)/(AO14/AN14)</f>
        <v>1.0125805566982038</v>
      </c>
      <c r="AP20" s="93">
        <f>(AP19/AO19)/(AP14/AO14)</f>
        <v>1.0199740935462454</v>
      </c>
      <c r="AQ20" s="93">
        <f>(AQ19/AP19)/(AQ14/AP14)</f>
        <v>1.0017078724788551</v>
      </c>
      <c r="AR20" s="93">
        <f>(AR19/AQ19)/(AR14/AQ14)</f>
        <v>0.96747289407839854</v>
      </c>
      <c r="AS20" s="93">
        <f>(AS19/AR19)/(AS14/AR14)</f>
        <v>0.9453125</v>
      </c>
      <c r="AT20" s="93">
        <f>(AT19/AN19)/(AT14/AN14)</f>
        <v>1.0109827557341371</v>
      </c>
      <c r="AU20" s="93">
        <f>(AU19/AT19)/(AU14/AT14)</f>
        <v>1.0164460489370237</v>
      </c>
      <c r="AV20" s="93">
        <f>(AV19/AU19)/(AV14/AU14)</f>
        <v>0.97862767154105745</v>
      </c>
      <c r="AW20" s="93">
        <f>(AW19/AV19)/(AW14/AV14)</f>
        <v>0.9499239350912777</v>
      </c>
      <c r="AX20" s="93">
        <f>(AX19/AW19)/(AX14/AW14)</f>
        <v>0.95382817066043246</v>
      </c>
      <c r="AY20" s="93">
        <f>(AY19/AN19)/(AY14/AN14)</f>
        <v>1.0041212121212122</v>
      </c>
      <c r="AZ20" s="93">
        <f>(AZ19/AY19)/(AZ14/AY14)</f>
        <v>1.0067783094098883</v>
      </c>
      <c r="BA20" s="93">
        <f>(BA19/AZ19)/(BA14/AZ14)</f>
        <v>0.96696585546405101</v>
      </c>
      <c r="BB20" s="93">
        <f>(BB19/BA19)/(BB14/BA14)</f>
        <v>0.93137651821862355</v>
      </c>
      <c r="BC20" s="93">
        <f>(BC19/BB19)/(BC14/BB14)</f>
        <v>0.90697674418604646</v>
      </c>
      <c r="BI20" t="s">
        <v>207</v>
      </c>
      <c r="BJ20">
        <v>133.65790498578201</v>
      </c>
      <c r="BK20">
        <v>144.66341308052401</v>
      </c>
      <c r="BL20">
        <v>165.92115951130501</v>
      </c>
      <c r="BM20">
        <v>184.993407949881</v>
      </c>
      <c r="BN20">
        <v>206.056227652074</v>
      </c>
      <c r="BO20">
        <v>229.741908114235</v>
      </c>
      <c r="BP20">
        <v>257.405837873981</v>
      </c>
    </row>
    <row r="21" spans="2:68" x14ac:dyDescent="0.25">
      <c r="AM21" t="s">
        <v>795</v>
      </c>
      <c r="AO21" s="93">
        <f>(AO17/AN17)/(AO14/AN14)</f>
        <v>0.99274857872142952</v>
      </c>
      <c r="AP21" s="93">
        <f t="shared" ref="AP21:BC21" si="1">(AP17/AO17)/(AP14/AO14)</f>
        <v>0.98825695657892276</v>
      </c>
      <c r="AQ21" s="93">
        <f t="shared" si="1"/>
        <v>0.98232396406838596</v>
      </c>
      <c r="AR21" s="93">
        <f t="shared" si="1"/>
        <v>0.98264462809917363</v>
      </c>
      <c r="AS21" s="93">
        <f t="shared" si="1"/>
        <v>0.97605436991869909</v>
      </c>
      <c r="AT21" s="93">
        <f>(AT17/AN17)/(AT14/AN14)</f>
        <v>0.98515370449072126</v>
      </c>
      <c r="AU21" s="93">
        <f t="shared" si="1"/>
        <v>0.97718564959944276</v>
      </c>
      <c r="AV21" s="93">
        <f t="shared" si="1"/>
        <v>0.98298196596393184</v>
      </c>
      <c r="AW21" s="93">
        <f t="shared" si="1"/>
        <v>0.9700182398540812</v>
      </c>
      <c r="AX21" s="93">
        <f t="shared" si="1"/>
        <v>0.97992794647452386</v>
      </c>
      <c r="AY21" s="93">
        <f>(AY17/AN17)/(AY14/AN14)</f>
        <v>0.99018315018315028</v>
      </c>
      <c r="AZ21" s="93">
        <f t="shared" si="1"/>
        <v>0.98362658846529805</v>
      </c>
      <c r="BA21" s="93">
        <f t="shared" si="1"/>
        <v>0.98334010564811047</v>
      </c>
      <c r="BB21" s="93">
        <f t="shared" si="1"/>
        <v>0.95402097902097904</v>
      </c>
      <c r="BC21" s="93">
        <f t="shared" si="1"/>
        <v>0.96862745098039216</v>
      </c>
      <c r="BI21" t="s">
        <v>201</v>
      </c>
      <c r="BJ21">
        <v>6.25</v>
      </c>
      <c r="BK21">
        <v>6.25</v>
      </c>
      <c r="BL21">
        <v>6.25</v>
      </c>
      <c r="BM21">
        <v>6.25</v>
      </c>
      <c r="BN21">
        <v>6.25</v>
      </c>
      <c r="BO21">
        <v>6.25</v>
      </c>
      <c r="BP21">
        <v>6.25</v>
      </c>
    </row>
    <row r="22" spans="2:68" x14ac:dyDescent="0.25">
      <c r="T22" t="s">
        <v>796</v>
      </c>
      <c r="U22" t="s">
        <v>797</v>
      </c>
      <c r="AM22" t="s">
        <v>796</v>
      </c>
      <c r="AN22" t="s">
        <v>797</v>
      </c>
      <c r="BI22" t="s">
        <v>798</v>
      </c>
      <c r="BJ22">
        <v>55.690793744075798</v>
      </c>
      <c r="BK22">
        <v>60.276422116885101</v>
      </c>
      <c r="BL22">
        <v>69.133816463043999</v>
      </c>
      <c r="BM22">
        <v>77.080586645783796</v>
      </c>
      <c r="BN22">
        <v>85.856761521697706</v>
      </c>
      <c r="BO22">
        <v>95.725795047598098</v>
      </c>
      <c r="BP22">
        <v>107.252432447492</v>
      </c>
    </row>
    <row r="23" spans="2:68" x14ac:dyDescent="0.25">
      <c r="B23" t="s">
        <v>799</v>
      </c>
      <c r="D23" s="339">
        <f>(D14/C14)^(1/(D13-C13))-1</f>
        <v>5.4847863469976943E-2</v>
      </c>
      <c r="E23" s="339">
        <f>(E14/D14)^(1/(E13-D13))-1</f>
        <v>1.2618670784016128E-2</v>
      </c>
      <c r="F23" s="339">
        <f>(F14/E14)^(1/(F13-E13))-1</f>
        <v>9.0430634103768615E-3</v>
      </c>
      <c r="G23" s="339">
        <f>(G14/F14)^(1/(G13-F13))-1</f>
        <v>6.4308394975671757E-3</v>
      </c>
      <c r="H23" s="339">
        <f>(H14/G14)^(1/(H13-G13))-1</f>
        <v>4.5617707655429829E-3</v>
      </c>
      <c r="I23" s="339">
        <f>(I14/C14)^(1/(I13-C13))-1</f>
        <v>6.3595389637669753E-2</v>
      </c>
      <c r="J23" s="339">
        <f>(J14/I14)^(1/(J13-I13))-1</f>
        <v>2.1276471530135677E-2</v>
      </c>
      <c r="K23" s="339">
        <f>(K14/J14)^(1/(K13-J13))-1</f>
        <v>1.5116065773516763E-2</v>
      </c>
      <c r="L23" s="339">
        <f>(L14/K14)^(1/(L13-K13))-1</f>
        <v>1.1064300287287665E-2</v>
      </c>
      <c r="M23" s="339">
        <f>(M14/L14)^(1/(M13-L13))-1</f>
        <v>8.0478560007939404E-3</v>
      </c>
      <c r="N23" s="339">
        <f>(N14/C14)^(1/(N13-C13))-1</f>
        <v>4.4297263758155792E-2</v>
      </c>
      <c r="O23" s="339">
        <f>(O14/N14)^(1/(O13-N13))-1</f>
        <v>0</v>
      </c>
      <c r="P23" s="339">
        <f>(P14/O14)^(1/(P13-O13))-1</f>
        <v>0</v>
      </c>
      <c r="Q23" s="339">
        <f>(Q14/P14)^(1/(Q13-P13))-1</f>
        <v>0</v>
      </c>
      <c r="R23" s="339">
        <f>(R14/Q14)^(1/(R13-Q13))-1</f>
        <v>0</v>
      </c>
      <c r="T23" s="344">
        <f>C14/I10-1</f>
        <v>0.27831598569580707</v>
      </c>
      <c r="U23" s="344">
        <f>U14*[11]Deflator!U20/[11]Deflator!V20/C14-1</f>
        <v>0.34109185113451201</v>
      </c>
      <c r="V23" s="339">
        <f>(V14/U14)^(1/(V13-U13))-1</f>
        <v>1.8970074044000862E-2</v>
      </c>
      <c r="W23" s="339">
        <f>(W14/V14)^(1/(W13-V13))-1</f>
        <v>5.962944044239471E-3</v>
      </c>
      <c r="X23" s="339">
        <f>(X14/W14)^(1/(X13-W13))-1</f>
        <v>3.9848515148914743E-3</v>
      </c>
      <c r="Y23" s="339">
        <f>(Y14/X14)^(1/(Y13-X13))-1</f>
        <v>2.773741429406007E-3</v>
      </c>
      <c r="Z23" s="339">
        <f>(Z14/Y14)^(1/(Z13-Y13))-1</f>
        <v>2.2551775519457085E-3</v>
      </c>
      <c r="AA23" s="339">
        <f>(AA14/U14)^(1/(AA13-U13))-1</f>
        <v>2.4200203441211432E-2</v>
      </c>
      <c r="AB23" s="339">
        <f>(AB14/AA14)^(1/(AB13-AA13))-1</f>
        <v>1.6190173044798639E-2</v>
      </c>
      <c r="AC23" s="339">
        <f>(AC14/AB14)^(1/(AC13-AB13))-1</f>
        <v>1.1129093467930451E-2</v>
      </c>
      <c r="AD23" s="339">
        <f>(AD14/AC14)^(1/(AD13-AC13))-1</f>
        <v>7.9835969709516341E-3</v>
      </c>
      <c r="AE23" s="339">
        <f>(AE14/AD14)^(1/(AE13-AD13))-1</f>
        <v>5.4678712507574279E-3</v>
      </c>
      <c r="AF23" s="339">
        <f>(AF14/U14)^(1/(AF13-U13))-1</f>
        <v>1.7429343745218651E-2</v>
      </c>
      <c r="AG23" s="339">
        <f>(AG14/AF14)^(1/(AG13-AF13))-1</f>
        <v>-3.4935352041365331E-3</v>
      </c>
      <c r="AH23" s="339">
        <f>(AH14/AG14)^(1/(AH13-AG13))-1</f>
        <v>-7.5263888527359324E-3</v>
      </c>
      <c r="AI23" s="339">
        <f>(AI14/AH14)^(1/(AI13-AH13))-1</f>
        <v>-8.1993553946574371E-3</v>
      </c>
      <c r="AJ23" s="339">
        <f>(AJ14/AI14)^(1/(AJ13-AI13))-1</f>
        <v>-9.1437259266209381E-3</v>
      </c>
      <c r="AM23" s="344" t="e">
        <f>V14/AB10-1</f>
        <v>#DIV/0!</v>
      </c>
      <c r="AN23" s="344" t="e">
        <f>AN14*[11]Deflator!AN20/[11]Deflator!AO20/V14-1</f>
        <v>#DIV/0!</v>
      </c>
      <c r="AO23" s="339">
        <f>(AO14/AN14)^(1/(AO13-AN13))-1</f>
        <v>4.5662733738802697E-3</v>
      </c>
      <c r="AP23" s="339">
        <f>(AP14/AO14)^(1/(AP13-AO13))-1</f>
        <v>4.4844848921270497E-3</v>
      </c>
      <c r="AQ23" s="339">
        <f>(AQ14/AP14)^(1/(AQ13-AP13))-1</f>
        <v>5.2542297827959938E-3</v>
      </c>
      <c r="AR23" s="339">
        <f>(AR14/AQ14)^(1/(AR13-AQ13))-1</f>
        <v>8.4757887127040465E-3</v>
      </c>
      <c r="AS23" s="339">
        <f>(AS14/AR14)^(1/(AS13-AR13))-1</f>
        <v>1.1311439625934394E-2</v>
      </c>
      <c r="AT23" s="339">
        <f>(AT14/AN14)^(1/(AT13-AN13))-1</f>
        <v>1.2458812268670849E-2</v>
      </c>
      <c r="AU23" s="339">
        <f>(AU14/AT14)^(1/(AU13-AT13))-1</f>
        <v>1.1869558861851592E-2</v>
      </c>
      <c r="AV23" s="339">
        <f>(AV14/AU14)^(1/(AV13-AU13))-1</f>
        <v>1.1403599651385044E-2</v>
      </c>
      <c r="AW23" s="339">
        <f>(AW14/AV14)^(1/(AW13-AV13))-1</f>
        <v>1.3787746070069717E-2</v>
      </c>
      <c r="AX23" s="339">
        <f>(AX14/AW14)^(1/(AX13-AW13))-1</f>
        <v>1.2898245280189125E-2</v>
      </c>
      <c r="AY23" s="339">
        <f>(AY14/AN14)^(1/(AY13-AN13))-1</f>
        <v>1.1454763737035467E-3</v>
      </c>
      <c r="AZ23" s="339">
        <f>(AZ14/AY14)^(1/(AZ13-AY13))-1</f>
        <v>1.140253818557202E-3</v>
      </c>
      <c r="BA23" s="339">
        <f>(BA14/AZ14)^(1/(BA13-AZ13))-1</f>
        <v>-5.5150422735510407E-3</v>
      </c>
      <c r="BB23" s="339">
        <f>(BB14/BA14)^(1/(BB13-BA13))-1</f>
        <v>-5.6714433615395743E-3</v>
      </c>
      <c r="BC23" s="339">
        <f>(BC14/BB14)^(1/(BC13-BB13))-1</f>
        <v>-7.8134576287804958E-3</v>
      </c>
      <c r="BI23" t="s">
        <v>800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45">
        <f>AVERAGE(D23:H23)</f>
        <v>1.7500441585496018E-2</v>
      </c>
      <c r="I24" s="345">
        <f>AVERAGE(I23:M23)</f>
        <v>2.3820016645880758E-2</v>
      </c>
      <c r="N24" s="345">
        <f>AVERAGE(N23:R23)</f>
        <v>8.8594527516311587E-3</v>
      </c>
      <c r="V24" s="345">
        <f>AVERAGE(V23:Z23)</f>
        <v>6.7893577168967045E-3</v>
      </c>
      <c r="AA24" s="345">
        <f>AVERAGE(AA23:AE23)</f>
        <v>1.2994187635129916E-2</v>
      </c>
      <c r="AF24" s="345">
        <f>AVERAGE(AF23:AJ23)</f>
        <v>-2.1867323265864378E-3</v>
      </c>
      <c r="AO24" s="345">
        <f>AVERAGE(AO23:AS23)</f>
        <v>6.8184432774883504E-3</v>
      </c>
      <c r="AT24" s="345">
        <f>AVERAGE(AT23:AX23)</f>
        <v>1.2483592426433265E-2</v>
      </c>
      <c r="AY24" s="345">
        <f>AVERAGE(AY23:BC23)</f>
        <v>-3.3428426143220723E-3</v>
      </c>
      <c r="BI24" t="s">
        <v>801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45">
        <f>I24-D24</f>
        <v>6.3195750603847398E-3</v>
      </c>
      <c r="N25" s="345">
        <f>D24-N24</f>
        <v>8.6409888338648596E-3</v>
      </c>
      <c r="AA25" s="345">
        <f>AA24-V24</f>
        <v>6.2048299182332119E-3</v>
      </c>
      <c r="AF25" s="345">
        <f>V24-AF24</f>
        <v>8.9760900434831432E-3</v>
      </c>
      <c r="AT25" s="345">
        <f>AT24-AO24</f>
        <v>5.665149148944915E-3</v>
      </c>
      <c r="AY25" s="345">
        <f>AO24-AY24</f>
        <v>1.0161285891810423E-2</v>
      </c>
      <c r="BI25" t="s">
        <v>802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790</v>
      </c>
      <c r="D26" s="346">
        <f t="shared" ref="D26:H29" si="4">D16/C16-1</f>
        <v>0.36363636363636354</v>
      </c>
      <c r="E26" s="346">
        <f t="shared" si="4"/>
        <v>0.1166666666666667</v>
      </c>
      <c r="F26" s="346">
        <f t="shared" si="4"/>
        <v>8.9552238805970186E-2</v>
      </c>
      <c r="G26" s="346">
        <f t="shared" si="4"/>
        <v>8.2191780821917915E-2</v>
      </c>
      <c r="H26" s="346">
        <f t="shared" si="4"/>
        <v>8.8607594936708667E-2</v>
      </c>
      <c r="I26" s="346">
        <f>I16/C16-1</f>
        <v>0.38636363636363624</v>
      </c>
      <c r="J26" s="346">
        <f t="shared" ref="J26:M29" si="5">J16/I16-1</f>
        <v>0.14754098360655754</v>
      </c>
      <c r="K26" s="346">
        <f t="shared" si="5"/>
        <v>0.10000000000000009</v>
      </c>
      <c r="L26" s="346">
        <f t="shared" si="5"/>
        <v>9.0909090909090828E-2</v>
      </c>
      <c r="M26" s="346">
        <f t="shared" si="5"/>
        <v>7.1428571428571397E-2</v>
      </c>
      <c r="N26" s="346">
        <f>N16/C16-1</f>
        <v>0.34090909090909083</v>
      </c>
      <c r="O26" s="346">
        <f t="shared" ref="O26:R29" si="6">O16/N16-1</f>
        <v>0.10169491525423724</v>
      </c>
      <c r="P26" s="346">
        <f t="shared" si="6"/>
        <v>0.23076923076923084</v>
      </c>
      <c r="Q26" s="346">
        <f t="shared" si="6"/>
        <v>5.0000000000000044E-2</v>
      </c>
      <c r="R26" s="346">
        <f t="shared" si="6"/>
        <v>-7.1428571428571508E-2</v>
      </c>
      <c r="V26" s="346">
        <f t="shared" ref="V26:Z29" si="7">V16/U16-1</f>
        <v>0.12195121951219523</v>
      </c>
      <c r="W26" s="346">
        <f t="shared" si="7"/>
        <v>0.17391304347826098</v>
      </c>
      <c r="X26" s="346">
        <f t="shared" si="7"/>
        <v>0.16666666666666652</v>
      </c>
      <c r="Y26" s="346">
        <f t="shared" si="7"/>
        <v>0.12698412698412698</v>
      </c>
      <c r="Z26" s="346">
        <f t="shared" si="7"/>
        <v>0.12676056338028174</v>
      </c>
      <c r="AA26" s="346">
        <f>AA16/U16-1</f>
        <v>0.12195121951219523</v>
      </c>
      <c r="AB26" s="346">
        <f t="shared" ref="AB26:AE29" si="8">AB16/AA16-1</f>
        <v>0.19565217391304368</v>
      </c>
      <c r="AC26" s="346">
        <f t="shared" si="8"/>
        <v>0.1636363636363638</v>
      </c>
      <c r="AD26" s="346">
        <f t="shared" si="8"/>
        <v>0.125</v>
      </c>
      <c r="AE26" s="346">
        <f t="shared" si="8"/>
        <v>0.11111111111111116</v>
      </c>
      <c r="AF26" s="346">
        <f>AF16/U16-1</f>
        <v>7.317073170731736E-2</v>
      </c>
      <c r="AG26" s="346">
        <f t="shared" ref="AG26:AJ29" si="9">AG16/AF16-1</f>
        <v>0.25</v>
      </c>
      <c r="AH26" s="346">
        <f t="shared" si="9"/>
        <v>0.25454545454545463</v>
      </c>
      <c r="AI26" s="346">
        <f t="shared" si="9"/>
        <v>0.10144927536231862</v>
      </c>
      <c r="AJ26" s="346">
        <f t="shared" si="9"/>
        <v>0</v>
      </c>
      <c r="AO26" s="346">
        <f t="shared" ref="AO26:AS29" si="10">AO16/AN16-1</f>
        <v>0.33333333333333304</v>
      </c>
      <c r="AP26" s="346">
        <f t="shared" si="10"/>
        <v>0.41666666666666674</v>
      </c>
      <c r="AQ26" s="346">
        <f t="shared" si="10"/>
        <v>9.8039215686274606E-2</v>
      </c>
      <c r="AR26" s="346">
        <f t="shared" si="10"/>
        <v>7.1428571428571397E-2</v>
      </c>
      <c r="AS26" s="346">
        <f t="shared" si="10"/>
        <v>0.1333333333333333</v>
      </c>
      <c r="AT26" s="346">
        <f>AT16/AN16-1</f>
        <v>0.3472222222222221</v>
      </c>
      <c r="AU26" s="346">
        <f t="shared" ref="AU26:AX29" si="11">AU16/AT16-1</f>
        <v>0.42955326460481102</v>
      </c>
      <c r="AV26" s="346">
        <f t="shared" si="11"/>
        <v>0.11538461538461542</v>
      </c>
      <c r="AW26" s="346">
        <f t="shared" si="11"/>
        <v>6.8965517241379448E-2</v>
      </c>
      <c r="AX26" s="346">
        <f t="shared" si="11"/>
        <v>0.11290322580645173</v>
      </c>
      <c r="AY26" s="346">
        <f>AY16/AN16-1</f>
        <v>0.29166666666666652</v>
      </c>
      <c r="AZ26" s="346">
        <f t="shared" ref="AZ26:BC29" si="12">AZ16/AY16-1</f>
        <v>0.37634408602150549</v>
      </c>
      <c r="BA26" s="346">
        <f t="shared" si="12"/>
        <v>0.12500000000000022</v>
      </c>
      <c r="BB26" s="346">
        <f t="shared" si="12"/>
        <v>5.555555555555558E-2</v>
      </c>
      <c r="BC26" s="346">
        <f t="shared" si="12"/>
        <v>3.5087719298245723E-2</v>
      </c>
      <c r="BI26" t="s">
        <v>803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791</v>
      </c>
      <c r="D27" s="346">
        <f t="shared" si="4"/>
        <v>0.28000000000000003</v>
      </c>
      <c r="E27" s="346">
        <f t="shared" si="4"/>
        <v>8.3333333333333481E-2</v>
      </c>
      <c r="F27" s="346">
        <f t="shared" si="4"/>
        <v>6.7307692307692291E-2</v>
      </c>
      <c r="G27" s="346">
        <f t="shared" si="4"/>
        <v>5.4054054054053946E-2</v>
      </c>
      <c r="H27" s="346">
        <f t="shared" si="4"/>
        <v>3.4188034188034289E-2</v>
      </c>
      <c r="I27" s="346">
        <f>I17/C17-1</f>
        <v>0.30666666666666687</v>
      </c>
      <c r="J27" s="346">
        <f t="shared" si="5"/>
        <v>0.12244897959183665</v>
      </c>
      <c r="K27" s="346">
        <f t="shared" si="5"/>
        <v>8.181818181818179E-2</v>
      </c>
      <c r="L27" s="346">
        <f t="shared" si="5"/>
        <v>5.8823529411764719E-2</v>
      </c>
      <c r="M27" s="346">
        <f t="shared" si="5"/>
        <v>3.1746031746031855E-2</v>
      </c>
      <c r="N27" s="346">
        <f>N17/C17-1</f>
        <v>0.25333333333333341</v>
      </c>
      <c r="O27" s="346">
        <f t="shared" si="6"/>
        <v>4.2553191489361764E-2</v>
      </c>
      <c r="P27" s="346">
        <f t="shared" si="6"/>
        <v>0</v>
      </c>
      <c r="Q27" s="346">
        <f t="shared" si="6"/>
        <v>-1.0204081632653184E-2</v>
      </c>
      <c r="R27" s="346">
        <f t="shared" si="6"/>
        <v>-3.0927835051546282E-2</v>
      </c>
      <c r="V27" s="346">
        <f t="shared" si="7"/>
        <v>0.14583333333333348</v>
      </c>
      <c r="W27" s="346">
        <f t="shared" si="7"/>
        <v>4.5454545454545414E-2</v>
      </c>
      <c r="X27" s="346">
        <f t="shared" si="7"/>
        <v>3.4782608695652195E-2</v>
      </c>
      <c r="Y27" s="346">
        <f t="shared" si="7"/>
        <v>2.5210084033613356E-2</v>
      </c>
      <c r="Z27" s="346">
        <f t="shared" si="7"/>
        <v>2.4590163934426368E-2</v>
      </c>
      <c r="AA27" s="346">
        <f>AA17/U17-1</f>
        <v>0.15625</v>
      </c>
      <c r="AB27" s="346">
        <f t="shared" si="8"/>
        <v>9.0090090090090058E-2</v>
      </c>
      <c r="AC27" s="346">
        <f t="shared" si="8"/>
        <v>6.6115702479338845E-2</v>
      </c>
      <c r="AD27" s="346">
        <f t="shared" si="8"/>
        <v>3.8759689922480689E-2</v>
      </c>
      <c r="AE27" s="346">
        <f t="shared" si="8"/>
        <v>2.2388059701492491E-2</v>
      </c>
      <c r="AF27" s="346">
        <f>AF17/U17-1</f>
        <v>0.13541666666666674</v>
      </c>
      <c r="AG27" s="346">
        <f t="shared" si="9"/>
        <v>-9.1743119266054496E-3</v>
      </c>
      <c r="AH27" s="346">
        <f t="shared" si="9"/>
        <v>-3.703703703703709E-2</v>
      </c>
      <c r="AI27" s="346">
        <f t="shared" si="9"/>
        <v>-3.8461538461538547E-2</v>
      </c>
      <c r="AJ27" s="346">
        <f t="shared" si="9"/>
        <v>-4.0000000000000036E-2</v>
      </c>
      <c r="AO27" s="346">
        <f t="shared" si="10"/>
        <v>6.4102564102566095E-3</v>
      </c>
      <c r="AP27" s="346">
        <f t="shared" si="10"/>
        <v>1.0615711252653925E-2</v>
      </c>
      <c r="AQ27" s="346">
        <f t="shared" si="10"/>
        <v>8.4033613445377853E-3</v>
      </c>
      <c r="AR27" s="346">
        <f t="shared" si="10"/>
        <v>2.5000000000000133E-2</v>
      </c>
      <c r="AS27" s="346">
        <f t="shared" si="10"/>
        <v>3.2520325203251987E-2</v>
      </c>
      <c r="AT27" s="346">
        <f>AT17/AN17-1</f>
        <v>2.2435897435897578E-2</v>
      </c>
      <c r="AU27" s="346">
        <f t="shared" si="11"/>
        <v>3.6572622779519337E-2</v>
      </c>
      <c r="AV27" s="346">
        <f t="shared" si="11"/>
        <v>4.0322580645161255E-2</v>
      </c>
      <c r="AW27" s="346">
        <f t="shared" si="11"/>
        <v>3.8759689922480689E-2</v>
      </c>
      <c r="AX27" s="346">
        <f t="shared" si="11"/>
        <v>4.4776119402984982E-2</v>
      </c>
      <c r="AY27" s="346">
        <f>AY17/AN17-1</f>
        <v>-6.4102564102563875E-3</v>
      </c>
      <c r="AZ27" s="346">
        <f t="shared" si="12"/>
        <v>-1.0752688172043001E-2</v>
      </c>
      <c r="BA27" s="346">
        <f t="shared" si="12"/>
        <v>-4.3478260869565188E-2</v>
      </c>
      <c r="BB27" s="346">
        <f t="shared" si="12"/>
        <v>-7.2727272727272751E-2</v>
      </c>
      <c r="BC27" s="346">
        <f t="shared" si="12"/>
        <v>-6.8627450980392135E-2</v>
      </c>
      <c r="BI27" t="s">
        <v>274</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792</v>
      </c>
      <c r="D28" s="346">
        <f t="shared" si="4"/>
        <v>0.10909090909090913</v>
      </c>
      <c r="E28" s="346">
        <f t="shared" si="4"/>
        <v>5.7377049180328044E-2</v>
      </c>
      <c r="F28" s="346">
        <f t="shared" si="4"/>
        <v>3.8759689922480689E-2</v>
      </c>
      <c r="G28" s="346">
        <f t="shared" si="4"/>
        <v>3.7313432835820892E-2</v>
      </c>
      <c r="H28" s="346">
        <f t="shared" si="4"/>
        <v>2.877697841726623E-2</v>
      </c>
      <c r="I28" s="346">
        <f>I18/C18-1</f>
        <v>0.15454545454545454</v>
      </c>
      <c r="J28" s="346">
        <f t="shared" si="5"/>
        <v>6.2992125984252079E-2</v>
      </c>
      <c r="K28" s="346">
        <f t="shared" si="5"/>
        <v>5.1851851851851816E-2</v>
      </c>
      <c r="L28" s="346">
        <f t="shared" si="5"/>
        <v>4.2253521126760729E-2</v>
      </c>
      <c r="M28" s="346">
        <f t="shared" si="5"/>
        <v>2.7027027027026973E-2</v>
      </c>
      <c r="N28" s="346">
        <f>N18/C18-1</f>
        <v>8.181818181818179E-2</v>
      </c>
      <c r="O28" s="346">
        <f t="shared" si="6"/>
        <v>8.4033613445377853E-3</v>
      </c>
      <c r="P28" s="346">
        <f t="shared" si="6"/>
        <v>0</v>
      </c>
      <c r="Q28" s="346">
        <f t="shared" si="6"/>
        <v>8.3333333333333037E-3</v>
      </c>
      <c r="R28" s="346">
        <f t="shared" si="6"/>
        <v>0</v>
      </c>
      <c r="V28" s="346">
        <f t="shared" si="7"/>
        <v>1.3513513513513375E-2</v>
      </c>
      <c r="W28" s="346">
        <f t="shared" si="7"/>
        <v>-4.6666666666666634E-2</v>
      </c>
      <c r="X28" s="346">
        <f t="shared" si="7"/>
        <v>1.3986013986013957E-2</v>
      </c>
      <c r="Y28" s="346">
        <f t="shared" si="7"/>
        <v>1.379310344827589E-2</v>
      </c>
      <c r="Z28" s="346">
        <f t="shared" si="7"/>
        <v>6.8027210884353817E-3</v>
      </c>
      <c r="AA28" s="346">
        <f>AA18/U18-1</f>
        <v>3.3783783783783772E-2</v>
      </c>
      <c r="AB28" s="346">
        <f t="shared" si="8"/>
        <v>-3.9215686274509887E-2</v>
      </c>
      <c r="AC28" s="346">
        <f t="shared" si="8"/>
        <v>3.4013605442176909E-2</v>
      </c>
      <c r="AD28" s="346">
        <f t="shared" si="8"/>
        <v>2.6315789473684292E-2</v>
      </c>
      <c r="AE28" s="346">
        <f t="shared" si="8"/>
        <v>2.5641025641025772E-2</v>
      </c>
      <c r="AF28" s="346">
        <f>AF18/U18-1</f>
        <v>6.7567567567567988E-3</v>
      </c>
      <c r="AG28" s="346">
        <f t="shared" si="9"/>
        <v>-9.3959731543624136E-2</v>
      </c>
      <c r="AH28" s="346">
        <f t="shared" si="9"/>
        <v>-4.4444444444444398E-2</v>
      </c>
      <c r="AI28" s="346">
        <f t="shared" si="9"/>
        <v>-3.1007751937984551E-2</v>
      </c>
      <c r="AJ28" s="346">
        <f t="shared" si="9"/>
        <v>-2.4000000000000021E-2</v>
      </c>
      <c r="AO28" s="346">
        <f t="shared" si="10"/>
        <v>-5.9911242603550297E-2</v>
      </c>
      <c r="AP28" s="346">
        <f t="shared" si="10"/>
        <v>-0.10621557828481509</v>
      </c>
      <c r="AQ28" s="346">
        <f t="shared" si="10"/>
        <v>0</v>
      </c>
      <c r="AR28" s="346">
        <f t="shared" si="10"/>
        <v>1.4084507042253502E-2</v>
      </c>
      <c r="AS28" s="346">
        <f t="shared" si="10"/>
        <v>3.4722222222222321E-2</v>
      </c>
      <c r="AT28" s="346">
        <f>AT18/AN18-1</f>
        <v>-4.881656804733725E-2</v>
      </c>
      <c r="AU28" s="346">
        <f t="shared" si="11"/>
        <v>-8.5536547433903598E-2</v>
      </c>
      <c r="AV28" s="346">
        <f t="shared" si="11"/>
        <v>3.4013605442176909E-2</v>
      </c>
      <c r="AW28" s="346">
        <f t="shared" si="11"/>
        <v>4.6052631578947345E-2</v>
      </c>
      <c r="AX28" s="346">
        <f t="shared" si="11"/>
        <v>5.031446540880502E-2</v>
      </c>
      <c r="AY28" s="346">
        <f>AY18/AN18-1</f>
        <v>-7.7662721893490994E-2</v>
      </c>
      <c r="AZ28" s="346">
        <f t="shared" si="12"/>
        <v>-0.14033680834001605</v>
      </c>
      <c r="BA28" s="346">
        <f t="shared" si="12"/>
        <v>-4.4776119402985093E-2</v>
      </c>
      <c r="BB28" s="346">
        <f t="shared" si="12"/>
        <v>-4.6875000000000111E-2</v>
      </c>
      <c r="BC28" s="346">
        <f t="shared" si="12"/>
        <v>-4.0983606557377095E-2</v>
      </c>
      <c r="BI28" t="s">
        <v>804</v>
      </c>
      <c r="BJ28">
        <v>80</v>
      </c>
      <c r="BK28">
        <f t="shared" ref="BK28:BP28" si="13">BJ28</f>
        <v>80</v>
      </c>
      <c r="BL28">
        <f t="shared" si="13"/>
        <v>80</v>
      </c>
      <c r="BM28">
        <f t="shared" si="13"/>
        <v>80</v>
      </c>
      <c r="BN28">
        <f t="shared" si="13"/>
        <v>80</v>
      </c>
      <c r="BO28">
        <f t="shared" si="13"/>
        <v>80</v>
      </c>
      <c r="BP28">
        <f t="shared" si="13"/>
        <v>80</v>
      </c>
    </row>
    <row r="29" spans="2:68" x14ac:dyDescent="0.25">
      <c r="D29" s="346">
        <f t="shared" si="4"/>
        <v>4.5362903225806495E-2</v>
      </c>
      <c r="E29" s="346">
        <f t="shared" si="4"/>
        <v>2.5072324011571778E-2</v>
      </c>
      <c r="F29" s="346">
        <f t="shared" si="4"/>
        <v>1.6933207902163572E-2</v>
      </c>
      <c r="G29" s="346">
        <f t="shared" si="4"/>
        <v>1.1100832562442209E-2</v>
      </c>
      <c r="H29" s="346">
        <f t="shared" si="4"/>
        <v>6.4043915827995956E-3</v>
      </c>
      <c r="I29" s="346">
        <f>I19/C19-1</f>
        <v>5.4435483870967749E-2</v>
      </c>
      <c r="J29" s="346">
        <f t="shared" si="5"/>
        <v>4.2065009560229516E-2</v>
      </c>
      <c r="K29" s="346">
        <f t="shared" si="5"/>
        <v>3.4862385321100975E-2</v>
      </c>
      <c r="L29" s="346">
        <f t="shared" si="5"/>
        <v>2.7482269503546153E-2</v>
      </c>
      <c r="M29" s="346">
        <f t="shared" si="5"/>
        <v>2.1570319240724833E-2</v>
      </c>
      <c r="N29" s="346">
        <f>N19/C19-1</f>
        <v>1.1088709677419262E-2</v>
      </c>
      <c r="O29" s="346">
        <f t="shared" si="6"/>
        <v>-6.9790628115653064E-2</v>
      </c>
      <c r="P29" s="346">
        <f t="shared" si="6"/>
        <v>-0.10825294748124326</v>
      </c>
      <c r="Q29" s="346">
        <f t="shared" si="6"/>
        <v>-0.11418269230769229</v>
      </c>
      <c r="R29" s="346">
        <f t="shared" si="6"/>
        <v>-8.1411126187245553E-2</v>
      </c>
      <c r="V29" s="346">
        <f t="shared" si="7"/>
        <v>-0.12074554294975692</v>
      </c>
      <c r="W29" s="346">
        <f t="shared" si="7"/>
        <v>3.2258064516129004E-2</v>
      </c>
      <c r="X29" s="346">
        <f t="shared" si="7"/>
        <v>8.9285714285713969E-3</v>
      </c>
      <c r="Y29" s="346">
        <f t="shared" si="7"/>
        <v>8.8495575221239076E-3</v>
      </c>
      <c r="Z29" s="346">
        <f t="shared" si="7"/>
        <v>8.7719298245614308E-3</v>
      </c>
      <c r="AA29" s="346">
        <f>AA19/U19-1</f>
        <v>-0.10858995137763372</v>
      </c>
      <c r="AB29" s="346">
        <f t="shared" si="8"/>
        <v>4.5454545454545414E-2</v>
      </c>
      <c r="AC29" s="346">
        <f t="shared" si="8"/>
        <v>3.6521739130434883E-2</v>
      </c>
      <c r="AD29" s="346">
        <f t="shared" si="8"/>
        <v>2.7684563758389347E-2</v>
      </c>
      <c r="AE29" s="346">
        <f t="shared" si="8"/>
        <v>2.0408163265306145E-2</v>
      </c>
      <c r="AF29" s="346">
        <f>AF19/U19-1</f>
        <v>-0.14667747163695311</v>
      </c>
      <c r="AG29" s="346">
        <f t="shared" si="9"/>
        <v>-7.407407407407407E-2</v>
      </c>
      <c r="AH29" s="346">
        <f t="shared" si="9"/>
        <v>-8.7179487179487203E-2</v>
      </c>
      <c r="AI29" s="346">
        <f t="shared" si="9"/>
        <v>-0.1235955056179775</v>
      </c>
      <c r="AJ29" s="346">
        <f t="shared" si="9"/>
        <v>-0.10256410256410253</v>
      </c>
      <c r="AO29" s="346">
        <f t="shared" si="10"/>
        <v>2.6515151515151603E-2</v>
      </c>
      <c r="AP29" s="346">
        <f t="shared" si="10"/>
        <v>4.3050430504305126E-2</v>
      </c>
      <c r="AQ29" s="346">
        <f t="shared" si="10"/>
        <v>2.8301886792452935E-2</v>
      </c>
      <c r="AR29" s="346">
        <f t="shared" si="10"/>
        <v>9.1743119266054496E-3</v>
      </c>
      <c r="AS29" s="346">
        <f t="shared" si="10"/>
        <v>0</v>
      </c>
      <c r="AT29" s="346">
        <f>AT19/AN19-1</f>
        <v>4.924242424242431E-2</v>
      </c>
      <c r="AU29" s="346">
        <f t="shared" si="11"/>
        <v>7.8219013237063706E-2</v>
      </c>
      <c r="AV29" s="346">
        <f t="shared" si="11"/>
        <v>3.5714285714285809E-2</v>
      </c>
      <c r="AW29" s="346">
        <f t="shared" si="11"/>
        <v>1.7241379310344751E-2</v>
      </c>
      <c r="AX29" s="346">
        <f t="shared" si="11"/>
        <v>1.6949152542372836E-2</v>
      </c>
      <c r="AY29" s="346">
        <f>AY19/AN19-1</f>
        <v>7.575757575757569E-3</v>
      </c>
      <c r="AZ29" s="346">
        <f t="shared" si="12"/>
        <v>1.2531328320801949E-2</v>
      </c>
      <c r="BA29" s="346">
        <f t="shared" si="12"/>
        <v>-5.9405940594059459E-2</v>
      </c>
      <c r="BB29" s="346">
        <f t="shared" si="12"/>
        <v>-9.4736842105263119E-2</v>
      </c>
      <c r="BC29" s="346">
        <f t="shared" si="12"/>
        <v>-0.12790697674418605</v>
      </c>
    </row>
    <row r="30" spans="2:68" x14ac:dyDescent="0.25">
      <c r="C30" s="93">
        <f t="shared" ref="C30:R30" si="14">C17/C14</f>
        <v>9.6030729833546741E-2</v>
      </c>
      <c r="D30" s="93">
        <f t="shared" si="14"/>
        <v>9.4117647058823528E-2</v>
      </c>
      <c r="E30" s="93">
        <f t="shared" si="14"/>
        <v>9.5764272559852676E-2</v>
      </c>
      <c r="F30" s="93">
        <f t="shared" si="14"/>
        <v>9.7711267605633811E-2</v>
      </c>
      <c r="G30" s="93">
        <f t="shared" si="14"/>
        <v>9.9744245524296671E-2</v>
      </c>
      <c r="H30" s="93">
        <f t="shared" si="14"/>
        <v>0.10083333333333333</v>
      </c>
      <c r="I30" s="93">
        <f t="shared" si="14"/>
        <v>9.2191909689557858E-2</v>
      </c>
      <c r="J30" s="93">
        <f t="shared" si="14"/>
        <v>9.3141405588484341E-2</v>
      </c>
      <c r="K30" s="93">
        <f t="shared" si="14"/>
        <v>9.3479968578161821E-2</v>
      </c>
      <c r="L30" s="93">
        <f t="shared" si="14"/>
        <v>9.3680297397769507E-2</v>
      </c>
      <c r="M30" s="93">
        <f t="shared" si="14"/>
        <v>9.285714285714286E-2</v>
      </c>
      <c r="N30" s="93">
        <f t="shared" si="14"/>
        <v>9.6907216494845363E-2</v>
      </c>
      <c r="O30" s="93">
        <f t="shared" si="14"/>
        <v>0.10103092783505155</v>
      </c>
      <c r="P30" s="93">
        <f t="shared" si="14"/>
        <v>0.10103092783505155</v>
      </c>
      <c r="Q30" s="93">
        <f t="shared" si="14"/>
        <v>9.9999999999999992E-2</v>
      </c>
      <c r="R30" s="93">
        <f t="shared" si="14"/>
        <v>9.6907216494845363E-2</v>
      </c>
    </row>
    <row r="31" spans="2:68" ht="15.75" thickBot="1" x14ac:dyDescent="0.3">
      <c r="C31" s="93">
        <f t="shared" ref="C31:R31" si="15">C18/C14</f>
        <v>0.14084507042253522</v>
      </c>
      <c r="D31" s="93">
        <f t="shared" si="15"/>
        <v>0.11960784313725489</v>
      </c>
      <c r="E31" s="93">
        <f t="shared" si="15"/>
        <v>0.11878453038674035</v>
      </c>
      <c r="F31" s="93">
        <f t="shared" si="15"/>
        <v>0.11795774647887325</v>
      </c>
      <c r="G31" s="93">
        <f t="shared" si="15"/>
        <v>0.1184995737425405</v>
      </c>
      <c r="H31" s="93">
        <f t="shared" si="15"/>
        <v>0.11916666666666667</v>
      </c>
      <c r="I31" s="93">
        <f t="shared" si="15"/>
        <v>0.11947318908748823</v>
      </c>
      <c r="J31" s="93">
        <f t="shared" si="15"/>
        <v>0.11430990685859442</v>
      </c>
      <c r="K31" s="93">
        <f t="shared" si="15"/>
        <v>0.11154752553024351</v>
      </c>
      <c r="L31" s="93">
        <f t="shared" si="15"/>
        <v>0.1100371747211896</v>
      </c>
      <c r="M31" s="93">
        <f t="shared" si="15"/>
        <v>0.10857142857142857</v>
      </c>
      <c r="N31" s="93">
        <f t="shared" si="15"/>
        <v>0.12268041237113403</v>
      </c>
      <c r="O31" s="93">
        <f t="shared" si="15"/>
        <v>0.12371134020618557</v>
      </c>
      <c r="P31" s="93">
        <f t="shared" si="15"/>
        <v>0.12371134020618557</v>
      </c>
      <c r="Q31" s="93">
        <f t="shared" si="15"/>
        <v>0.12474226804123711</v>
      </c>
      <c r="R31" s="93">
        <f t="shared" si="15"/>
        <v>0.12474226804123711</v>
      </c>
      <c r="T31" t="s">
        <v>783</v>
      </c>
      <c r="AM31" t="s">
        <v>783</v>
      </c>
    </row>
    <row r="32" spans="2:68" x14ac:dyDescent="0.25">
      <c r="U32">
        <v>2011</v>
      </c>
      <c r="V32" s="116">
        <v>2015</v>
      </c>
      <c r="W32" s="236">
        <v>2020</v>
      </c>
      <c r="X32" s="236">
        <v>2025</v>
      </c>
      <c r="Y32" s="236">
        <v>2030</v>
      </c>
      <c r="Z32" s="237">
        <v>2035</v>
      </c>
      <c r="AA32" s="116">
        <v>2015</v>
      </c>
      <c r="AB32" s="236">
        <v>2020</v>
      </c>
      <c r="AC32" s="236">
        <v>2025</v>
      </c>
      <c r="AD32" s="236">
        <v>2030</v>
      </c>
      <c r="AE32" s="237">
        <v>2035</v>
      </c>
      <c r="AF32" s="116">
        <v>2015</v>
      </c>
      <c r="AG32" s="236">
        <v>2020</v>
      </c>
      <c r="AH32" s="236">
        <v>2025</v>
      </c>
      <c r="AI32" s="236">
        <v>2030</v>
      </c>
      <c r="AJ32" s="237">
        <v>2035</v>
      </c>
      <c r="AN32">
        <v>2011</v>
      </c>
      <c r="AO32" s="116">
        <v>2015</v>
      </c>
      <c r="AP32" s="236">
        <v>2020</v>
      </c>
      <c r="AQ32" s="236">
        <v>2025</v>
      </c>
      <c r="AR32" s="236">
        <v>2030</v>
      </c>
      <c r="AS32" s="237">
        <v>2035</v>
      </c>
      <c r="AT32" s="116">
        <v>2015</v>
      </c>
      <c r="AU32" s="236">
        <v>2020</v>
      </c>
      <c r="AV32" s="236">
        <v>2025</v>
      </c>
      <c r="AW32" s="236">
        <v>2030</v>
      </c>
      <c r="AX32" s="237">
        <v>2035</v>
      </c>
      <c r="AY32" s="116">
        <v>2015</v>
      </c>
      <c r="AZ32" s="236">
        <v>2020</v>
      </c>
      <c r="BA32" s="236">
        <v>2025</v>
      </c>
      <c r="BB32" s="236">
        <v>2030</v>
      </c>
      <c r="BC32" s="237">
        <v>2035</v>
      </c>
    </row>
    <row r="33" spans="2:55" x14ac:dyDescent="0.25">
      <c r="T33" t="str">
        <f>T14</f>
        <v>IEA crude oil imports</v>
      </c>
      <c r="U33" s="93">
        <f>U14*[11]Deflator!$U$20/[11]Deflator!$V$20</f>
        <v>104.73927357360537</v>
      </c>
      <c r="V33" s="93">
        <f>V14*[11]Deflator!$U$20/[11]Deflator!$V$20</f>
        <v>112.91594548827347</v>
      </c>
      <c r="W33" s="93">
        <f>W14*[11]Deflator!$U$20/[11]Deflator!$V$20</f>
        <v>116.32289211938516</v>
      </c>
      <c r="X33" s="93">
        <f>X14*[11]Deflator!$U$20/[11]Deflator!$V$20</f>
        <v>118.65908409500462</v>
      </c>
      <c r="Y33" s="93">
        <f>Y14*[11]Deflator!$U$20/[11]Deflator!$V$20</f>
        <v>120.31388674440171</v>
      </c>
      <c r="Z33" s="93">
        <f>Z14*[11]Deflator!$U$20/[11]Deflator!$V$20</f>
        <v>121.6766653968464</v>
      </c>
      <c r="AA33" s="93">
        <f>AA14*[11]Deflator!$U$20/[11]Deflator!$V$20</f>
        <v>115.25213746389292</v>
      </c>
      <c r="AB33" s="93">
        <f>AB14*[11]Deflator!$U$20/[11]Deflator!$V$20</f>
        <v>124.88892936332316</v>
      </c>
      <c r="AC33" s="93">
        <f>AC14*[11]Deflator!$U$20/[11]Deflator!$V$20</f>
        <v>131.99484662249898</v>
      </c>
      <c r="AD33" s="93">
        <f>AD14*[11]Deflator!$U$20/[11]Deflator!$V$20</f>
        <v>137.34861989996023</v>
      </c>
      <c r="AE33" s="93">
        <f>AE14*[11]Deflator!$U$20/[11]Deflator!$V$20</f>
        <v>141.14493186034184</v>
      </c>
      <c r="AF33" s="93">
        <f>AF14*[11]Deflator!$U$20/[11]Deflator!$V$20</f>
        <v>112.23455616205112</v>
      </c>
      <c r="AG33" s="93">
        <f>AG14*[11]Deflator!$U$20/[11]Deflator!$V$20</f>
        <v>110.28772951570159</v>
      </c>
      <c r="AH33" s="93">
        <f>AH14*[11]Deflator!$U$20/[11]Deflator!$V$20</f>
        <v>106.19939355836753</v>
      </c>
      <c r="AI33" s="93">
        <f>AI14*[11]Deflator!$U$20/[11]Deflator!$V$20</f>
        <v>101.91637493639855</v>
      </c>
      <c r="AJ33" s="93">
        <f>AJ14*[11]Deflator!$U$20/[11]Deflator!$V$20</f>
        <v>97.341332317477125</v>
      </c>
      <c r="AM33" t="str">
        <f>AM14</f>
        <v>IEA crude oil imports</v>
      </c>
      <c r="AN33" s="93">
        <f>AN14*[11]Deflator!$U$20/[11]Deflator!$V$20</f>
        <v>106.10205222605006</v>
      </c>
      <c r="AO33" s="93">
        <f>AO14*[11]Deflator!$U$20/[11]Deflator!$V$20</f>
        <v>107.56217221081222</v>
      </c>
      <c r="AP33" s="93">
        <f>AP14*[11]Deflator!$U$20/[11]Deflator!$V$20</f>
        <v>109.99570551874915</v>
      </c>
      <c r="AQ33" s="93">
        <f>AQ14*[11]Deflator!$U$20/[11]Deflator!$V$20</f>
        <v>112.91594548827347</v>
      </c>
      <c r="AR33" s="93">
        <f>AR14*[11]Deflator!$U$20/[11]Deflator!$V$20</f>
        <v>117.78301210414732</v>
      </c>
      <c r="AS33" s="93">
        <f>AS14*[11]Deflator!$U$20/[11]Deflator!$V$20</f>
        <v>124.59690536637072</v>
      </c>
      <c r="AT33" s="93">
        <f>AT14*[11]Deflator!$U$20/[11]Deflator!$V$20</f>
        <v>110.117382184146</v>
      </c>
      <c r="AU33" s="93">
        <f>AU14*[11]Deflator!$U$20/[11]Deflator!$V$20</f>
        <v>116.80959878097255</v>
      </c>
      <c r="AV33" s="93">
        <f>AV14*[11]Deflator!$U$20/[11]Deflator!$V$20</f>
        <v>123.62349204319595</v>
      </c>
      <c r="AW33" s="93">
        <f>AW14*[11]Deflator!$U$20/[11]Deflator!$V$20</f>
        <v>132.38421195176889</v>
      </c>
      <c r="AX33" s="93">
        <f>AX14*[11]Deflator!$U$20/[11]Deflator!$V$20</f>
        <v>141.14493186034184</v>
      </c>
      <c r="AY33" s="93">
        <f>AY14*[11]Deflator!$U$20/[11]Deflator!$V$20</f>
        <v>106.46708222224061</v>
      </c>
      <c r="AZ33" s="93">
        <f>AZ14*[11]Deflator!$U$20/[11]Deflator!$V$20</f>
        <v>107.07546554922483</v>
      </c>
      <c r="BA33" s="93">
        <f>BA14*[11]Deflator!$U$20/[11]Deflator!$V$20</f>
        <v>104.15522557970053</v>
      </c>
      <c r="BB33" s="93">
        <f>BB14*[11]Deflator!$U$20/[11]Deflator!$V$20</f>
        <v>101.23498561017621</v>
      </c>
      <c r="BC33" s="93">
        <f>BC14*[11]Deflator!$U$20/[11]Deflator!$V$20</f>
        <v>97.341332317477125</v>
      </c>
    </row>
    <row r="34" spans="2:55" x14ac:dyDescent="0.25">
      <c r="B34" t="s">
        <v>805</v>
      </c>
    </row>
    <row r="35" spans="2:55" x14ac:dyDescent="0.25">
      <c r="C35" t="s">
        <v>683</v>
      </c>
      <c r="D35" t="s">
        <v>806</v>
      </c>
      <c r="E35" t="s">
        <v>807</v>
      </c>
      <c r="F35" t="s">
        <v>808</v>
      </c>
      <c r="T35" t="str">
        <f>T16</f>
        <v>United States Mbtu</v>
      </c>
      <c r="U35" s="93">
        <f>U16*[11]Deflator!$U$20/[11]Deflator!$V$20</f>
        <v>3.9909946250165618</v>
      </c>
      <c r="V35" s="93">
        <f>V16*[11]Deflator!$U$20/[11]Deflator!$V$20</f>
        <v>4.4777012866039474</v>
      </c>
      <c r="W35" s="93">
        <f>W16*[11]Deflator!$U$20/[11]Deflator!$V$20</f>
        <v>5.2564319451437651</v>
      </c>
      <c r="X35" s="93">
        <f>X16*[11]Deflator!$U$20/[11]Deflator!$V$20</f>
        <v>6.1325039360010587</v>
      </c>
      <c r="Y35" s="93">
        <f>Y16*[11]Deflator!$U$20/[11]Deflator!$V$20</f>
        <v>6.9112345945408755</v>
      </c>
      <c r="Z35" s="93">
        <f>Z16*[11]Deflator!$U$20/[11]Deflator!$V$20</f>
        <v>7.78730658539817</v>
      </c>
      <c r="AA35" s="93">
        <f>AA16*[11]Deflator!$U$20/[11]Deflator!$V$20</f>
        <v>4.4777012866039474</v>
      </c>
      <c r="AB35" s="93">
        <f>AB16*[11]Deflator!$U$20/[11]Deflator!$V$20</f>
        <v>5.3537732774612419</v>
      </c>
      <c r="AC35" s="93">
        <f>AC16*[11]Deflator!$U$20/[11]Deflator!$V$20</f>
        <v>6.2298452683185364</v>
      </c>
      <c r="AD35" s="93">
        <f>AD16*[11]Deflator!$U$20/[11]Deflator!$V$20</f>
        <v>7.0085759268583532</v>
      </c>
      <c r="AE35" s="93">
        <f>AE16*[11]Deflator!$U$20/[11]Deflator!$V$20</f>
        <v>7.78730658539817</v>
      </c>
      <c r="AF35" s="93">
        <f>AF16*[11]Deflator!$U$20/[11]Deflator!$V$20</f>
        <v>4.2830186219689939</v>
      </c>
      <c r="AG35" s="93">
        <f>AG16*[11]Deflator!$U$20/[11]Deflator!$V$20</f>
        <v>5.3537732774612419</v>
      </c>
      <c r="AH35" s="93">
        <f>AH16*[11]Deflator!$U$20/[11]Deflator!$V$20</f>
        <v>6.716551929905922</v>
      </c>
      <c r="AI35" s="93">
        <f>AI16*[11]Deflator!$U$20/[11]Deflator!$V$20</f>
        <v>7.3979412561282611</v>
      </c>
      <c r="AJ35" s="93">
        <f>AJ16*[11]Deflator!$U$20/[11]Deflator!$V$20</f>
        <v>7.3979412561282611</v>
      </c>
      <c r="AM35" t="str">
        <f>AM16</f>
        <v>United States Mbtu</v>
      </c>
      <c r="AN35" s="93">
        <f>AN16*[11]Deflator!$U$20/[11]Deflator!$V$20</f>
        <v>2.6282159725718826</v>
      </c>
      <c r="AO35" s="93">
        <f>AO16*[11]Deflator!$U$20/[11]Deflator!$V$20</f>
        <v>3.5042879634291761</v>
      </c>
      <c r="AP35" s="93">
        <f>AP16*[11]Deflator!$U$20/[11]Deflator!$V$20</f>
        <v>4.964407948191333</v>
      </c>
      <c r="AQ35" s="93">
        <f>AQ16*[11]Deflator!$U$20/[11]Deflator!$V$20</f>
        <v>5.4511146097787186</v>
      </c>
      <c r="AR35" s="93">
        <f>AR16*[11]Deflator!$U$20/[11]Deflator!$V$20</f>
        <v>5.8404799390486275</v>
      </c>
      <c r="AS35" s="93">
        <f>AS16*[11]Deflator!$U$20/[11]Deflator!$V$20</f>
        <v>6.6192105975884443</v>
      </c>
      <c r="AT35" s="93">
        <f>AT16*[11]Deflator!$U$20/[11]Deflator!$V$20</f>
        <v>3.5407909630482304</v>
      </c>
      <c r="AU35" s="93">
        <f>AU16*[11]Deflator!$U$20/[11]Deflator!$V$20</f>
        <v>5.0617492805088107</v>
      </c>
      <c r="AV35" s="93">
        <f>AV16*[11]Deflator!$U$20/[11]Deflator!$V$20</f>
        <v>5.6457972744136731</v>
      </c>
      <c r="AW35" s="93">
        <f>AW16*[11]Deflator!$U$20/[11]Deflator!$V$20</f>
        <v>6.0351626036835819</v>
      </c>
      <c r="AX35" s="93">
        <f>AX16*[11]Deflator!$U$20/[11]Deflator!$V$20</f>
        <v>6.716551929905922</v>
      </c>
      <c r="AY35" s="93">
        <f>AY16*[11]Deflator!$U$20/[11]Deflator!$V$20</f>
        <v>3.3947789645720143</v>
      </c>
      <c r="AZ35" s="93">
        <f>AZ16*[11]Deflator!$U$20/[11]Deflator!$V$20</f>
        <v>4.6723839512389018</v>
      </c>
      <c r="BA35" s="93">
        <f>BA16*[11]Deflator!$U$20/[11]Deflator!$V$20</f>
        <v>5.2564319451437651</v>
      </c>
      <c r="BB35" s="93">
        <f>BB16*[11]Deflator!$U$20/[11]Deflator!$V$20</f>
        <v>5.5484559420961963</v>
      </c>
      <c r="BC35" s="93">
        <f>BC16*[11]Deflator!$U$20/[11]Deflator!$V$20</f>
        <v>5.7431386067311507</v>
      </c>
    </row>
    <row r="36" spans="2:55" x14ac:dyDescent="0.25">
      <c r="B36" t="s">
        <v>781</v>
      </c>
      <c r="C36">
        <v>2035</v>
      </c>
      <c r="T36" t="str">
        <f>T17</f>
        <v>Europe Mbtu</v>
      </c>
      <c r="U36" s="93">
        <f>U17*[11]Deflator!$U$20/[11]Deflator!$V$20</f>
        <v>9.3447679024778036</v>
      </c>
      <c r="V36" s="93">
        <f>V17*[11]Deflator!$U$20/[11]Deflator!$V$20</f>
        <v>10.707546554922484</v>
      </c>
      <c r="W36" s="93">
        <f>W17*[11]Deflator!$U$20/[11]Deflator!$V$20</f>
        <v>11.194253216509869</v>
      </c>
      <c r="X36" s="93">
        <f>X17*[11]Deflator!$U$20/[11]Deflator!$V$20</f>
        <v>11.583618545779778</v>
      </c>
      <c r="Y36" s="93">
        <f>Y17*[11]Deflator!$U$20/[11]Deflator!$V$20</f>
        <v>11.875642542732209</v>
      </c>
      <c r="Z36" s="93">
        <f>Z17*[11]Deflator!$U$20/[11]Deflator!$V$20</f>
        <v>12.167666539684641</v>
      </c>
      <c r="AA36" s="93">
        <f>AA17*[11]Deflator!$U$20/[11]Deflator!$V$20</f>
        <v>10.804887887239961</v>
      </c>
      <c r="AB36" s="93">
        <f>AB17*[11]Deflator!$U$20/[11]Deflator!$V$20</f>
        <v>11.778301210414732</v>
      </c>
      <c r="AC36" s="93">
        <f>AC17*[11]Deflator!$U$20/[11]Deflator!$V$20</f>
        <v>12.557031868954549</v>
      </c>
      <c r="AD36" s="93">
        <f>AD17*[11]Deflator!$U$20/[11]Deflator!$V$20</f>
        <v>13.043738530541935</v>
      </c>
      <c r="AE36" s="93">
        <f>AE17*[11]Deflator!$U$20/[11]Deflator!$V$20</f>
        <v>13.335762527494365</v>
      </c>
      <c r="AF36" s="93">
        <f>AF17*[11]Deflator!$U$20/[11]Deflator!$V$20</f>
        <v>10.610205222605007</v>
      </c>
      <c r="AG36" s="93">
        <f>AG17*[11]Deflator!$U$20/[11]Deflator!$V$20</f>
        <v>10.51286389028753</v>
      </c>
      <c r="AH36" s="93">
        <f>AH17*[11]Deflator!$U$20/[11]Deflator!$V$20</f>
        <v>10.123498561017621</v>
      </c>
      <c r="AI36" s="93">
        <f>AI17*[11]Deflator!$U$20/[11]Deflator!$V$20</f>
        <v>9.7341332317477125</v>
      </c>
      <c r="AJ36" s="93">
        <f>AJ17*[11]Deflator!$U$20/[11]Deflator!$V$20</f>
        <v>9.3447679024778036</v>
      </c>
      <c r="AM36" t="str">
        <f>AM17</f>
        <v>Europe Mbtu</v>
      </c>
      <c r="AN36" s="93">
        <f>AN17*[11]Deflator!$U$20/[11]Deflator!$V$20</f>
        <v>11.388935881144823</v>
      </c>
      <c r="AO36" s="93">
        <f>AO17*[11]Deflator!$U$20/[11]Deflator!$V$20</f>
        <v>11.461941880382932</v>
      </c>
      <c r="AP36" s="93">
        <f>AP17*[11]Deflator!$U$20/[11]Deflator!$V$20</f>
        <v>11.583618545779778</v>
      </c>
      <c r="AQ36" s="93">
        <f>AQ17*[11]Deflator!$U$20/[11]Deflator!$V$20</f>
        <v>11.680959878097255</v>
      </c>
      <c r="AR36" s="93">
        <f>AR17*[11]Deflator!$U$20/[11]Deflator!$V$20</f>
        <v>11.972983875049687</v>
      </c>
      <c r="AS36" s="93">
        <f>AS17*[11]Deflator!$U$20/[11]Deflator!$V$20</f>
        <v>12.362349204319594</v>
      </c>
      <c r="AT36" s="93">
        <f>AT17*[11]Deflator!$U$20/[11]Deflator!$V$20</f>
        <v>11.644456878478202</v>
      </c>
      <c r="AU36" s="93">
        <f>AU17*[11]Deflator!$U$20/[11]Deflator!$V$20</f>
        <v>12.070325207367164</v>
      </c>
      <c r="AV36" s="93">
        <f>AV17*[11]Deflator!$U$20/[11]Deflator!$V$20</f>
        <v>12.557031868954549</v>
      </c>
      <c r="AW36" s="93">
        <f>AW17*[11]Deflator!$U$20/[11]Deflator!$V$20</f>
        <v>13.043738530541935</v>
      </c>
      <c r="AX36" s="93">
        <f>AX17*[11]Deflator!$U$20/[11]Deflator!$V$20</f>
        <v>13.627786524446798</v>
      </c>
      <c r="AY36" s="93">
        <f>AY17*[11]Deflator!$U$20/[11]Deflator!$V$20</f>
        <v>11.315929881906715</v>
      </c>
      <c r="AZ36" s="93">
        <f>AZ17*[11]Deflator!$U$20/[11]Deflator!$V$20</f>
        <v>11.194253216509869</v>
      </c>
      <c r="BA36" s="93">
        <f>BA17*[11]Deflator!$U$20/[11]Deflator!$V$20</f>
        <v>10.707546554922484</v>
      </c>
      <c r="BB36" s="93">
        <f>BB17*[11]Deflator!$U$20/[11]Deflator!$V$20</f>
        <v>9.928815896382666</v>
      </c>
      <c r="BC36" s="93">
        <f>BC17*[11]Deflator!$U$20/[11]Deflator!$V$20</f>
        <v>9.2474265701603269</v>
      </c>
    </row>
    <row r="37" spans="2:55" x14ac:dyDescent="0.25">
      <c r="T37" t="str">
        <f>T18</f>
        <v>Japan Mbtu</v>
      </c>
      <c r="U37" s="93">
        <f>U18*[11]Deflator!$U$20/[11]Deflator!$V$20</f>
        <v>14.406517182986615</v>
      </c>
      <c r="V37" s="93">
        <f>V18*[11]Deflator!$U$20/[11]Deflator!$V$20</f>
        <v>14.601199847621569</v>
      </c>
      <c r="W37" s="93">
        <f>W18*[11]Deflator!$U$20/[11]Deflator!$V$20</f>
        <v>13.91981052139923</v>
      </c>
      <c r="X37" s="93">
        <f>X18*[11]Deflator!$U$20/[11]Deflator!$V$20</f>
        <v>14.114493186034183</v>
      </c>
      <c r="Y37" s="93">
        <f>Y18*[11]Deflator!$U$20/[11]Deflator!$V$20</f>
        <v>14.309175850669137</v>
      </c>
      <c r="Z37" s="93">
        <f>Z18*[11]Deflator!$U$20/[11]Deflator!$V$20</f>
        <v>14.406517182986615</v>
      </c>
      <c r="AA37" s="93">
        <f>AA18*[11]Deflator!$U$20/[11]Deflator!$V$20</f>
        <v>14.893223844574001</v>
      </c>
      <c r="AB37" s="93">
        <f>AB18*[11]Deflator!$U$20/[11]Deflator!$V$20</f>
        <v>14.309175850669137</v>
      </c>
      <c r="AC37" s="93">
        <f>AC18*[11]Deflator!$U$20/[11]Deflator!$V$20</f>
        <v>14.795882512256522</v>
      </c>
      <c r="AD37" s="93">
        <f>AD18*[11]Deflator!$U$20/[11]Deflator!$V$20</f>
        <v>15.185247841526431</v>
      </c>
      <c r="AE37" s="93">
        <f>AE18*[11]Deflator!$U$20/[11]Deflator!$V$20</f>
        <v>15.57461317079634</v>
      </c>
      <c r="AF37" s="93">
        <f>AF18*[11]Deflator!$U$20/[11]Deflator!$V$20</f>
        <v>14.503858515304092</v>
      </c>
      <c r="AG37" s="93">
        <f>AG18*[11]Deflator!$U$20/[11]Deflator!$V$20</f>
        <v>13.141079862859412</v>
      </c>
      <c r="AH37" s="93">
        <f>AH18*[11]Deflator!$U$20/[11]Deflator!$V$20</f>
        <v>12.557031868954549</v>
      </c>
      <c r="AI37" s="93">
        <f>AI18*[11]Deflator!$U$20/[11]Deflator!$V$20</f>
        <v>12.167666539684641</v>
      </c>
      <c r="AJ37" s="93">
        <f>AJ18*[11]Deflator!$U$20/[11]Deflator!$V$20</f>
        <v>11.875642542732209</v>
      </c>
      <c r="AM37" t="str">
        <f>AM18</f>
        <v>Japan Mbtu</v>
      </c>
      <c r="AN37" s="93">
        <f>AN18*[11]Deflator!$U$20/[11]Deflator!$V$20</f>
        <v>16.450685161653631</v>
      </c>
      <c r="AO37" s="93">
        <f>AO18*[11]Deflator!$U$20/[11]Deflator!$V$20</f>
        <v>15.465104171939178</v>
      </c>
      <c r="AP37" s="93">
        <f>AP18*[11]Deflator!$U$20/[11]Deflator!$V$20</f>
        <v>13.822469189081751</v>
      </c>
      <c r="AQ37" s="93">
        <f>AQ18*[11]Deflator!$U$20/[11]Deflator!$V$20</f>
        <v>13.822469189081751</v>
      </c>
      <c r="AR37" s="93">
        <f>AR18*[11]Deflator!$U$20/[11]Deflator!$V$20</f>
        <v>14.017151853716706</v>
      </c>
      <c r="AS37" s="93">
        <f>AS18*[11]Deflator!$U$20/[11]Deflator!$V$20</f>
        <v>14.503858515304092</v>
      </c>
      <c r="AT37" s="93">
        <f>AT18*[11]Deflator!$U$20/[11]Deflator!$V$20</f>
        <v>15.647619170034448</v>
      </c>
      <c r="AU37" s="93">
        <f>AU18*[11]Deflator!$U$20/[11]Deflator!$V$20</f>
        <v>14.309175850669137</v>
      </c>
      <c r="AV37" s="93">
        <f>AV18*[11]Deflator!$U$20/[11]Deflator!$V$20</f>
        <v>14.795882512256522</v>
      </c>
      <c r="AW37" s="93">
        <f>AW18*[11]Deflator!$U$20/[11]Deflator!$V$20</f>
        <v>15.477271838478863</v>
      </c>
      <c r="AX37" s="93">
        <f>AX18*[11]Deflator!$U$20/[11]Deflator!$V$20</f>
        <v>16.256002497018677</v>
      </c>
      <c r="AY37" s="93">
        <f>AY18*[11]Deflator!$U$20/[11]Deflator!$V$20</f>
        <v>15.173080174986747</v>
      </c>
      <c r="AZ37" s="93">
        <f>AZ18*[11]Deflator!$U$20/[11]Deflator!$V$20</f>
        <v>13.043738530541935</v>
      </c>
      <c r="BA37" s="93">
        <f>BA18*[11]Deflator!$U$20/[11]Deflator!$V$20</f>
        <v>12.459690536637073</v>
      </c>
      <c r="BB37" s="93">
        <f>BB18*[11]Deflator!$U$20/[11]Deflator!$V$20</f>
        <v>11.875642542732209</v>
      </c>
      <c r="BC37" s="93">
        <f>BC18*[11]Deflator!$U$20/[11]Deflator!$V$20</f>
        <v>11.388935881144823</v>
      </c>
    </row>
    <row r="38" spans="2:55" x14ac:dyDescent="0.25">
      <c r="B38" t="s">
        <v>784</v>
      </c>
      <c r="C38">
        <v>125</v>
      </c>
      <c r="T38" t="str">
        <f>T19</f>
        <v>OECD steam coal imports</v>
      </c>
      <c r="U38" s="93">
        <f>U19*[11]Deflator!$U$20/[11]Deflator!$V$20</f>
        <v>120.11920407976677</v>
      </c>
      <c r="V38" s="93">
        <f>V19*[11]Deflator!$U$20/[11]Deflator!$V$20</f>
        <v>105.61534556446269</v>
      </c>
      <c r="W38" s="93">
        <f>W19*[11]Deflator!$U$20/[11]Deflator!$V$20</f>
        <v>109.02229219557438</v>
      </c>
      <c r="X38" s="93">
        <f>X19*[11]Deflator!$U$20/[11]Deflator!$V$20</f>
        <v>109.99570551874915</v>
      </c>
      <c r="Y38" s="93">
        <f>Y19*[11]Deflator!$U$20/[11]Deflator!$V$20</f>
        <v>110.96911884192392</v>
      </c>
      <c r="Z38" s="93">
        <f>Z19*[11]Deflator!$U$20/[11]Deflator!$V$20</f>
        <v>111.9425321650987</v>
      </c>
      <c r="AA38" s="93">
        <f>AA19*[11]Deflator!$U$20/[11]Deflator!$V$20</f>
        <v>107.07546554922483</v>
      </c>
      <c r="AB38" s="93">
        <f>AB19*[11]Deflator!$U$20/[11]Deflator!$V$20</f>
        <v>111.9425321650987</v>
      </c>
      <c r="AC38" s="93">
        <f>AC19*[11]Deflator!$U$20/[11]Deflator!$V$20</f>
        <v>116.03086812243274</v>
      </c>
      <c r="AD38" s="93">
        <f>AD19*[11]Deflator!$U$20/[11]Deflator!$V$20</f>
        <v>119.24313208890948</v>
      </c>
      <c r="AE38" s="93">
        <f>AE19*[11]Deflator!$U$20/[11]Deflator!$V$20</f>
        <v>121.6766653968464</v>
      </c>
      <c r="AF38" s="93">
        <f>AF19*[11]Deflator!$U$20/[11]Deflator!$V$20</f>
        <v>102.50042293030342</v>
      </c>
      <c r="AG38" s="93">
        <f>AG19*[11]Deflator!$U$20/[11]Deflator!$V$20</f>
        <v>94.907799009540199</v>
      </c>
      <c r="AH38" s="93">
        <f>AH19*[11]Deflator!$U$20/[11]Deflator!$V$20</f>
        <v>86.633785762554638</v>
      </c>
      <c r="AI38" s="93">
        <f>AI19*[11]Deflator!$U$20/[11]Deflator!$V$20</f>
        <v>75.92623920763215</v>
      </c>
      <c r="AJ38" s="93">
        <f>AJ19*[11]Deflator!$U$20/[11]Deflator!$V$20</f>
        <v>68.13893262223398</v>
      </c>
      <c r="AM38" t="str">
        <f>AM19</f>
        <v>OECD steam coal imports</v>
      </c>
      <c r="AN38" s="93">
        <f>AN19*[11]Deflator!$U$20/[11]Deflator!$V$20</f>
        <v>96.367918994302357</v>
      </c>
      <c r="AO38" s="93">
        <f>AO19*[11]Deflator!$U$20/[11]Deflator!$V$20</f>
        <v>98.923128967636131</v>
      </c>
      <c r="AP38" s="93">
        <f>AP19*[11]Deflator!$U$20/[11]Deflator!$V$20</f>
        <v>103.18181225652575</v>
      </c>
      <c r="AQ38" s="93">
        <f>AQ19*[11]Deflator!$U$20/[11]Deflator!$V$20</f>
        <v>106.10205222605006</v>
      </c>
      <c r="AR38" s="93">
        <f>AR19*[11]Deflator!$U$20/[11]Deflator!$V$20</f>
        <v>107.07546554922483</v>
      </c>
      <c r="AS38" s="93">
        <f>AS19*[11]Deflator!$U$20/[11]Deflator!$V$20</f>
        <v>107.07546554922483</v>
      </c>
      <c r="AT38" s="93">
        <f>AT19*[11]Deflator!$U$20/[11]Deflator!$V$20</f>
        <v>101.11330894477936</v>
      </c>
      <c r="AU38" s="93">
        <f>AU19*[11]Deflator!$U$20/[11]Deflator!$V$20</f>
        <v>109.02229219557438</v>
      </c>
      <c r="AV38" s="93">
        <f>AV19*[11]Deflator!$U$20/[11]Deflator!$V$20</f>
        <v>112.91594548827347</v>
      </c>
      <c r="AW38" s="93">
        <f>AW19*[11]Deflator!$U$20/[11]Deflator!$V$20</f>
        <v>114.862772134623</v>
      </c>
      <c r="AX38" s="93">
        <f>AX19*[11]Deflator!$U$20/[11]Deflator!$V$20</f>
        <v>116.80959878097255</v>
      </c>
      <c r="AY38" s="93">
        <f>AY19*[11]Deflator!$U$20/[11]Deflator!$V$20</f>
        <v>97.09797898668343</v>
      </c>
      <c r="AZ38" s="93">
        <f>AZ19*[11]Deflator!$U$20/[11]Deflator!$V$20</f>
        <v>98.314745640651893</v>
      </c>
      <c r="BA38" s="93">
        <f>BA19*[11]Deflator!$U$20/[11]Deflator!$V$20</f>
        <v>92.474265701603272</v>
      </c>
      <c r="BB38" s="93">
        <f>BB19*[11]Deflator!$U$20/[11]Deflator!$V$20</f>
        <v>83.71354579303032</v>
      </c>
      <c r="BC38" s="93">
        <f>BC19*[11]Deflator!$U$20/[11]Deflator!$V$20</f>
        <v>73.005999238107847</v>
      </c>
    </row>
    <row r="39" spans="2:55" x14ac:dyDescent="0.25">
      <c r="B39" t="s">
        <v>785</v>
      </c>
      <c r="C39">
        <v>145</v>
      </c>
      <c r="D39">
        <v>8</v>
      </c>
      <c r="E39">
        <v>14.8</v>
      </c>
      <c r="F39">
        <v>12.5</v>
      </c>
    </row>
    <row r="40" spans="2:55" x14ac:dyDescent="0.25">
      <c r="B40" s="138">
        <v>450</v>
      </c>
      <c r="C40">
        <v>100</v>
      </c>
    </row>
    <row r="41" spans="2:55" x14ac:dyDescent="0.25">
      <c r="D41">
        <f>D39/$C$39</f>
        <v>5.5172413793103448E-2</v>
      </c>
      <c r="E41">
        <f>E39/$C$39</f>
        <v>0.10206896551724139</v>
      </c>
      <c r="F41">
        <f>F39/$C$39</f>
        <v>8.6206896551724144E-2</v>
      </c>
    </row>
    <row r="42" spans="2:55" x14ac:dyDescent="0.25">
      <c r="V42" s="347">
        <f>(V33/U33)^(1/(V32-U32))-1</f>
        <v>1.8970074044000862E-2</v>
      </c>
      <c r="W42" s="347">
        <f>(W33/V33)^(1/(W32-V32))-1</f>
        <v>5.962944044239471E-3</v>
      </c>
      <c r="X42" s="347">
        <f>(X33/W33)^(1/(X32-W32))-1</f>
        <v>3.9848515148914743E-3</v>
      </c>
      <c r="Y42" s="347">
        <f>(Y33/X33)^(1/(Y32-X32))-1</f>
        <v>2.773741429406007E-3</v>
      </c>
      <c r="Z42" s="347">
        <f>(Z33/Y33)^(1/(Z32-Y32))-1</f>
        <v>2.2551775519457085E-3</v>
      </c>
      <c r="AA42" s="347">
        <f>(AA33/U33)^(1/(AA32-U32))-1</f>
        <v>2.4200203441211432E-2</v>
      </c>
      <c r="AB42" s="347">
        <f>(AB33/AA33)^(1/(AB32-AA32))-1</f>
        <v>1.6190173044798639E-2</v>
      </c>
      <c r="AC42" s="347">
        <f>(AC33/AB33)^(1/(AC32-AB32))-1</f>
        <v>1.1129093467930451E-2</v>
      </c>
      <c r="AD42" s="347">
        <f>(AD33/AC33)^(1/(AD32-AC32))-1</f>
        <v>7.9835969709516341E-3</v>
      </c>
      <c r="AE42" s="347">
        <f>(AE33/AD33)^(1/(AE32-AD32))-1</f>
        <v>5.4678712507574279E-3</v>
      </c>
      <c r="AF42" s="347">
        <f>(AF33/U33)^(1/(AF32-U32))-1</f>
        <v>1.7429343745218651E-2</v>
      </c>
      <c r="AG42" s="347">
        <f>(AG33/AF33)^(1/(AG32-AF32))-1</f>
        <v>-3.4935352041365331E-3</v>
      </c>
      <c r="AH42" s="347">
        <f>(AH33/AG33)^(1/(AH32-AG32))-1</f>
        <v>-7.5263888527359324E-3</v>
      </c>
      <c r="AI42" s="347">
        <f>(AI33/AH33)^(1/(AI32-AH32))-1</f>
        <v>-8.1993553946574371E-3</v>
      </c>
      <c r="AJ42" s="347">
        <f>(AJ33/AI33)^(1/(AJ32-AI32))-1</f>
        <v>-9.1437259266209381E-3</v>
      </c>
      <c r="AO42" s="347">
        <f>(AO33/AN33)^(1/(AO32-AN32))-1</f>
        <v>3.4227539726290335E-3</v>
      </c>
      <c r="AP42" s="347">
        <f>(AP33/AO33)^(1/(AP32-AO32))-1</f>
        <v>4.4844848921270497E-3</v>
      </c>
      <c r="AQ42" s="347">
        <f>(AQ33/AP33)^(1/(AQ32-AP32))-1</f>
        <v>5.2542297827959938E-3</v>
      </c>
      <c r="AR42" s="347">
        <f>(AR33/AQ33)^(1/(AR32-AQ32))-1</f>
        <v>8.4757887127040465E-3</v>
      </c>
      <c r="AS42" s="347">
        <f>(AS33/AR33)^(1/(AS32-AR32))-1</f>
        <v>1.1311439625934394E-2</v>
      </c>
      <c r="AT42" s="347">
        <f>(AT33/AN33)^(1/(AT32-AN32))-1</f>
        <v>9.3296321558093975E-3</v>
      </c>
      <c r="AU42" s="347">
        <f>(AU33/AT33)^(1/(AU32-AT32))-1</f>
        <v>1.1869558861851592E-2</v>
      </c>
      <c r="AV42" s="347">
        <f>(AV33/AU33)^(1/(AV32-AU32))-1</f>
        <v>1.1403599651385044E-2</v>
      </c>
      <c r="AW42" s="347">
        <f>(AW33/AV33)^(1/(AW32-AV32))-1</f>
        <v>1.3787746070069717E-2</v>
      </c>
      <c r="AX42" s="347">
        <f>(AX33/AW33)^(1/(AX32-AW32))-1</f>
        <v>1.2898245280189125E-2</v>
      </c>
      <c r="AY42" s="347">
        <f>(AY33/AN33)^(1/(AY32-AN32))-1</f>
        <v>8.5898432806441605E-4</v>
      </c>
      <c r="AZ42" s="347">
        <f>(AZ33/AY33)^(1/(AZ32-AY32))-1</f>
        <v>1.140253818557202E-3</v>
      </c>
      <c r="BA42" s="347">
        <f>(BA33/AZ33)^(1/(BA32-AZ32))-1</f>
        <v>-5.5150422735510407E-3</v>
      </c>
      <c r="BB42" s="347">
        <f>(BB33/BA33)^(1/(BB32-BA32))-1</f>
        <v>-5.6714433615395743E-3</v>
      </c>
      <c r="BC42" s="347">
        <f>(BC33/BB33)^(1/(BC32-BB32))-1</f>
        <v>-7.8134576287804958E-3</v>
      </c>
    </row>
    <row r="43" spans="2:55" x14ac:dyDescent="0.25">
      <c r="B43" t="s">
        <v>785</v>
      </c>
      <c r="D43">
        <v>2011</v>
      </c>
      <c r="E43">
        <v>2015</v>
      </c>
      <c r="F43">
        <v>2020</v>
      </c>
      <c r="G43">
        <v>2025</v>
      </c>
      <c r="H43">
        <v>2030</v>
      </c>
      <c r="I43">
        <v>2035</v>
      </c>
      <c r="V43" s="348">
        <f>AVERAGE(V42:Z42)</f>
        <v>6.7893577168967045E-3</v>
      </c>
      <c r="W43" s="348"/>
      <c r="X43" s="348"/>
      <c r="Y43" s="348"/>
      <c r="Z43" s="348"/>
      <c r="AA43" s="348">
        <f>AVERAGE(AA42:AE42)</f>
        <v>1.2994187635129916E-2</v>
      </c>
      <c r="AB43" s="348"/>
      <c r="AC43" s="348"/>
      <c r="AD43" s="348"/>
      <c r="AE43" s="348"/>
      <c r="AF43" s="348">
        <f>AVERAGE(AF42:AJ42)</f>
        <v>-2.1867323265864378E-3</v>
      </c>
      <c r="AG43" s="348"/>
      <c r="AH43" s="348"/>
      <c r="AI43" s="348"/>
      <c r="AJ43" s="348"/>
      <c r="AO43" s="348">
        <f>AVERAGE(AO42:AS42)</f>
        <v>6.5897393972381034E-3</v>
      </c>
      <c r="AP43" s="348"/>
      <c r="AQ43" s="348"/>
      <c r="AR43" s="348"/>
      <c r="AS43" s="348"/>
      <c r="AT43" s="348">
        <f>AVERAGE(AT42:AX42)</f>
        <v>1.1857756403860975E-2</v>
      </c>
      <c r="AU43" s="348"/>
      <c r="AV43" s="348"/>
      <c r="AW43" s="348"/>
      <c r="AX43" s="348"/>
      <c r="AY43" s="348">
        <f>AVERAGE(AY42:BC42)</f>
        <v>-3.4001410234498985E-3</v>
      </c>
      <c r="AZ43" s="348"/>
      <c r="BA43" s="348"/>
      <c r="BB43" s="348"/>
      <c r="BC43" s="348"/>
    </row>
    <row r="44" spans="2:55" x14ac:dyDescent="0.25">
      <c r="B44" t="s">
        <v>809</v>
      </c>
      <c r="C44" t="s">
        <v>686</v>
      </c>
      <c r="D44">
        <v>107.6</v>
      </c>
      <c r="E44">
        <v>118.4</v>
      </c>
      <c r="F44">
        <v>128.30000000000001</v>
      </c>
      <c r="G44">
        <v>135.69999999999999</v>
      </c>
      <c r="H44">
        <v>141.1</v>
      </c>
      <c r="I44">
        <v>145</v>
      </c>
      <c r="V44" s="348"/>
      <c r="W44" s="348"/>
      <c r="X44" s="348"/>
      <c r="Y44" s="348"/>
      <c r="Z44" s="348"/>
      <c r="AA44" s="348">
        <f>AA43-V43</f>
        <v>6.2048299182332119E-3</v>
      </c>
      <c r="AB44" s="348"/>
      <c r="AC44" s="348"/>
      <c r="AD44" s="348"/>
      <c r="AE44" s="348"/>
      <c r="AF44" s="348">
        <f>V43-AF43</f>
        <v>8.9760900434831432E-3</v>
      </c>
      <c r="AG44" s="348"/>
      <c r="AH44" s="348"/>
      <c r="AI44" s="348"/>
      <c r="AJ44" s="348"/>
      <c r="AO44" s="348"/>
      <c r="AP44" s="348"/>
      <c r="AQ44" s="348"/>
      <c r="AR44" s="348"/>
      <c r="AS44" s="348"/>
      <c r="AT44" s="348">
        <f>AT43-AO43</f>
        <v>5.2680170066228714E-3</v>
      </c>
      <c r="AU44" s="348"/>
      <c r="AV44" s="348"/>
      <c r="AW44" s="348"/>
      <c r="AX44" s="348"/>
      <c r="AY44" s="348">
        <f>AO43-AY43</f>
        <v>9.9898804206880014E-3</v>
      </c>
      <c r="AZ44" s="348"/>
      <c r="BA44" s="348"/>
      <c r="BB44" s="348"/>
      <c r="BC44" s="348"/>
    </row>
    <row r="45" spans="2:55" x14ac:dyDescent="0.25">
      <c r="B45" t="s">
        <v>810</v>
      </c>
      <c r="C45" t="s">
        <v>811</v>
      </c>
      <c r="D45">
        <v>14.8</v>
      </c>
      <c r="E45">
        <v>15.3</v>
      </c>
      <c r="F45">
        <v>14.7</v>
      </c>
      <c r="G45">
        <v>15.2</v>
      </c>
      <c r="H45">
        <v>15.6</v>
      </c>
      <c r="I45">
        <v>16</v>
      </c>
      <c r="V45" s="344">
        <f t="shared" ref="V45:Z48" si="16">V35/U35-1</f>
        <v>0.12195121951219523</v>
      </c>
      <c r="W45" s="344">
        <f t="shared" si="16"/>
        <v>0.17391304347826098</v>
      </c>
      <c r="X45" s="344">
        <f t="shared" si="16"/>
        <v>0.16666666666666652</v>
      </c>
      <c r="Y45" s="344">
        <f t="shared" si="16"/>
        <v>0.12698412698412698</v>
      </c>
      <c r="Z45" s="344">
        <f t="shared" si="16"/>
        <v>0.12676056338028174</v>
      </c>
      <c r="AA45" s="344">
        <f>AA35/U35-1</f>
        <v>0.12195121951219523</v>
      </c>
      <c r="AB45" s="344">
        <f t="shared" ref="AB45:AE48" si="17">AB35/AA35-1</f>
        <v>0.19565217391304368</v>
      </c>
      <c r="AC45" s="344">
        <f t="shared" si="17"/>
        <v>0.1636363636363638</v>
      </c>
      <c r="AD45" s="344">
        <f t="shared" si="17"/>
        <v>0.125</v>
      </c>
      <c r="AE45" s="344">
        <f t="shared" si="17"/>
        <v>0.11111111111111116</v>
      </c>
      <c r="AF45" s="344">
        <f>AF35/U35-1</f>
        <v>7.317073170731736E-2</v>
      </c>
      <c r="AG45" s="344">
        <f t="shared" ref="AG45:AJ48" si="18">AG35/AF35-1</f>
        <v>0.25</v>
      </c>
      <c r="AH45" s="344">
        <f t="shared" si="18"/>
        <v>0.25454545454545463</v>
      </c>
      <c r="AI45" s="344">
        <f t="shared" si="18"/>
        <v>0.10144927536231862</v>
      </c>
      <c r="AJ45" s="344">
        <f t="shared" si="18"/>
        <v>0</v>
      </c>
      <c r="AO45" s="344">
        <f t="shared" ref="AO45:AS48" si="19">AO35/AN35-1</f>
        <v>0.33333333333333304</v>
      </c>
      <c r="AP45" s="344">
        <f t="shared" si="19"/>
        <v>0.41666666666666674</v>
      </c>
      <c r="AQ45" s="344">
        <f t="shared" si="19"/>
        <v>9.8039215686274606E-2</v>
      </c>
      <c r="AR45" s="344">
        <f t="shared" si="19"/>
        <v>7.1428571428571397E-2</v>
      </c>
      <c r="AS45" s="344">
        <f t="shared" si="19"/>
        <v>0.1333333333333333</v>
      </c>
      <c r="AT45" s="344">
        <f>AT35/AN35-1</f>
        <v>0.3472222222222221</v>
      </c>
      <c r="AU45" s="344">
        <f t="shared" ref="AU45:AX48" si="20">AU35/AT35-1</f>
        <v>0.42955326460481102</v>
      </c>
      <c r="AV45" s="344">
        <f t="shared" si="20"/>
        <v>0.11538461538461542</v>
      </c>
      <c r="AW45" s="344">
        <f t="shared" si="20"/>
        <v>6.8965517241379448E-2</v>
      </c>
      <c r="AX45" s="344">
        <f t="shared" si="20"/>
        <v>0.11290322580645173</v>
      </c>
      <c r="AY45" s="344">
        <f>AY35/AN35-1</f>
        <v>0.29166666666666652</v>
      </c>
      <c r="AZ45" s="344">
        <f t="shared" ref="AZ45:BC48" si="21">AZ35/AY35-1</f>
        <v>0.37634408602150549</v>
      </c>
      <c r="BA45" s="344">
        <f t="shared" si="21"/>
        <v>0.12500000000000022</v>
      </c>
      <c r="BB45" s="344">
        <f t="shared" si="21"/>
        <v>5.555555555555558E-2</v>
      </c>
      <c r="BC45" s="344">
        <f t="shared" si="21"/>
        <v>3.5087719298245723E-2</v>
      </c>
    </row>
    <row r="46" spans="2:55" x14ac:dyDescent="0.25">
      <c r="V46" s="344">
        <f t="shared" si="16"/>
        <v>0.14583333333333348</v>
      </c>
      <c r="W46" s="344">
        <f t="shared" si="16"/>
        <v>4.5454545454545414E-2</v>
      </c>
      <c r="X46" s="344">
        <f t="shared" si="16"/>
        <v>3.4782608695652195E-2</v>
      </c>
      <c r="Y46" s="344">
        <f t="shared" si="16"/>
        <v>2.5210084033613356E-2</v>
      </c>
      <c r="Z46" s="344">
        <f t="shared" si="16"/>
        <v>2.4590163934426368E-2</v>
      </c>
      <c r="AA46" s="344">
        <f>AA36/U36-1</f>
        <v>0.15625</v>
      </c>
      <c r="AB46" s="344">
        <f t="shared" si="17"/>
        <v>9.0090090090090058E-2</v>
      </c>
      <c r="AC46" s="344">
        <f t="shared" si="17"/>
        <v>6.6115702479338845E-2</v>
      </c>
      <c r="AD46" s="344">
        <f t="shared" si="17"/>
        <v>3.8759689922480689E-2</v>
      </c>
      <c r="AE46" s="344">
        <f t="shared" si="17"/>
        <v>2.2388059701492491E-2</v>
      </c>
      <c r="AF46" s="344">
        <f>AF36/U36-1</f>
        <v>0.13541666666666674</v>
      </c>
      <c r="AG46" s="344">
        <f t="shared" si="18"/>
        <v>-9.1743119266054496E-3</v>
      </c>
      <c r="AH46" s="344">
        <f t="shared" si="18"/>
        <v>-3.703703703703709E-2</v>
      </c>
      <c r="AI46" s="344">
        <f t="shared" si="18"/>
        <v>-3.8461538461538547E-2</v>
      </c>
      <c r="AJ46" s="344">
        <f t="shared" si="18"/>
        <v>-4.0000000000000036E-2</v>
      </c>
      <c r="AO46" s="344">
        <f t="shared" si="19"/>
        <v>6.4102564102566095E-3</v>
      </c>
      <c r="AP46" s="344">
        <f t="shared" si="19"/>
        <v>1.0615711252653925E-2</v>
      </c>
      <c r="AQ46" s="344">
        <f t="shared" si="19"/>
        <v>8.4033613445377853E-3</v>
      </c>
      <c r="AR46" s="344">
        <f t="shared" si="19"/>
        <v>2.5000000000000133E-2</v>
      </c>
      <c r="AS46" s="344">
        <f t="shared" si="19"/>
        <v>3.2520325203251987E-2</v>
      </c>
      <c r="AT46" s="344">
        <f>AT36/AN36-1</f>
        <v>2.2435897435897578E-2</v>
      </c>
      <c r="AU46" s="344">
        <f t="shared" si="20"/>
        <v>3.6572622779519337E-2</v>
      </c>
      <c r="AV46" s="344">
        <f t="shared" si="20"/>
        <v>4.0322580645161255E-2</v>
      </c>
      <c r="AW46" s="344">
        <f t="shared" si="20"/>
        <v>3.8759689922480689E-2</v>
      </c>
      <c r="AX46" s="344">
        <f t="shared" si="20"/>
        <v>4.4776119402984982E-2</v>
      </c>
      <c r="AY46" s="344">
        <f>AY36/AN36-1</f>
        <v>-6.4102564102563875E-3</v>
      </c>
      <c r="AZ46" s="344">
        <f t="shared" si="21"/>
        <v>-1.0752688172043001E-2</v>
      </c>
      <c r="BA46" s="344">
        <f t="shared" si="21"/>
        <v>-4.3478260869565188E-2</v>
      </c>
      <c r="BB46" s="344">
        <f t="shared" si="21"/>
        <v>-7.2727272727272751E-2</v>
      </c>
      <c r="BC46" s="344">
        <f t="shared" si="21"/>
        <v>-6.8627450980392135E-2</v>
      </c>
    </row>
    <row r="47" spans="2:55" x14ac:dyDescent="0.25">
      <c r="B47" t="s">
        <v>812</v>
      </c>
      <c r="D47" s="270">
        <f t="shared" ref="D47:I47" si="22">D45/D44</f>
        <v>0.13754646840148702</v>
      </c>
      <c r="E47" s="270">
        <f t="shared" si="22"/>
        <v>0.12922297297297297</v>
      </c>
      <c r="F47" s="270">
        <f t="shared" si="22"/>
        <v>0.11457521434138736</v>
      </c>
      <c r="G47" s="270">
        <f t="shared" si="22"/>
        <v>0.11201179071481208</v>
      </c>
      <c r="H47" s="270">
        <f t="shared" si="22"/>
        <v>0.1105598866052445</v>
      </c>
      <c r="I47" s="270">
        <f t="shared" si="22"/>
        <v>0.1103448275862069</v>
      </c>
      <c r="V47" s="344">
        <f t="shared" si="16"/>
        <v>1.3513513513513375E-2</v>
      </c>
      <c r="W47" s="344">
        <f t="shared" si="16"/>
        <v>-4.6666666666666634E-2</v>
      </c>
      <c r="X47" s="344">
        <f t="shared" si="16"/>
        <v>1.3986013986013957E-2</v>
      </c>
      <c r="Y47" s="344">
        <f t="shared" si="16"/>
        <v>1.379310344827589E-2</v>
      </c>
      <c r="Z47" s="344">
        <f t="shared" si="16"/>
        <v>6.8027210884353817E-3</v>
      </c>
      <c r="AA47" s="344">
        <f>AA37/U37-1</f>
        <v>3.3783783783783772E-2</v>
      </c>
      <c r="AB47" s="344">
        <f t="shared" si="17"/>
        <v>-3.9215686274509887E-2</v>
      </c>
      <c r="AC47" s="344">
        <f t="shared" si="17"/>
        <v>3.4013605442176909E-2</v>
      </c>
      <c r="AD47" s="344">
        <f t="shared" si="17"/>
        <v>2.6315789473684292E-2</v>
      </c>
      <c r="AE47" s="344">
        <f t="shared" si="17"/>
        <v>2.5641025641025772E-2</v>
      </c>
      <c r="AF47" s="344">
        <f>AF37/U37-1</f>
        <v>6.7567567567567988E-3</v>
      </c>
      <c r="AG47" s="344">
        <f t="shared" si="18"/>
        <v>-9.3959731543624136E-2</v>
      </c>
      <c r="AH47" s="344">
        <f t="shared" si="18"/>
        <v>-4.4444444444444398E-2</v>
      </c>
      <c r="AI47" s="344">
        <f t="shared" si="18"/>
        <v>-3.1007751937984551E-2</v>
      </c>
      <c r="AJ47" s="344">
        <f t="shared" si="18"/>
        <v>-2.4000000000000021E-2</v>
      </c>
      <c r="AO47" s="344">
        <f t="shared" si="19"/>
        <v>-5.9911242603550185E-2</v>
      </c>
      <c r="AP47" s="344">
        <f t="shared" si="19"/>
        <v>-0.10621557828481509</v>
      </c>
      <c r="AQ47" s="344">
        <f t="shared" si="19"/>
        <v>0</v>
      </c>
      <c r="AR47" s="344">
        <f t="shared" si="19"/>
        <v>1.4084507042253502E-2</v>
      </c>
      <c r="AS47" s="344">
        <f t="shared" si="19"/>
        <v>3.4722222222222321E-2</v>
      </c>
      <c r="AT47" s="344">
        <f>AT37/AN37-1</f>
        <v>-4.8816568047337139E-2</v>
      </c>
      <c r="AU47" s="344">
        <f t="shared" si="20"/>
        <v>-8.5536547433903598E-2</v>
      </c>
      <c r="AV47" s="344">
        <f t="shared" si="20"/>
        <v>3.4013605442176909E-2</v>
      </c>
      <c r="AW47" s="344">
        <f t="shared" si="20"/>
        <v>4.6052631578947345E-2</v>
      </c>
      <c r="AX47" s="344">
        <f t="shared" si="20"/>
        <v>5.0314465408804798E-2</v>
      </c>
      <c r="AY47" s="344">
        <f>AY37/AN37-1</f>
        <v>-7.7662721893490883E-2</v>
      </c>
      <c r="AZ47" s="344">
        <f t="shared" si="21"/>
        <v>-0.14033680834001605</v>
      </c>
      <c r="BA47" s="344">
        <f t="shared" si="21"/>
        <v>-4.4776119402985093E-2</v>
      </c>
      <c r="BB47" s="344">
        <f t="shared" si="21"/>
        <v>-4.6875000000000111E-2</v>
      </c>
      <c r="BC47" s="344">
        <f t="shared" si="21"/>
        <v>-4.0983606557377095E-2</v>
      </c>
    </row>
    <row r="48" spans="2:55" x14ac:dyDescent="0.25">
      <c r="B48" t="s">
        <v>813</v>
      </c>
      <c r="D48" s="304">
        <f>AVERAGE(D47:I47)</f>
        <v>0.11904352677035181</v>
      </c>
      <c r="V48" s="344">
        <f t="shared" si="16"/>
        <v>-0.12074554294975681</v>
      </c>
      <c r="W48" s="344">
        <f t="shared" si="16"/>
        <v>3.2258064516129004E-2</v>
      </c>
      <c r="X48" s="344">
        <f t="shared" si="16"/>
        <v>8.9285714285713969E-3</v>
      </c>
      <c r="Y48" s="344">
        <f t="shared" si="16"/>
        <v>8.8495575221239076E-3</v>
      </c>
      <c r="Z48" s="344">
        <f t="shared" si="16"/>
        <v>8.7719298245614308E-3</v>
      </c>
      <c r="AA48" s="344">
        <f>AA38/U38-1</f>
        <v>-0.10858995137763383</v>
      </c>
      <c r="AB48" s="344">
        <f t="shared" si="17"/>
        <v>4.5454545454545636E-2</v>
      </c>
      <c r="AC48" s="344">
        <f t="shared" si="17"/>
        <v>3.6521739130434883E-2</v>
      </c>
      <c r="AD48" s="344">
        <f t="shared" si="17"/>
        <v>2.7684563758389125E-2</v>
      </c>
      <c r="AE48" s="344">
        <f t="shared" si="17"/>
        <v>2.0408163265306145E-2</v>
      </c>
      <c r="AF48" s="344">
        <f>AF38/U38-1</f>
        <v>-0.14667747163695299</v>
      </c>
      <c r="AG48" s="344">
        <f t="shared" si="18"/>
        <v>-7.407407407407407E-2</v>
      </c>
      <c r="AH48" s="344">
        <f t="shared" si="18"/>
        <v>-8.7179487179487203E-2</v>
      </c>
      <c r="AI48" s="344">
        <f t="shared" si="18"/>
        <v>-0.12359550561797761</v>
      </c>
      <c r="AJ48" s="344">
        <f t="shared" si="18"/>
        <v>-0.10256410256410253</v>
      </c>
      <c r="AO48" s="344">
        <f t="shared" si="19"/>
        <v>2.6515151515151603E-2</v>
      </c>
      <c r="AP48" s="344">
        <f t="shared" si="19"/>
        <v>4.3050430504304904E-2</v>
      </c>
      <c r="AQ48" s="344">
        <f t="shared" si="19"/>
        <v>2.8301886792452935E-2</v>
      </c>
      <c r="AR48" s="344">
        <f t="shared" si="19"/>
        <v>9.1743119266054496E-3</v>
      </c>
      <c r="AS48" s="344">
        <f t="shared" si="19"/>
        <v>0</v>
      </c>
      <c r="AT48" s="344">
        <f>AT38/AN38-1</f>
        <v>4.9242424242424088E-2</v>
      </c>
      <c r="AU48" s="344">
        <f t="shared" si="20"/>
        <v>7.8219013237063706E-2</v>
      </c>
      <c r="AV48" s="344">
        <f t="shared" si="20"/>
        <v>3.5714285714285809E-2</v>
      </c>
      <c r="AW48" s="344">
        <f t="shared" si="20"/>
        <v>1.7241379310344751E-2</v>
      </c>
      <c r="AX48" s="344">
        <f t="shared" si="20"/>
        <v>1.6949152542372836E-2</v>
      </c>
      <c r="AY48" s="344">
        <f>AY38/AN38-1</f>
        <v>7.575757575757569E-3</v>
      </c>
      <c r="AZ48" s="344">
        <f t="shared" si="21"/>
        <v>1.2531328320801949E-2</v>
      </c>
      <c r="BA48" s="344">
        <f t="shared" si="21"/>
        <v>-5.9405940594059348E-2</v>
      </c>
      <c r="BB48" s="344">
        <f t="shared" si="21"/>
        <v>-9.473684210526323E-2</v>
      </c>
      <c r="BC48" s="344">
        <f t="shared" si="21"/>
        <v>-0.12790697674418594</v>
      </c>
    </row>
    <row r="52" spans="40:93" x14ac:dyDescent="0.25">
      <c r="AN52" t="s">
        <v>814</v>
      </c>
      <c r="AY52" t="s">
        <v>815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800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801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802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816</v>
      </c>
      <c r="BI65" t="s">
        <v>803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49">
        <v>2010</v>
      </c>
      <c r="F66" s="349">
        <v>2011</v>
      </c>
      <c r="G66" s="349">
        <v>2012</v>
      </c>
      <c r="H66" s="349">
        <v>2013</v>
      </c>
      <c r="I66" s="349">
        <v>2014</v>
      </c>
      <c r="J66" s="349">
        <v>2015</v>
      </c>
      <c r="K66" s="349">
        <v>2016</v>
      </c>
      <c r="L66" s="349">
        <v>2017</v>
      </c>
      <c r="M66" s="349">
        <v>2018</v>
      </c>
      <c r="N66" s="349">
        <v>2019</v>
      </c>
      <c r="O66" s="349">
        <v>2020</v>
      </c>
      <c r="P66" s="349">
        <v>2021</v>
      </c>
      <c r="Q66" s="349">
        <v>2022</v>
      </c>
      <c r="R66" s="349">
        <v>2023</v>
      </c>
      <c r="S66" s="349">
        <v>2024</v>
      </c>
      <c r="T66" s="349">
        <v>2025</v>
      </c>
      <c r="U66" s="349">
        <v>2026</v>
      </c>
      <c r="V66" s="349">
        <v>2027</v>
      </c>
      <c r="W66" s="349">
        <v>2028</v>
      </c>
      <c r="X66" s="349">
        <v>2029</v>
      </c>
      <c r="Y66" s="349">
        <v>2030</v>
      </c>
      <c r="Z66" s="349">
        <v>2031</v>
      </c>
      <c r="AA66" s="349">
        <v>2032</v>
      </c>
      <c r="AB66" s="349">
        <v>2033</v>
      </c>
      <c r="AC66" s="349">
        <v>2034</v>
      </c>
      <c r="AD66" s="349">
        <v>2035</v>
      </c>
      <c r="AE66" s="349">
        <v>2036</v>
      </c>
      <c r="AF66" s="349">
        <v>2037</v>
      </c>
      <c r="AG66" s="349">
        <v>2038</v>
      </c>
      <c r="AH66" s="349">
        <v>2039</v>
      </c>
      <c r="AI66" s="349">
        <v>2040</v>
      </c>
      <c r="AJ66" s="350">
        <v>2040</v>
      </c>
      <c r="BI66" t="s">
        <v>274</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817</v>
      </c>
      <c r="E67" s="93">
        <v>79.389076000000003</v>
      </c>
      <c r="F67" s="93">
        <v>94.859168999999994</v>
      </c>
      <c r="G67" s="93">
        <v>94.859168999999994</v>
      </c>
      <c r="H67" s="93">
        <v>92.487885000000006</v>
      </c>
      <c r="I67" s="93">
        <v>87.805297999999993</v>
      </c>
      <c r="J67" s="93">
        <v>88.300728000000007</v>
      </c>
      <c r="K67" s="93">
        <v>88.208190999999999</v>
      </c>
      <c r="L67" s="93">
        <v>91.330726999999996</v>
      </c>
      <c r="M67" s="93">
        <v>96.076545999999993</v>
      </c>
      <c r="N67" s="93">
        <v>98.696785000000006</v>
      </c>
      <c r="O67" s="93">
        <v>101.262398</v>
      </c>
      <c r="P67" s="93">
        <v>103.574341</v>
      </c>
      <c r="Q67" s="93">
        <v>105.833641</v>
      </c>
      <c r="R67" s="93">
        <v>108.141273</v>
      </c>
      <c r="S67" s="93">
        <v>110.498299</v>
      </c>
      <c r="T67" s="93">
        <v>112.905762</v>
      </c>
      <c r="U67" s="93">
        <v>115.364754</v>
      </c>
      <c r="V67" s="93">
        <v>117.876358</v>
      </c>
      <c r="W67" s="93">
        <v>120.441711</v>
      </c>
      <c r="X67" s="93">
        <v>123.061966</v>
      </c>
      <c r="Y67" s="93">
        <v>125.738281</v>
      </c>
      <c r="Z67" s="93">
        <v>128.47189299999999</v>
      </c>
      <c r="AA67" s="93">
        <v>131.263992</v>
      </c>
      <c r="AB67" s="93">
        <v>134.11582899999999</v>
      </c>
      <c r="AC67" s="93">
        <v>137.028717</v>
      </c>
      <c r="AD67" s="93">
        <v>140.184662</v>
      </c>
      <c r="AE67" s="93">
        <v>143.41224700000001</v>
      </c>
      <c r="AF67" s="93">
        <v>146.71312</v>
      </c>
      <c r="AG67" s="93">
        <v>150.088898</v>
      </c>
      <c r="AH67" s="93">
        <v>153.54132100000001</v>
      </c>
      <c r="AI67" s="93">
        <v>157.07212799999999</v>
      </c>
      <c r="AJ67">
        <v>160.683044</v>
      </c>
    </row>
    <row r="68" spans="1:110" x14ac:dyDescent="0.25">
      <c r="BK68" t="s">
        <v>818</v>
      </c>
      <c r="BX68" t="s">
        <v>819</v>
      </c>
      <c r="CJ68" t="s">
        <v>820</v>
      </c>
      <c r="CU68" t="s">
        <v>821</v>
      </c>
      <c r="DF68" t="s">
        <v>822</v>
      </c>
    </row>
    <row r="70" spans="1:110" x14ac:dyDescent="0.25">
      <c r="F70" s="93">
        <f>U33</f>
        <v>104.73927357360537</v>
      </c>
    </row>
    <row r="73" spans="1:110" x14ac:dyDescent="0.25">
      <c r="E73" s="339">
        <f>E77/D77-1</f>
        <v>0.27288760622093955</v>
      </c>
      <c r="F73" s="339">
        <f>F76/E76-1</f>
        <v>0.194850346391233</v>
      </c>
      <c r="G73" s="339">
        <f>G77/F77-1</f>
        <v>-2.6586676825228861E-2</v>
      </c>
      <c r="J73" s="344">
        <f>(J76/G76)^(1/(J75-G75))-1</f>
        <v>-2.3598758847122037E-2</v>
      </c>
      <c r="O73" s="344">
        <f>(O76/J76)^(1/(O75-J75))-1</f>
        <v>2.7772006767478707E-2</v>
      </c>
      <c r="T73" s="344">
        <f>(T76/O76)^(1/(T75-O75))-1</f>
        <v>2.2006315854426139E-2</v>
      </c>
      <c r="Y73" s="344">
        <f>(Y76/T76)^(1/(Y75-T75))-1</f>
        <v>2.1763260013069941E-2</v>
      </c>
      <c r="AD73" s="344">
        <f>(AD76/Y76)^(1/(AD75-Y75))-1</f>
        <v>2.198988164876714E-2</v>
      </c>
      <c r="AI73" s="344">
        <f>(AI76/AD76)^(1/(AI75-AD75))-1</f>
        <v>2.3009639008272131E-2</v>
      </c>
    </row>
    <row r="74" spans="1:110" x14ac:dyDescent="0.25">
      <c r="C74" t="s">
        <v>823</v>
      </c>
    </row>
    <row r="75" spans="1:110" x14ac:dyDescent="0.25">
      <c r="C75" t="s">
        <v>259</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259</v>
      </c>
      <c r="BD75" t="s">
        <v>259</v>
      </c>
      <c r="BE75" t="s">
        <v>813</v>
      </c>
    </row>
    <row r="76" spans="1:110" ht="51.75" x14ac:dyDescent="0.25">
      <c r="A76">
        <v>1</v>
      </c>
      <c r="B76" t="s">
        <v>824</v>
      </c>
      <c r="C76" s="351" t="s">
        <v>825</v>
      </c>
      <c r="D76" s="352">
        <v>62.37</v>
      </c>
      <c r="E76" s="352">
        <v>79.39</v>
      </c>
      <c r="F76" s="353">
        <v>94.859168999999994</v>
      </c>
      <c r="G76" s="353">
        <f>G67/[11]Deflator!$V$17</f>
        <v>92.33717892988723</v>
      </c>
      <c r="H76" s="353">
        <f>H67/[11]Deflator!$V$17</f>
        <v>90.028939491256082</v>
      </c>
      <c r="I76" s="353">
        <f>I67/[11]Deflator!$V$17</f>
        <v>85.470846918531095</v>
      </c>
      <c r="J76" s="353">
        <f>J67/[11]Deflator!$V$17</f>
        <v>85.953105081231584</v>
      </c>
      <c r="K76" s="353">
        <f>K67/[11]Deflator!$V$17</f>
        <v>85.863028332544943</v>
      </c>
      <c r="L76" s="353">
        <f>L67/[11]Deflator!$V$17</f>
        <v>88.902546477037802</v>
      </c>
      <c r="M76" s="353">
        <f>M67/[11]Deflator!$V$17</f>
        <v>93.522189921013762</v>
      </c>
      <c r="N76" s="353">
        <f>N67/[11]Deflator!$V$17</f>
        <v>96.072765473515915</v>
      </c>
      <c r="O76" s="353">
        <f>O67/[11]Deflator!$V$17</f>
        <v>98.57016734982632</v>
      </c>
      <c r="P76" s="353">
        <f>P67/[11]Deflator!$V$17</f>
        <v>100.82064346844696</v>
      </c>
      <c r="Q76" s="353">
        <f>Q67/[11]Deflator!$V$17</f>
        <v>103.01987618949572</v>
      </c>
      <c r="R76" s="353">
        <f>R67/[11]Deflator!$V$17</f>
        <v>105.26615592328017</v>
      </c>
      <c r="S76" s="353">
        <f>S67/[11]Deflator!$V$17</f>
        <v>107.5605164347495</v>
      </c>
      <c r="T76" s="353">
        <f>T67/[11]Deflator!$V$17</f>
        <v>109.9039729939998</v>
      </c>
      <c r="U76" s="353">
        <f>U67/[11]Deflator!$V$17</f>
        <v>112.29758856837999</v>
      </c>
      <c r="V76" s="353">
        <f>V67/[11]Deflator!$V$17</f>
        <v>114.74241736451903</v>
      </c>
      <c r="W76" s="353">
        <f>W67/[11]Deflator!$V$17</f>
        <v>117.2395661533654</v>
      </c>
      <c r="X76" s="353">
        <f>X67/[11]Deflator!$V$17</f>
        <v>119.79015728048071</v>
      </c>
      <c r="Y76" s="353">
        <f>Y67/[11]Deflator!$V$17</f>
        <v>122.39531795849319</v>
      </c>
      <c r="Z76" s="353">
        <f>Z67/[11]Deflator!$V$17</f>
        <v>125.05625229968362</v>
      </c>
      <c r="AA76" s="353">
        <f>AA67/[11]Deflator!$V$17</f>
        <v>127.77411866590658</v>
      </c>
      <c r="AB76" s="353">
        <f>AB67/[11]Deflator!$V$17</f>
        <v>130.55013479722936</v>
      </c>
      <c r="AC76" s="353">
        <f>AC67/[11]Deflator!$V$17</f>
        <v>133.38557878534527</v>
      </c>
      <c r="AD76" s="353">
        <f>AD67/[11]Deflator!$V$17</f>
        <v>136.45761769555207</v>
      </c>
      <c r="AE76" s="353">
        <f>AE67/[11]Deflator!$V$17</f>
        <v>139.59939193623111</v>
      </c>
      <c r="AF76" s="353">
        <f>AF67/[11]Deflator!$V$17</f>
        <v>142.81250569253899</v>
      </c>
      <c r="AG76" s="353">
        <f>AG67/[11]Deflator!$V$17</f>
        <v>146.09853297381929</v>
      </c>
      <c r="AH76" s="353">
        <f>AH67/[11]Deflator!$V$17</f>
        <v>149.45916751925429</v>
      </c>
      <c r="AI76" s="353">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54">
        <v>2.4E-2</v>
      </c>
    </row>
    <row r="77" spans="1:110" x14ac:dyDescent="0.25">
      <c r="A77">
        <v>2</v>
      </c>
      <c r="B77" t="s">
        <v>826</v>
      </c>
      <c r="C77" t="s">
        <v>826</v>
      </c>
      <c r="D77">
        <f>+D76</f>
        <v>62.37</v>
      </c>
      <c r="E77">
        <f>+E76</f>
        <v>79.39</v>
      </c>
      <c r="F77">
        <f>+F76</f>
        <v>94.859168999999994</v>
      </c>
      <c r="G77" s="355">
        <f>G76</f>
        <v>92.33717892988723</v>
      </c>
      <c r="H77" s="356">
        <f>($O$77/$G$77)^(1/($O$75-$G$75))*G77</f>
        <v>98.513554427606991</v>
      </c>
      <c r="I77" s="356">
        <f t="shared" ref="I77:N77" si="27">($O$77/$G$77)^(1/($O$75-$G$75))*H77</f>
        <v>105.10306377596994</v>
      </c>
      <c r="J77" s="356">
        <f t="shared" si="27"/>
        <v>112.13334123694902</v>
      </c>
      <c r="K77" s="356">
        <f t="shared" si="27"/>
        <v>119.63386951082258</v>
      </c>
      <c r="L77" s="356">
        <f t="shared" si="27"/>
        <v>127.63610337704354</v>
      </c>
      <c r="M77" s="356">
        <f t="shared" si="27"/>
        <v>136.17360160536808</v>
      </c>
      <c r="N77" s="356">
        <f t="shared" si="27"/>
        <v>145.28216769043632</v>
      </c>
      <c r="O77" s="357">
        <v>155</v>
      </c>
      <c r="P77" s="356">
        <f>($Y$77/$O$77)^(1/($Y$75-$O$75))*O77</f>
        <v>159.00161221441482</v>
      </c>
      <c r="Q77" s="356">
        <f t="shared" ref="Q77:X77" si="28">($Y$77/$O$77)^(1/($Y$75-$O$75))*P77</f>
        <v>163.10653346311707</v>
      </c>
      <c r="R77" s="356">
        <f t="shared" si="28"/>
        <v>167.31743086025816</v>
      </c>
      <c r="S77" s="356">
        <f t="shared" si="28"/>
        <v>171.63704037648341</v>
      </c>
      <c r="T77" s="356">
        <f t="shared" si="28"/>
        <v>176.06816861659016</v>
      </c>
      <c r="U77" s="356">
        <f t="shared" si="28"/>
        <v>180.61369464307916</v>
      </c>
      <c r="V77" s="356">
        <f t="shared" si="28"/>
        <v>185.27657184678452</v>
      </c>
      <c r="W77" s="356">
        <f t="shared" si="28"/>
        <v>190.05982986579741</v>
      </c>
      <c r="X77" s="356">
        <f t="shared" si="28"/>
        <v>194.96657655393017</v>
      </c>
      <c r="Y77" s="357">
        <v>200</v>
      </c>
      <c r="Z77" s="356">
        <f>($AI$77/$Y$77)^(1/($AI$75-$Y$75))*Y77</f>
        <v>204.1002818892168</v>
      </c>
      <c r="AA77" s="356">
        <f t="shared" ref="AA77:AH77" si="29">($AI$77/$Y$77)^(1/($AI$75-$Y$75))*Z77</f>
        <v>208.2846253362888</v>
      </c>
      <c r="AB77" s="356">
        <f t="shared" si="29"/>
        <v>212.55475372163227</v>
      </c>
      <c r="AC77" s="356">
        <f t="shared" si="29"/>
        <v>216.91242575739099</v>
      </c>
      <c r="AD77" s="356">
        <f t="shared" si="29"/>
        <v>221.35943621178657</v>
      </c>
      <c r="AE77" s="356">
        <f t="shared" si="29"/>
        <v>225.89761664831872</v>
      </c>
      <c r="AF77" s="356">
        <f t="shared" si="29"/>
        <v>230.52883618012044</v>
      </c>
      <c r="AG77" s="356">
        <f t="shared" si="29"/>
        <v>235.25500223977832</v>
      </c>
      <c r="AH77" s="356">
        <f t="shared" si="29"/>
        <v>240.07806136493542</v>
      </c>
      <c r="AI77" s="357">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827</v>
      </c>
    </row>
    <row r="80" spans="1:110" x14ac:dyDescent="0.25">
      <c r="AF80" t="s">
        <v>259</v>
      </c>
    </row>
    <row r="82" spans="1:121" x14ac:dyDescent="0.25">
      <c r="C82" t="s">
        <v>828</v>
      </c>
    </row>
    <row r="83" spans="1:121" x14ac:dyDescent="0.25">
      <c r="C83" t="s">
        <v>259</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259</v>
      </c>
      <c r="BD83" t="s">
        <v>259</v>
      </c>
      <c r="BE83" t="s">
        <v>813</v>
      </c>
    </row>
    <row r="84" spans="1:121" ht="51.75" x14ac:dyDescent="0.25">
      <c r="A84">
        <v>1</v>
      </c>
      <c r="B84" t="s">
        <v>824</v>
      </c>
      <c r="C84" s="351" t="s">
        <v>825</v>
      </c>
      <c r="D84" s="352">
        <v>62.37</v>
      </c>
      <c r="E84" s="352">
        <v>79.39</v>
      </c>
      <c r="F84" s="352">
        <v>92.86</v>
      </c>
      <c r="G84" s="352">
        <v>94.73</v>
      </c>
      <c r="H84" s="352">
        <v>103.71</v>
      </c>
      <c r="I84" s="352">
        <v>110.9</v>
      </c>
      <c r="J84" s="352">
        <v>116.91</v>
      </c>
      <c r="K84" s="352">
        <v>119.92</v>
      </c>
      <c r="L84" s="352">
        <v>122.89</v>
      </c>
      <c r="M84" s="352">
        <v>124</v>
      </c>
      <c r="N84" s="352">
        <v>125.22</v>
      </c>
      <c r="O84" s="352">
        <v>126.68</v>
      </c>
      <c r="P84" s="352">
        <v>127.99</v>
      </c>
      <c r="Q84" s="352">
        <v>129.41999999999999</v>
      </c>
      <c r="R84" s="352">
        <v>130.47999999999999</v>
      </c>
      <c r="S84" s="352">
        <v>131.54</v>
      </c>
      <c r="T84" s="352">
        <v>132.56</v>
      </c>
      <c r="U84" s="352">
        <v>133.47999999999999</v>
      </c>
      <c r="V84" s="352">
        <v>134.34</v>
      </c>
      <c r="W84" s="352">
        <v>135.38</v>
      </c>
      <c r="X84" s="352">
        <v>137.03</v>
      </c>
      <c r="Y84" s="352">
        <v>138.49</v>
      </c>
      <c r="Z84" s="352">
        <v>139.84</v>
      </c>
      <c r="AA84" s="352">
        <v>141.13999999999999</v>
      </c>
      <c r="AB84" s="352">
        <v>142.35</v>
      </c>
      <c r="AC84" s="352">
        <v>143.79</v>
      </c>
      <c r="AD84" s="351">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54">
        <v>2.4E-2</v>
      </c>
    </row>
    <row r="85" spans="1:121" x14ac:dyDescent="0.25">
      <c r="A85">
        <v>2</v>
      </c>
      <c r="B85" t="s">
        <v>826</v>
      </c>
      <c r="C85" t="s">
        <v>826</v>
      </c>
      <c r="D85">
        <f>+D84</f>
        <v>62.37</v>
      </c>
      <c r="E85">
        <f>+E84</f>
        <v>79.39</v>
      </c>
      <c r="F85">
        <f>+F84</f>
        <v>92.86</v>
      </c>
      <c r="G85" s="351">
        <v>139.22</v>
      </c>
      <c r="H85" s="351">
        <v>173.04</v>
      </c>
      <c r="I85" s="351">
        <v>178.88</v>
      </c>
      <c r="J85" s="351">
        <v>182.1</v>
      </c>
      <c r="K85" s="351">
        <v>184.27</v>
      </c>
      <c r="L85" s="351">
        <v>185.75</v>
      </c>
      <c r="M85" s="351">
        <v>187.38</v>
      </c>
      <c r="N85" s="351">
        <v>188.86</v>
      </c>
      <c r="O85" s="351">
        <v>189.93</v>
      </c>
      <c r="P85" s="351">
        <v>191.04</v>
      </c>
      <c r="Q85" s="351">
        <v>191.91</v>
      </c>
      <c r="R85" s="351">
        <v>192.47</v>
      </c>
      <c r="S85" s="351">
        <v>192.85</v>
      </c>
      <c r="T85" s="351">
        <v>193.48</v>
      </c>
      <c r="U85" s="351">
        <v>194.18</v>
      </c>
      <c r="V85" s="351">
        <v>195.14</v>
      </c>
      <c r="W85" s="351">
        <v>195.82</v>
      </c>
      <c r="X85" s="351">
        <v>196.98</v>
      </c>
      <c r="Y85" s="351">
        <v>198.24</v>
      </c>
      <c r="Z85" s="351">
        <v>198.88</v>
      </c>
      <c r="AA85" s="351">
        <v>199.24</v>
      </c>
      <c r="AB85" s="351">
        <v>199.55</v>
      </c>
      <c r="AC85" s="351">
        <v>200.3</v>
      </c>
      <c r="AD85" s="351">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827</v>
      </c>
    </row>
    <row r="92" spans="1:121" x14ac:dyDescent="0.25">
      <c r="CJ92" t="s">
        <v>809</v>
      </c>
    </row>
    <row r="93" spans="1:121" x14ac:dyDescent="0.25">
      <c r="BN93" t="s">
        <v>784</v>
      </c>
      <c r="BQ93" t="s">
        <v>785</v>
      </c>
      <c r="BT93" t="s">
        <v>829</v>
      </c>
      <c r="BZ93">
        <v>2020</v>
      </c>
      <c r="CA93">
        <v>2030</v>
      </c>
      <c r="CB93">
        <v>2040</v>
      </c>
      <c r="CC93">
        <v>2050</v>
      </c>
      <c r="CK93">
        <v>2019</v>
      </c>
      <c r="CL93">
        <v>2020</v>
      </c>
      <c r="CM93">
        <v>2021</v>
      </c>
      <c r="CN93">
        <v>2025</v>
      </c>
      <c r="CO93">
        <v>2030</v>
      </c>
      <c r="CP93">
        <v>2035</v>
      </c>
      <c r="CQ93">
        <v>2040</v>
      </c>
      <c r="CR93">
        <v>2050</v>
      </c>
    </row>
    <row r="94" spans="1:121" x14ac:dyDescent="0.25">
      <c r="BK94" t="s">
        <v>830</v>
      </c>
      <c r="BM94">
        <v>2015</v>
      </c>
      <c r="BN94">
        <v>2020</v>
      </c>
      <c r="BO94">
        <v>2030</v>
      </c>
      <c r="BP94">
        <v>2040</v>
      </c>
      <c r="BQ94">
        <v>2020</v>
      </c>
      <c r="BR94">
        <v>2030</v>
      </c>
      <c r="BS94">
        <v>2040</v>
      </c>
      <c r="BT94">
        <v>2020</v>
      </c>
      <c r="BU94">
        <v>2030</v>
      </c>
      <c r="BV94">
        <v>2040</v>
      </c>
      <c r="BY94" t="s">
        <v>785</v>
      </c>
      <c r="BZ94">
        <v>62</v>
      </c>
      <c r="CA94">
        <v>105</v>
      </c>
      <c r="CB94">
        <v>127</v>
      </c>
      <c r="CC94">
        <v>140</v>
      </c>
      <c r="CJ94" t="s">
        <v>831</v>
      </c>
      <c r="CK94">
        <v>63</v>
      </c>
      <c r="CL94">
        <v>40</v>
      </c>
      <c r="CM94">
        <f>(62+54)/2</f>
        <v>58</v>
      </c>
      <c r="CN94">
        <v>71</v>
      </c>
      <c r="CO94">
        <v>76</v>
      </c>
      <c r="CP94">
        <v>81</v>
      </c>
      <c r="CQ94">
        <v>85</v>
      </c>
      <c r="CR94">
        <f>FORECAST(CR93,CP94:CQ94,CP93:CQ93)</f>
        <v>93</v>
      </c>
      <c r="DL94" s="497" t="s">
        <v>832</v>
      </c>
      <c r="DM94" s="497"/>
      <c r="DN94" s="497" t="s">
        <v>833</v>
      </c>
      <c r="DO94" s="497"/>
      <c r="DP94" s="497" t="s">
        <v>831</v>
      </c>
      <c r="DQ94" s="497"/>
    </row>
    <row r="95" spans="1:121" x14ac:dyDescent="0.25">
      <c r="BK95" t="s">
        <v>834</v>
      </c>
      <c r="BL95" t="s">
        <v>835</v>
      </c>
      <c r="BM95">
        <v>51</v>
      </c>
      <c r="BN95">
        <v>79</v>
      </c>
      <c r="BO95">
        <v>111</v>
      </c>
      <c r="BP95">
        <v>124</v>
      </c>
      <c r="BQ95">
        <v>82</v>
      </c>
      <c r="BR95">
        <v>127</v>
      </c>
      <c r="BS95">
        <v>146</v>
      </c>
      <c r="BT95">
        <v>73</v>
      </c>
      <c r="BU95">
        <v>85</v>
      </c>
      <c r="BV95">
        <v>78</v>
      </c>
      <c r="BY95" t="s">
        <v>831</v>
      </c>
      <c r="BZ95">
        <v>62</v>
      </c>
      <c r="CA95">
        <v>84</v>
      </c>
      <c r="CB95">
        <v>96</v>
      </c>
      <c r="CC95">
        <v>100</v>
      </c>
      <c r="CJ95" t="s">
        <v>836</v>
      </c>
      <c r="CK95">
        <f>CK94</f>
        <v>63</v>
      </c>
      <c r="CL95">
        <v>40</v>
      </c>
      <c r="CM95">
        <f>CM94</f>
        <v>58</v>
      </c>
      <c r="CN95">
        <v>57</v>
      </c>
      <c r="CO95" s="93">
        <f>($CQ95-$CN95)/($CQ$93-$CN$93)*(CO$93-$CN$93)+$CN95</f>
        <v>55.666666666666664</v>
      </c>
      <c r="CP95" s="93">
        <f>($CQ95-$CN95)/($CQ$93-$CN$93)*(CP$93-$CN$93)+$CN95</f>
        <v>54.333333333333336</v>
      </c>
      <c r="CQ95">
        <v>53</v>
      </c>
      <c r="CR95" s="93">
        <f t="shared" ref="CR95:CR96" si="33">FORECAST(CR94,CP95:CQ95,CP94:CQ94)</f>
        <v>50.333333333333329</v>
      </c>
      <c r="DF95" t="s">
        <v>837</v>
      </c>
      <c r="DG95" t="s">
        <v>838</v>
      </c>
      <c r="DH95" t="s">
        <v>839</v>
      </c>
      <c r="DI95" t="s">
        <v>840</v>
      </c>
      <c r="DJ95">
        <v>2010</v>
      </c>
      <c r="DK95">
        <v>2021</v>
      </c>
      <c r="DL95">
        <v>2030</v>
      </c>
      <c r="DM95">
        <v>2050</v>
      </c>
      <c r="DN95">
        <v>2030</v>
      </c>
      <c r="DO95">
        <v>2050</v>
      </c>
      <c r="DP95">
        <v>2030</v>
      </c>
      <c r="DQ95">
        <v>2050</v>
      </c>
    </row>
    <row r="96" spans="1:121" x14ac:dyDescent="0.25">
      <c r="BK96" t="s">
        <v>488</v>
      </c>
      <c r="BL96" t="s">
        <v>841</v>
      </c>
      <c r="BY96" t="s">
        <v>842</v>
      </c>
      <c r="BZ96">
        <v>62</v>
      </c>
      <c r="CA96">
        <v>60</v>
      </c>
      <c r="CB96">
        <v>58</v>
      </c>
      <c r="CC96">
        <v>58</v>
      </c>
      <c r="CJ96" t="s">
        <v>843</v>
      </c>
      <c r="CK96">
        <f>CK95</f>
        <v>63</v>
      </c>
      <c r="CL96">
        <v>40</v>
      </c>
      <c r="CM96">
        <f>CM95</f>
        <v>58</v>
      </c>
      <c r="CN96">
        <v>59</v>
      </c>
      <c r="CO96" s="93">
        <f>($CQ96-$CN96)/($CQ$93-$CN$93)*(CO$93-$CN$93)+$CN96</f>
        <v>63.333333333333336</v>
      </c>
      <c r="CP96" s="93">
        <f>($CQ96-$CN96)/($CQ$93-$CN$93)*(CP$93-$CN$93)+$CN96</f>
        <v>67.666666666666671</v>
      </c>
      <c r="CQ96">
        <v>72</v>
      </c>
      <c r="CR96" s="93">
        <f t="shared" si="33"/>
        <v>80.666666666666657</v>
      </c>
      <c r="DF96" t="s">
        <v>844</v>
      </c>
      <c r="DG96" t="s">
        <v>845</v>
      </c>
      <c r="DH96" t="s">
        <v>846</v>
      </c>
      <c r="DI96" t="s">
        <v>847</v>
      </c>
      <c r="DJ96">
        <v>96</v>
      </c>
      <c r="DK96">
        <v>69</v>
      </c>
      <c r="DL96">
        <v>35</v>
      </c>
      <c r="DM96">
        <v>24</v>
      </c>
      <c r="DN96">
        <v>64</v>
      </c>
      <c r="DO96">
        <v>60</v>
      </c>
      <c r="DP96">
        <v>82</v>
      </c>
      <c r="DQ96">
        <v>95</v>
      </c>
    </row>
    <row r="97" spans="63:119" x14ac:dyDescent="0.25">
      <c r="BK97" t="s">
        <v>848</v>
      </c>
      <c r="BM97">
        <v>2.6</v>
      </c>
      <c r="BN97">
        <v>4.0999999999999996</v>
      </c>
      <c r="BO97">
        <v>5.4</v>
      </c>
      <c r="BP97">
        <v>6.9</v>
      </c>
      <c r="BQ97">
        <v>4.3</v>
      </c>
      <c r="BR97">
        <v>5.9</v>
      </c>
      <c r="BS97">
        <v>7.9</v>
      </c>
      <c r="BT97">
        <v>3.9</v>
      </c>
      <c r="BU97">
        <v>4.8</v>
      </c>
      <c r="BV97">
        <v>5.4</v>
      </c>
      <c r="DF97" t="s">
        <v>849</v>
      </c>
      <c r="DG97" t="s">
        <v>850</v>
      </c>
      <c r="DH97" t="s">
        <v>851</v>
      </c>
    </row>
    <row r="98" spans="63:119" x14ac:dyDescent="0.25">
      <c r="BK98" t="s">
        <v>852</v>
      </c>
      <c r="BM98">
        <v>7</v>
      </c>
      <c r="BN98">
        <v>7.1</v>
      </c>
      <c r="BO98">
        <v>10.3</v>
      </c>
      <c r="BP98">
        <v>11.5</v>
      </c>
      <c r="BQ98">
        <v>7.3</v>
      </c>
      <c r="BR98">
        <v>11.1</v>
      </c>
      <c r="BS98">
        <v>13</v>
      </c>
      <c r="BT98">
        <v>6.9</v>
      </c>
      <c r="BU98">
        <v>9.4</v>
      </c>
      <c r="BV98">
        <v>9.9</v>
      </c>
      <c r="CJ98" t="s">
        <v>853</v>
      </c>
      <c r="CL98">
        <v>1</v>
      </c>
      <c r="DF98" t="s">
        <v>854</v>
      </c>
      <c r="DG98" t="s">
        <v>855</v>
      </c>
      <c r="DH98">
        <v>5.3</v>
      </c>
      <c r="DI98">
        <v>3.9</v>
      </c>
      <c r="DJ98">
        <v>1.9</v>
      </c>
      <c r="DK98">
        <v>1.8</v>
      </c>
      <c r="DL98">
        <v>3.7</v>
      </c>
      <c r="DM98">
        <v>2.6</v>
      </c>
      <c r="DN98">
        <v>4</v>
      </c>
      <c r="DO98">
        <v>4.7</v>
      </c>
    </row>
    <row r="99" spans="63:119" x14ac:dyDescent="0.25">
      <c r="BK99" t="s">
        <v>856</v>
      </c>
      <c r="BM99">
        <v>9.6999999999999993</v>
      </c>
      <c r="BN99">
        <v>9.1999999999999993</v>
      </c>
      <c r="BO99">
        <v>11.6</v>
      </c>
      <c r="BP99">
        <v>12.1</v>
      </c>
      <c r="BQ99">
        <v>9.5</v>
      </c>
      <c r="BR99">
        <v>12.5</v>
      </c>
      <c r="BS99">
        <v>13.9</v>
      </c>
      <c r="BT99">
        <v>8.6</v>
      </c>
      <c r="BU99">
        <v>10.4</v>
      </c>
      <c r="BV99">
        <v>10.5</v>
      </c>
      <c r="CK99" s="21">
        <v>2021</v>
      </c>
      <c r="CL99">
        <v>2030</v>
      </c>
      <c r="CM99">
        <v>2050</v>
      </c>
      <c r="DF99" t="s">
        <v>857</v>
      </c>
      <c r="DG99" t="s">
        <v>858</v>
      </c>
      <c r="DH99">
        <v>9</v>
      </c>
      <c r="DI99">
        <v>9.5</v>
      </c>
      <c r="DJ99">
        <v>4.5999999999999996</v>
      </c>
      <c r="DK99">
        <v>3.8</v>
      </c>
      <c r="DL99">
        <v>7.9</v>
      </c>
      <c r="DM99">
        <v>6.3</v>
      </c>
      <c r="DN99">
        <v>8.5</v>
      </c>
      <c r="DO99">
        <v>9.1999999999999993</v>
      </c>
    </row>
    <row r="100" spans="63:119" x14ac:dyDescent="0.25">
      <c r="BK100" t="s">
        <v>807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856</v>
      </c>
      <c r="DG100">
        <v>8</v>
      </c>
      <c r="DH100">
        <v>10.1</v>
      </c>
      <c r="DI100">
        <v>6.1</v>
      </c>
      <c r="DJ100">
        <v>5.0999999999999996</v>
      </c>
      <c r="DK100">
        <v>8.8000000000000007</v>
      </c>
      <c r="DL100">
        <v>7.4</v>
      </c>
      <c r="DM100">
        <v>9.8000000000000007</v>
      </c>
      <c r="DN100">
        <v>10.199999999999999</v>
      </c>
    </row>
    <row r="101" spans="63:119" x14ac:dyDescent="0.25">
      <c r="BK101" t="s">
        <v>859</v>
      </c>
      <c r="BL101" t="s">
        <v>860</v>
      </c>
      <c r="CJ101" t="str">
        <f t="shared" ref="CJ101:CJ102" si="34">CJ95</f>
        <v>Sustainable Development</v>
      </c>
      <c r="CK101">
        <f t="shared" ref="CK101:CK102" si="35">CM95*$CL$98</f>
        <v>58</v>
      </c>
      <c r="CL101" s="62">
        <f t="shared" ref="CL101:CL102" si="36">CO95*$CL$98</f>
        <v>55.666666666666664</v>
      </c>
      <c r="CM101" s="62">
        <f t="shared" ref="CM101:CM102" si="37">CR95*$CL$98</f>
        <v>50.333333333333329</v>
      </c>
      <c r="DF101" t="s">
        <v>807</v>
      </c>
      <c r="DG101">
        <v>13.3</v>
      </c>
      <c r="DH101">
        <v>10.199999999999999</v>
      </c>
      <c r="DI101">
        <v>6</v>
      </c>
      <c r="DJ101">
        <v>5.0999999999999996</v>
      </c>
      <c r="DK101">
        <v>9.1</v>
      </c>
      <c r="DL101">
        <v>7.4</v>
      </c>
      <c r="DM101">
        <v>10.9</v>
      </c>
      <c r="DN101">
        <v>10.6</v>
      </c>
    </row>
    <row r="102" spans="63:119" x14ac:dyDescent="0.25">
      <c r="BK102" t="s">
        <v>861</v>
      </c>
      <c r="BM102">
        <v>64</v>
      </c>
      <c r="BN102">
        <v>72</v>
      </c>
      <c r="BO102">
        <v>83</v>
      </c>
      <c r="BP102">
        <v>87</v>
      </c>
      <c r="BQ102">
        <v>74</v>
      </c>
      <c r="BR102">
        <v>91</v>
      </c>
      <c r="BS102">
        <v>100</v>
      </c>
      <c r="BT102">
        <v>66</v>
      </c>
      <c r="BU102">
        <v>64</v>
      </c>
      <c r="BV102">
        <v>57</v>
      </c>
      <c r="CJ102" t="str">
        <f t="shared" si="34"/>
        <v>Delayed Recovery</v>
      </c>
      <c r="CK102">
        <f t="shared" si="35"/>
        <v>58</v>
      </c>
      <c r="CL102" s="62">
        <f t="shared" si="36"/>
        <v>63.333333333333336</v>
      </c>
      <c r="CM102" s="62">
        <f t="shared" si="37"/>
        <v>80.666666666666657</v>
      </c>
      <c r="DF102" t="s">
        <v>862</v>
      </c>
      <c r="DG102" t="s">
        <v>863</v>
      </c>
      <c r="DH102" t="s">
        <v>864</v>
      </c>
    </row>
    <row r="103" spans="63:119" x14ac:dyDescent="0.25">
      <c r="BK103" t="s">
        <v>848</v>
      </c>
      <c r="BM103">
        <v>51</v>
      </c>
      <c r="BN103">
        <v>55</v>
      </c>
      <c r="BO103">
        <v>58</v>
      </c>
      <c r="BP103">
        <v>60</v>
      </c>
      <c r="BQ103">
        <v>56</v>
      </c>
      <c r="BR103">
        <v>61</v>
      </c>
      <c r="BS103">
        <v>64</v>
      </c>
      <c r="BT103">
        <v>53</v>
      </c>
      <c r="BU103">
        <v>52</v>
      </c>
      <c r="BV103">
        <v>49</v>
      </c>
      <c r="DF103" t="s">
        <v>854</v>
      </c>
      <c r="DG103" t="s">
        <v>855</v>
      </c>
      <c r="DH103">
        <v>63</v>
      </c>
      <c r="DI103">
        <v>44</v>
      </c>
      <c r="DJ103">
        <v>22</v>
      </c>
      <c r="DK103">
        <v>17</v>
      </c>
      <c r="DL103">
        <v>42</v>
      </c>
      <c r="DM103">
        <v>24</v>
      </c>
      <c r="DN103">
        <v>46</v>
      </c>
      <c r="DO103">
        <v>44</v>
      </c>
    </row>
    <row r="104" spans="63:119" x14ac:dyDescent="0.25">
      <c r="BK104" t="s">
        <v>852</v>
      </c>
      <c r="BM104">
        <v>57</v>
      </c>
      <c r="BN104">
        <v>63</v>
      </c>
      <c r="BO104">
        <v>74</v>
      </c>
      <c r="BP104">
        <v>77</v>
      </c>
      <c r="BQ104">
        <v>65</v>
      </c>
      <c r="BR104">
        <v>80</v>
      </c>
      <c r="BS104">
        <v>88</v>
      </c>
      <c r="BT104">
        <v>58</v>
      </c>
      <c r="BU104">
        <v>57</v>
      </c>
      <c r="BV104">
        <v>51</v>
      </c>
      <c r="CJ104" t="s">
        <v>865</v>
      </c>
      <c r="CL104" t="s">
        <v>866</v>
      </c>
      <c r="CO104" t="s">
        <v>808</v>
      </c>
      <c r="CR104" t="s">
        <v>856</v>
      </c>
      <c r="DF104" t="s">
        <v>857</v>
      </c>
      <c r="DG104" t="s">
        <v>858</v>
      </c>
      <c r="DH104">
        <v>113</v>
      </c>
      <c r="DI104">
        <v>120</v>
      </c>
      <c r="DJ104">
        <v>52</v>
      </c>
      <c r="DK104">
        <v>42</v>
      </c>
      <c r="DL104">
        <v>62</v>
      </c>
      <c r="DM104">
        <v>53</v>
      </c>
      <c r="DN104">
        <v>60</v>
      </c>
      <c r="DO104">
        <v>64</v>
      </c>
    </row>
    <row r="105" spans="63:119" x14ac:dyDescent="0.25">
      <c r="BK105" t="s">
        <v>867</v>
      </c>
      <c r="BM105">
        <v>72</v>
      </c>
      <c r="BN105">
        <v>78</v>
      </c>
      <c r="BO105">
        <v>86</v>
      </c>
      <c r="BP105">
        <v>89</v>
      </c>
      <c r="BQ105">
        <v>79</v>
      </c>
      <c r="BR105">
        <v>92</v>
      </c>
      <c r="BS105">
        <v>98</v>
      </c>
      <c r="BT105">
        <v>73</v>
      </c>
      <c r="BU105">
        <v>72</v>
      </c>
      <c r="BV105">
        <v>67</v>
      </c>
      <c r="CL105">
        <v>2025</v>
      </c>
      <c r="CM105">
        <v>2040</v>
      </c>
      <c r="CN105" t="s">
        <v>868</v>
      </c>
      <c r="CO105">
        <f>CL105</f>
        <v>2025</v>
      </c>
      <c r="CP105">
        <f>CM105</f>
        <v>2040</v>
      </c>
      <c r="CQ105" t="s">
        <v>868</v>
      </c>
      <c r="CR105">
        <f>CO105</f>
        <v>2025</v>
      </c>
      <c r="CS105">
        <f>CP105</f>
        <v>2040</v>
      </c>
      <c r="CT105" t="s">
        <v>868</v>
      </c>
      <c r="DF105" t="s">
        <v>807</v>
      </c>
      <c r="DG105">
        <v>132</v>
      </c>
      <c r="DH105">
        <v>153</v>
      </c>
      <c r="DI105">
        <v>59</v>
      </c>
      <c r="DJ105">
        <v>46</v>
      </c>
      <c r="DK105">
        <v>74</v>
      </c>
      <c r="DL105">
        <v>59</v>
      </c>
      <c r="DM105">
        <v>91</v>
      </c>
      <c r="DN105">
        <v>72</v>
      </c>
    </row>
    <row r="106" spans="63:119" x14ac:dyDescent="0.25">
      <c r="BK106" t="s">
        <v>807</v>
      </c>
      <c r="BM106">
        <v>59</v>
      </c>
      <c r="BN106">
        <v>66</v>
      </c>
      <c r="BO106">
        <v>77</v>
      </c>
      <c r="BP106">
        <v>80</v>
      </c>
      <c r="BQ106">
        <v>68</v>
      </c>
      <c r="BR106">
        <v>84</v>
      </c>
      <c r="BS106">
        <v>92</v>
      </c>
      <c r="BT106">
        <v>61</v>
      </c>
      <c r="BU106">
        <v>59</v>
      </c>
      <c r="BV106">
        <v>53</v>
      </c>
      <c r="CJ106" t="str">
        <f>CJ94</f>
        <v>Stated Policies</v>
      </c>
      <c r="CL106">
        <v>3.5</v>
      </c>
      <c r="CM106">
        <v>4.2</v>
      </c>
      <c r="CN106" s="93">
        <f>(CM106/CL106-1)/($CQ94/$CN94-1)</f>
        <v>1.0142857142857142</v>
      </c>
      <c r="CO106">
        <v>6.7</v>
      </c>
      <c r="CP106">
        <v>8.3000000000000007</v>
      </c>
      <c r="CQ106" s="93">
        <f>(CP106/CO106-1)/($CQ94/$CN94-1)</f>
        <v>1.2110874200426442</v>
      </c>
      <c r="CR106">
        <v>8.4</v>
      </c>
      <c r="CS106">
        <v>8.8000000000000007</v>
      </c>
      <c r="CT106" s="93">
        <f>(CS106/CR106-1)/($CQ94/$CN94-1)</f>
        <v>0.24149659863945611</v>
      </c>
      <c r="DF106" t="s">
        <v>869</v>
      </c>
      <c r="DG106" t="s">
        <v>856</v>
      </c>
      <c r="DH106">
        <v>142</v>
      </c>
      <c r="DI106">
        <v>164</v>
      </c>
      <c r="DJ106">
        <v>58</v>
      </c>
      <c r="DK106">
        <v>48</v>
      </c>
      <c r="DL106">
        <v>73</v>
      </c>
      <c r="DM106">
        <v>62</v>
      </c>
      <c r="DN106">
        <v>89</v>
      </c>
      <c r="DO106">
        <v>74</v>
      </c>
    </row>
    <row r="107" spans="63:119" x14ac:dyDescent="0.25">
      <c r="CJ107" t="str">
        <f t="shared" ref="CJ107:CJ108" si="38">CJ95</f>
        <v>Sustainable Development</v>
      </c>
      <c r="CL107">
        <v>2.1</v>
      </c>
      <c r="CM107">
        <v>2</v>
      </c>
      <c r="CN107" s="93">
        <f t="shared" ref="CN107:CN108" si="39">(CM107/CL107-1)/($CQ95/$CN95-1)</f>
        <v>0.67857142857142938</v>
      </c>
      <c r="CO107">
        <v>4.8</v>
      </c>
      <c r="CP107">
        <v>4.9000000000000004</v>
      </c>
      <c r="CQ107" s="93">
        <f t="shared" ref="CQ107:CQ108" si="40">(CP107/CO107-1)/($CQ95/$CN95-1)</f>
        <v>-0.29687500000000211</v>
      </c>
      <c r="CR107">
        <v>6</v>
      </c>
      <c r="CS107">
        <v>6.4</v>
      </c>
      <c r="CT107" s="93">
        <f t="shared" ref="CT107:CT108" si="41">(CS107/CR107-1)/($CQ95/$CN95-1)</f>
        <v>-0.94999999999999984</v>
      </c>
    </row>
    <row r="108" spans="63:119" x14ac:dyDescent="0.25">
      <c r="CJ108" t="str">
        <f t="shared" si="38"/>
        <v>Delayed Recovery</v>
      </c>
      <c r="CL108">
        <v>3.2</v>
      </c>
      <c r="CM108">
        <v>3.7</v>
      </c>
      <c r="CN108" s="93">
        <f t="shared" si="39"/>
        <v>0.70913461538461509</v>
      </c>
      <c r="CO108">
        <v>6.3</v>
      </c>
      <c r="CP108">
        <v>7.6</v>
      </c>
      <c r="CQ108" s="93">
        <f t="shared" si="40"/>
        <v>0.93650793650793585</v>
      </c>
      <c r="CR108">
        <v>7.9</v>
      </c>
      <c r="CS108">
        <v>8.1999999999999993</v>
      </c>
      <c r="CT108" s="93">
        <f t="shared" si="41"/>
        <v>0.17234664070106992</v>
      </c>
    </row>
    <row r="110" spans="63:119" x14ac:dyDescent="0.25">
      <c r="CJ110" t="s">
        <v>870</v>
      </c>
    </row>
    <row r="111" spans="63:119" x14ac:dyDescent="0.25">
      <c r="CK111">
        <f t="shared" ref="CK111:CR111" si="42">CK93</f>
        <v>2019</v>
      </c>
      <c r="CL111">
        <f t="shared" si="42"/>
        <v>2020</v>
      </c>
      <c r="CM111">
        <f t="shared" si="42"/>
        <v>2021</v>
      </c>
      <c r="CN111">
        <f t="shared" si="42"/>
        <v>2025</v>
      </c>
      <c r="CO111">
        <f t="shared" si="42"/>
        <v>2030</v>
      </c>
      <c r="CP111">
        <f t="shared" si="42"/>
        <v>2035</v>
      </c>
      <c r="CQ111">
        <f t="shared" si="42"/>
        <v>2040</v>
      </c>
      <c r="CR111">
        <f t="shared" si="42"/>
        <v>2050</v>
      </c>
    </row>
    <row r="112" spans="63:119"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871</v>
      </c>
    </row>
    <row r="117" spans="88:96" x14ac:dyDescent="0.25">
      <c r="CK117">
        <f>CK111</f>
        <v>2019</v>
      </c>
      <c r="CL117">
        <f t="shared" ref="CL117:CR117" si="43">CL111</f>
        <v>2020</v>
      </c>
      <c r="CM117">
        <f t="shared" si="43"/>
        <v>2021</v>
      </c>
      <c r="CN117">
        <f t="shared" si="43"/>
        <v>2025</v>
      </c>
      <c r="CO117">
        <f t="shared" si="43"/>
        <v>2030</v>
      </c>
      <c r="CP117">
        <f t="shared" si="43"/>
        <v>2035</v>
      </c>
      <c r="CQ117">
        <f t="shared" si="43"/>
        <v>2040</v>
      </c>
      <c r="CR117">
        <f t="shared" si="43"/>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872</v>
      </c>
    </row>
    <row r="123" spans="88:96" x14ac:dyDescent="0.25">
      <c r="CK123">
        <f>CK117</f>
        <v>2019</v>
      </c>
      <c r="CL123">
        <f t="shared" ref="CL123:CR123" si="44">CL117</f>
        <v>2020</v>
      </c>
      <c r="CM123">
        <f t="shared" si="44"/>
        <v>2021</v>
      </c>
      <c r="CN123">
        <f t="shared" si="44"/>
        <v>2025</v>
      </c>
      <c r="CO123">
        <f t="shared" si="44"/>
        <v>2030</v>
      </c>
      <c r="CP123">
        <f t="shared" si="44"/>
        <v>2035</v>
      </c>
      <c r="CQ123">
        <f t="shared" si="44"/>
        <v>2040</v>
      </c>
      <c r="CR123">
        <f t="shared" si="44"/>
        <v>2050</v>
      </c>
    </row>
    <row r="124" spans="88:96" x14ac:dyDescent="0.25">
      <c r="CJ124" t="str">
        <f>CJ112</f>
        <v>Stated Policies</v>
      </c>
      <c r="CK124">
        <v>92</v>
      </c>
      <c r="CN124">
        <v>83</v>
      </c>
      <c r="CO124">
        <v>83</v>
      </c>
      <c r="CP124">
        <v>82</v>
      </c>
      <c r="CQ124">
        <v>79</v>
      </c>
    </row>
    <row r="125" spans="88:96" x14ac:dyDescent="0.25">
      <c r="CJ125" t="str">
        <f t="shared" ref="CJ125:CJ126" si="45">CJ113</f>
        <v>Sustainable Development</v>
      </c>
      <c r="CK125">
        <v>92</v>
      </c>
      <c r="CN125">
        <v>73</v>
      </c>
      <c r="CQ125">
        <v>67</v>
      </c>
    </row>
    <row r="126" spans="88:96" x14ac:dyDescent="0.25">
      <c r="CJ126" t="str">
        <f t="shared" si="45"/>
        <v>Delayed Recovery</v>
      </c>
      <c r="CK126">
        <v>92</v>
      </c>
      <c r="CN126">
        <v>76</v>
      </c>
      <c r="CQ126">
        <v>73</v>
      </c>
    </row>
    <row r="128" spans="88:96" x14ac:dyDescent="0.25">
      <c r="CJ128" t="s">
        <v>873</v>
      </c>
    </row>
    <row r="129" spans="88:95" x14ac:dyDescent="0.25">
      <c r="CK129" t="s">
        <v>874</v>
      </c>
      <c r="CL129" t="s">
        <v>875</v>
      </c>
      <c r="CM129" t="s">
        <v>876</v>
      </c>
      <c r="CN129" t="s">
        <v>877</v>
      </c>
      <c r="CO129" t="s">
        <v>878</v>
      </c>
      <c r="CP129" t="s">
        <v>879</v>
      </c>
      <c r="CQ129" t="s">
        <v>880</v>
      </c>
    </row>
    <row r="130" spans="88:95" x14ac:dyDescent="0.25">
      <c r="CJ130" t="str">
        <f>CJ100</f>
        <v>Stated Policies</v>
      </c>
      <c r="CK130" s="93">
        <f>CQ94/CN94-1</f>
        <v>0.19718309859154926</v>
      </c>
      <c r="CL130" s="93">
        <f>CQ112/CN112-1</f>
        <v>-5.6603773584905648E-2</v>
      </c>
      <c r="CM130" s="93">
        <f>CL130/CK130</f>
        <v>-0.28706199460916443</v>
      </c>
      <c r="CN130" s="93">
        <f>CQ118/CN118-1</f>
        <v>4.5454545454545414E-2</v>
      </c>
      <c r="CO130" s="270">
        <f>CN130/CK130</f>
        <v>0.23051948051948037</v>
      </c>
      <c r="CP130" s="93">
        <f>CQ124/CN124-1</f>
        <v>-4.8192771084337394E-2</v>
      </c>
      <c r="CQ130" s="93">
        <f>CP130/CK130</f>
        <v>-0.24440619621342541</v>
      </c>
    </row>
    <row r="131" spans="88:95" x14ac:dyDescent="0.25">
      <c r="CJ131" t="str">
        <f>CJ101</f>
        <v>Sustainable Development</v>
      </c>
      <c r="CK131" s="93">
        <f>CQ95/CN95-1</f>
        <v>-7.0175438596491224E-2</v>
      </c>
      <c r="CL131" s="93">
        <f t="shared" ref="CL131:CL132" si="46">CQ113/CN113-1</f>
        <v>-0.13513513513513509</v>
      </c>
      <c r="CM131" s="93">
        <f t="shared" ref="CM131:CM132" si="47">CL131/CK131</f>
        <v>1.925675675675675</v>
      </c>
      <c r="CN131" s="93">
        <f t="shared" ref="CN131:CN132" si="48">CQ119/CN119-1</f>
        <v>-3.5087719298245612E-2</v>
      </c>
      <c r="CO131" s="270">
        <f>CN131/CK131</f>
        <v>0.5</v>
      </c>
      <c r="CP131" s="93">
        <f t="shared" ref="CP131:CP132" si="49">CQ125/CN125-1</f>
        <v>-8.2191780821917804E-2</v>
      </c>
      <c r="CQ131" s="93">
        <f t="shared" ref="CQ131:CQ132" si="50">CP131/CK131</f>
        <v>1.1712328767123288</v>
      </c>
    </row>
    <row r="132" spans="88:95" x14ac:dyDescent="0.25">
      <c r="CJ132" t="str">
        <f>CJ102</f>
        <v>Delayed Recovery</v>
      </c>
      <c r="CK132" s="93">
        <f>CQ96/CN96-1</f>
        <v>0.22033898305084754</v>
      </c>
      <c r="CL132" s="93">
        <f t="shared" si="46"/>
        <v>-8.333333333333337E-2</v>
      </c>
      <c r="CM132" s="93">
        <f t="shared" si="47"/>
        <v>-0.37820512820512825</v>
      </c>
      <c r="CN132" s="93">
        <f t="shared" si="48"/>
        <v>6.6666666666666652E-2</v>
      </c>
      <c r="CO132" s="270">
        <f>CN132/CK132</f>
        <v>0.30256410256410238</v>
      </c>
      <c r="CP132" s="93">
        <f t="shared" si="49"/>
        <v>-3.9473684210526327E-2</v>
      </c>
      <c r="CQ132" s="93">
        <f t="shared" si="50"/>
        <v>-0.1791497975708502</v>
      </c>
    </row>
    <row r="134" spans="88:95" x14ac:dyDescent="0.25">
      <c r="CJ134" t="s">
        <v>881</v>
      </c>
    </row>
    <row r="135" spans="88:95" x14ac:dyDescent="0.25">
      <c r="CK135" t="s">
        <v>874</v>
      </c>
      <c r="CL135" t="s">
        <v>875</v>
      </c>
      <c r="CM135" t="s">
        <v>876</v>
      </c>
      <c r="CN135" t="s">
        <v>877</v>
      </c>
      <c r="CO135" t="s">
        <v>878</v>
      </c>
      <c r="CP135" t="s">
        <v>879</v>
      </c>
      <c r="CQ135" t="s">
        <v>880</v>
      </c>
    </row>
    <row r="136" spans="88:95" x14ac:dyDescent="0.25">
      <c r="CJ136" t="str">
        <f>CJ112</f>
        <v>Stated Policies</v>
      </c>
      <c r="CK136" s="93">
        <f>CQ94/CK94-1</f>
        <v>0.3492063492063493</v>
      </c>
      <c r="CL136" s="93">
        <f>CQ112/CK112-1</f>
        <v>8.6956521739130377E-2</v>
      </c>
      <c r="CM136" s="93">
        <f>CL136/CK136</f>
        <v>0.24901185770750964</v>
      </c>
      <c r="CN136" s="93">
        <f>CQ118/CK118-1</f>
        <v>0.13114754098360648</v>
      </c>
      <c r="CO136" s="270">
        <f>CN136/CK136</f>
        <v>0.37555886736214572</v>
      </c>
      <c r="CP136" s="93">
        <f>CQ124/CK124-1</f>
        <v>-0.14130434782608692</v>
      </c>
      <c r="CQ136" s="93">
        <f t="shared" ref="CQ136:CQ138" si="51">CP136/CK136</f>
        <v>-0.40464426877470333</v>
      </c>
    </row>
    <row r="137" spans="88:95" x14ac:dyDescent="0.25">
      <c r="CJ137" t="str">
        <f>CJ113</f>
        <v>Sustainable Development</v>
      </c>
      <c r="CK137" s="93">
        <f>CQ95/CK95-1</f>
        <v>-0.15873015873015872</v>
      </c>
      <c r="CL137" s="93">
        <f>CQ113/CK113-1</f>
        <v>-0.30434782608695654</v>
      </c>
      <c r="CM137" s="93">
        <f t="shared" ref="CM137:CM138" si="52">CL137/CK137</f>
        <v>1.9173913043478263</v>
      </c>
      <c r="CN137" s="93">
        <f>CQ119/CK119-1</f>
        <v>-9.8360655737704916E-2</v>
      </c>
      <c r="CO137" s="270">
        <f>CN137/CK137</f>
        <v>0.61967213114754105</v>
      </c>
      <c r="CP137" s="93">
        <f>CQ125/CK125-1</f>
        <v>-0.27173913043478259</v>
      </c>
      <c r="CQ137" s="93">
        <f t="shared" si="51"/>
        <v>1.7119565217391304</v>
      </c>
    </row>
    <row r="138" spans="88:95" x14ac:dyDescent="0.25">
      <c r="CJ138" t="str">
        <f>CJ114</f>
        <v>Delayed Recovery</v>
      </c>
      <c r="CK138" s="93">
        <f>CQ96/CK96-1</f>
        <v>0.14285714285714279</v>
      </c>
      <c r="CL138" s="93">
        <f>CQ114/CK114-1</f>
        <v>-4.3478260869565188E-2</v>
      </c>
      <c r="CM138" s="93">
        <f t="shared" si="52"/>
        <v>-0.30434782608695643</v>
      </c>
      <c r="CN138" s="93">
        <f>CQ120/CK120-1</f>
        <v>4.9180327868852514E-2</v>
      </c>
      <c r="CO138" s="270">
        <f>CN138/CK138</f>
        <v>0.34426229508196776</v>
      </c>
      <c r="CP138" s="93">
        <f>CQ126/CK126-1</f>
        <v>-0.20652173913043481</v>
      </c>
      <c r="CQ138" s="93">
        <f t="shared" si="51"/>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AF37-8778-428E-B1AC-56182D04AD2C}">
  <dimension ref="A2:AB147"/>
  <sheetViews>
    <sheetView topLeftCell="A10" workbookViewId="0">
      <selection activeCell="B3" sqref="B3"/>
    </sheetView>
  </sheetViews>
  <sheetFormatPr defaultColWidth="11.42578125" defaultRowHeight="15" x14ac:dyDescent="0.25"/>
  <cols>
    <col min="2" max="2" width="22.28515625" customWidth="1"/>
    <col min="4" max="4" width="14.42578125" customWidth="1"/>
    <col min="5" max="5" width="14.28515625" customWidth="1"/>
    <col min="6" max="6" width="15.28515625" customWidth="1"/>
    <col min="7" max="7" width="13.7109375" customWidth="1"/>
  </cols>
  <sheetData>
    <row r="2" spans="1:10" ht="18" thickBot="1" x14ac:dyDescent="0.35">
      <c r="B2" s="309" t="s">
        <v>1185</v>
      </c>
      <c r="C2" s="309"/>
      <c r="D2" s="309"/>
      <c r="E2" s="309"/>
      <c r="F2" s="309"/>
    </row>
    <row r="3" spans="1:10" ht="15.75" thickTop="1" x14ac:dyDescent="0.25"/>
    <row r="4" spans="1:10" x14ac:dyDescent="0.25">
      <c r="A4" s="26" t="s">
        <v>882</v>
      </c>
    </row>
    <row r="5" spans="1:10" x14ac:dyDescent="0.25">
      <c r="D5" s="26">
        <v>2010</v>
      </c>
      <c r="E5" s="26">
        <v>2020</v>
      </c>
      <c r="F5" s="26">
        <v>2030</v>
      </c>
      <c r="G5" s="26">
        <v>2050</v>
      </c>
      <c r="J5" t="s">
        <v>883</v>
      </c>
    </row>
    <row r="6" spans="1:10" x14ac:dyDescent="0.25">
      <c r="B6" t="s">
        <v>884</v>
      </c>
      <c r="C6" s="154" t="s">
        <v>885</v>
      </c>
      <c r="D6" s="358">
        <v>79.61</v>
      </c>
      <c r="E6" s="154">
        <f>+SUP!J16</f>
        <v>58</v>
      </c>
      <c r="F6" s="154">
        <f>+SUP!K16</f>
        <v>55.666666666666664</v>
      </c>
      <c r="G6" s="154">
        <f>+SUP!L16</f>
        <v>50.333333333333329</v>
      </c>
      <c r="H6" s="154" t="s">
        <v>259</v>
      </c>
      <c r="I6" s="154"/>
    </row>
    <row r="7" spans="1:10" x14ac:dyDescent="0.25">
      <c r="B7" t="s">
        <v>886</v>
      </c>
      <c r="C7" s="154" t="s">
        <v>775</v>
      </c>
      <c r="D7" s="359">
        <v>0.14899999999999999</v>
      </c>
      <c r="E7" s="359">
        <v>0.14899999999999999</v>
      </c>
      <c r="F7" s="359">
        <v>0.14899999999999999</v>
      </c>
      <c r="G7" s="359">
        <v>0.14899999999999999</v>
      </c>
      <c r="H7" s="154"/>
      <c r="I7" s="154">
        <f>J39</f>
        <v>0</v>
      </c>
    </row>
    <row r="8" spans="1:10" x14ac:dyDescent="0.25">
      <c r="B8" t="s">
        <v>887</v>
      </c>
      <c r="C8" s="154" t="s">
        <v>775</v>
      </c>
      <c r="D8" s="359">
        <v>0.1</v>
      </c>
      <c r="E8" s="359">
        <v>0.1</v>
      </c>
      <c r="F8" s="359">
        <v>0.1</v>
      </c>
      <c r="G8" s="359">
        <v>0.1</v>
      </c>
      <c r="H8" s="154"/>
      <c r="I8" s="154">
        <f>J27</f>
        <v>0</v>
      </c>
    </row>
    <row r="9" spans="1:10" x14ac:dyDescent="0.25">
      <c r="B9" t="s">
        <v>888</v>
      </c>
      <c r="C9" s="154" t="s">
        <v>775</v>
      </c>
      <c r="D9" s="359">
        <v>0.06</v>
      </c>
      <c r="E9" s="359">
        <v>0.06</v>
      </c>
      <c r="F9" s="359">
        <v>0.06</v>
      </c>
      <c r="G9" s="359">
        <v>0.06</v>
      </c>
      <c r="H9" s="154"/>
      <c r="I9" s="154">
        <f>J30</f>
        <v>0</v>
      </c>
    </row>
    <row r="10" spans="1:10" x14ac:dyDescent="0.25">
      <c r="B10" t="s">
        <v>889</v>
      </c>
      <c r="C10" s="154" t="s">
        <v>775</v>
      </c>
      <c r="D10" s="359">
        <v>0.08</v>
      </c>
      <c r="E10" s="359">
        <v>0.08</v>
      </c>
      <c r="F10" s="359">
        <v>0.08</v>
      </c>
      <c r="G10" s="359">
        <v>0.08</v>
      </c>
      <c r="H10" s="154"/>
      <c r="I10" s="154">
        <f>J33</f>
        <v>0</v>
      </c>
    </row>
    <row r="11" spans="1:10" x14ac:dyDescent="0.25">
      <c r="B11" t="s">
        <v>890</v>
      </c>
      <c r="C11" s="154" t="s">
        <v>891</v>
      </c>
      <c r="D11" s="360">
        <v>0.4</v>
      </c>
      <c r="E11" s="360">
        <v>0.4</v>
      </c>
      <c r="F11" s="360">
        <v>0.4</v>
      </c>
      <c r="G11" s="360">
        <v>0.4</v>
      </c>
      <c r="H11" s="154"/>
      <c r="I11" s="154"/>
    </row>
    <row r="12" spans="1:10" x14ac:dyDescent="0.25">
      <c r="B12" t="s">
        <v>892</v>
      </c>
      <c r="C12" s="154" t="s">
        <v>891</v>
      </c>
      <c r="D12" s="360">
        <v>0.8</v>
      </c>
      <c r="E12" s="360">
        <v>0.8</v>
      </c>
      <c r="F12" s="360">
        <v>0.8</v>
      </c>
      <c r="G12" s="360">
        <v>0.8</v>
      </c>
      <c r="H12" s="154"/>
      <c r="I12" s="154"/>
    </row>
    <row r="13" spans="1:10" x14ac:dyDescent="0.25">
      <c r="B13" t="s">
        <v>274</v>
      </c>
      <c r="C13" s="154" t="s">
        <v>891</v>
      </c>
      <c r="D13" s="360">
        <v>3.22</v>
      </c>
      <c r="E13" s="138" t="s">
        <v>893</v>
      </c>
      <c r="F13" s="154"/>
      <c r="G13" s="154"/>
      <c r="H13" s="154"/>
      <c r="I13" s="154"/>
    </row>
    <row r="14" spans="1:10" x14ac:dyDescent="0.25">
      <c r="B14" t="s">
        <v>894</v>
      </c>
      <c r="C14" s="154" t="s">
        <v>891</v>
      </c>
      <c r="D14" s="360">
        <v>3.95</v>
      </c>
      <c r="E14" s="138" t="s">
        <v>895</v>
      </c>
      <c r="F14" s="154"/>
      <c r="G14" s="154"/>
      <c r="H14" s="154"/>
      <c r="I14" s="154"/>
    </row>
    <row r="15" spans="1:10" x14ac:dyDescent="0.25">
      <c r="B15" t="s">
        <v>896</v>
      </c>
      <c r="C15" s="154" t="s">
        <v>891</v>
      </c>
      <c r="D15" s="360">
        <v>1.75</v>
      </c>
      <c r="E15" s="138" t="s">
        <v>893</v>
      </c>
      <c r="F15" s="154"/>
      <c r="G15" s="154"/>
      <c r="H15" s="154"/>
      <c r="I15" s="154"/>
    </row>
    <row r="16" spans="1:10" x14ac:dyDescent="0.25">
      <c r="B16" t="s">
        <v>897</v>
      </c>
      <c r="C16" s="154" t="s">
        <v>891</v>
      </c>
      <c r="D16" s="360">
        <v>7.04</v>
      </c>
      <c r="E16" s="138" t="s">
        <v>895</v>
      </c>
      <c r="F16" s="154"/>
      <c r="G16" s="154"/>
      <c r="H16" s="154"/>
      <c r="I16" s="154"/>
    </row>
    <row r="17" spans="2:27" x14ac:dyDescent="0.25">
      <c r="B17" t="s">
        <v>898</v>
      </c>
      <c r="C17" s="154" t="s">
        <v>891</v>
      </c>
      <c r="D17" s="360">
        <v>3.46</v>
      </c>
      <c r="E17" s="138" t="s">
        <v>893</v>
      </c>
      <c r="F17" s="154"/>
      <c r="G17" s="154"/>
      <c r="H17" s="154"/>
      <c r="I17" s="154"/>
    </row>
    <row r="18" spans="2:27" x14ac:dyDescent="0.25">
      <c r="B18" t="s">
        <v>899</v>
      </c>
      <c r="C18" s="154" t="s">
        <v>891</v>
      </c>
      <c r="D18" s="360">
        <v>3.48</v>
      </c>
      <c r="E18" s="138" t="s">
        <v>895</v>
      </c>
      <c r="F18" s="154"/>
      <c r="G18" s="154"/>
      <c r="H18" s="154"/>
      <c r="I18" s="154"/>
    </row>
    <row r="19" spans="2:27" x14ac:dyDescent="0.25">
      <c r="B19" t="s">
        <v>900</v>
      </c>
      <c r="C19" s="154" t="s">
        <v>891</v>
      </c>
      <c r="D19" s="360">
        <v>1.95</v>
      </c>
      <c r="E19" s="138" t="s">
        <v>893</v>
      </c>
      <c r="F19" s="154"/>
      <c r="G19" s="154"/>
      <c r="H19" s="154"/>
      <c r="I19" s="154"/>
    </row>
    <row r="20" spans="2:27" x14ac:dyDescent="0.25">
      <c r="B20" t="s">
        <v>901</v>
      </c>
      <c r="C20" s="154" t="s">
        <v>891</v>
      </c>
      <c r="D20" s="361">
        <v>0.56999999999999995</v>
      </c>
      <c r="E20" s="138" t="s">
        <v>902</v>
      </c>
      <c r="F20" s="154"/>
      <c r="G20" s="154"/>
      <c r="H20" s="154"/>
      <c r="I20" s="154"/>
    </row>
    <row r="21" spans="2:27" x14ac:dyDescent="0.25">
      <c r="B21" t="s">
        <v>903</v>
      </c>
      <c r="C21" s="154" t="s">
        <v>904</v>
      </c>
      <c r="D21" s="360">
        <f>SUP!F15</f>
        <v>11.914999999999999</v>
      </c>
      <c r="E21" s="138"/>
      <c r="F21" s="154"/>
      <c r="G21" s="154"/>
      <c r="H21" s="154"/>
      <c r="I21" s="154"/>
      <c r="K21" s="271" t="s">
        <v>905</v>
      </c>
      <c r="L21" s="362">
        <v>10</v>
      </c>
    </row>
    <row r="22" spans="2:27" x14ac:dyDescent="0.25">
      <c r="E22" s="138"/>
      <c r="F22" s="154"/>
      <c r="G22" s="154"/>
      <c r="H22" s="154"/>
      <c r="I22" s="154"/>
      <c r="M22" s="513">
        <v>2010</v>
      </c>
      <c r="N22" s="513"/>
      <c r="O22" s="513"/>
      <c r="P22" s="513"/>
      <c r="R22" s="513">
        <v>2010</v>
      </c>
      <c r="S22" s="513"/>
      <c r="T22" s="513"/>
      <c r="U22" s="513"/>
      <c r="X22" t="s">
        <v>865</v>
      </c>
    </row>
    <row r="23" spans="2:27" x14ac:dyDescent="0.25">
      <c r="C23" s="154"/>
      <c r="D23" s="154"/>
      <c r="E23" s="154"/>
      <c r="F23" s="154"/>
      <c r="G23" s="154"/>
      <c r="H23" s="154"/>
      <c r="I23" s="154"/>
      <c r="J23">
        <v>1</v>
      </c>
      <c r="K23">
        <f>J23+1</f>
        <v>2</v>
      </c>
      <c r="M23" s="511" t="s">
        <v>906</v>
      </c>
      <c r="N23" s="512"/>
      <c r="O23" s="511" t="s">
        <v>891</v>
      </c>
      <c r="P23" s="512"/>
      <c r="R23" s="511" t="s">
        <v>906</v>
      </c>
      <c r="S23" s="512"/>
      <c r="T23" s="511" t="s">
        <v>891</v>
      </c>
      <c r="U23" s="512"/>
    </row>
    <row r="24" spans="2:27" ht="15.75" thickBot="1" x14ac:dyDescent="0.3">
      <c r="C24" s="154"/>
      <c r="D24" s="154"/>
      <c r="E24" s="154"/>
      <c r="F24" s="154"/>
      <c r="G24" s="154"/>
      <c r="H24" s="154"/>
      <c r="I24" s="154"/>
      <c r="K24" s="154">
        <v>2012</v>
      </c>
      <c r="L24" s="154"/>
      <c r="M24" s="511" t="s">
        <v>907</v>
      </c>
      <c r="N24" s="512"/>
      <c r="O24" s="511" t="s">
        <v>907</v>
      </c>
      <c r="P24" s="512"/>
      <c r="R24" s="511" t="s">
        <v>908</v>
      </c>
      <c r="S24" s="512"/>
      <c r="T24" s="511" t="s">
        <v>908</v>
      </c>
      <c r="U24" s="512"/>
    </row>
    <row r="25" spans="2:27" x14ac:dyDescent="0.25">
      <c r="C25" s="364" t="s">
        <v>909</v>
      </c>
      <c r="D25" s="366" t="s">
        <v>910</v>
      </c>
      <c r="E25" s="365" t="s">
        <v>269</v>
      </c>
      <c r="F25" s="364" t="s">
        <v>911</v>
      </c>
      <c r="G25" s="366" t="s">
        <v>273</v>
      </c>
      <c r="H25" s="366" t="s">
        <v>274</v>
      </c>
      <c r="I25" s="365" t="s">
        <v>912</v>
      </c>
      <c r="K25" s="154" t="s">
        <v>913</v>
      </c>
      <c r="L25" s="154"/>
      <c r="M25" s="1" t="s">
        <v>914</v>
      </c>
      <c r="N25" s="1" t="s">
        <v>915</v>
      </c>
      <c r="O25" s="1" t="s">
        <v>914</v>
      </c>
      <c r="P25" s="1" t="s">
        <v>915</v>
      </c>
      <c r="R25" s="1" t="s">
        <v>914</v>
      </c>
      <c r="S25" s="1" t="s">
        <v>915</v>
      </c>
      <c r="T25" s="1" t="s">
        <v>914</v>
      </c>
      <c r="U25" s="1" t="s">
        <v>915</v>
      </c>
      <c r="X25" s="57">
        <v>2010</v>
      </c>
      <c r="Y25" s="57">
        <v>2020</v>
      </c>
      <c r="Z25" s="57">
        <v>2030</v>
      </c>
      <c r="AA25" s="367">
        <v>2050</v>
      </c>
    </row>
    <row r="27" spans="2:27" x14ac:dyDescent="0.25">
      <c r="B27" s="368" t="s">
        <v>916</v>
      </c>
      <c r="C27" s="369"/>
      <c r="D27" s="370">
        <f>D6*D8</f>
        <v>7.9610000000000003</v>
      </c>
      <c r="E27" s="371"/>
      <c r="F27" s="369"/>
      <c r="G27" s="372"/>
      <c r="H27" s="372"/>
      <c r="I27" s="373">
        <f>D14</f>
        <v>3.95</v>
      </c>
      <c r="J27">
        <f>+Q27</f>
        <v>0</v>
      </c>
      <c r="K27" s="154">
        <v>2027</v>
      </c>
      <c r="L27">
        <f>+I27*$D$21</f>
        <v>47.064250000000001</v>
      </c>
      <c r="M27" s="374">
        <f>O27*D21/1.055</f>
        <v>89.910251184834124</v>
      </c>
      <c r="N27" s="10"/>
      <c r="O27" s="374">
        <f>SUM($C27:$F27)</f>
        <v>7.9610000000000003</v>
      </c>
      <c r="P27" s="10"/>
      <c r="Q27">
        <f>+E49</f>
        <v>0</v>
      </c>
      <c r="R27" s="374">
        <f>T27*D21/1.055</f>
        <v>134.52091469194315</v>
      </c>
      <c r="S27" s="10"/>
      <c r="T27" s="374">
        <f>SUM(C27:I27)</f>
        <v>11.911000000000001</v>
      </c>
      <c r="U27" s="10"/>
      <c r="W27">
        <f>+Q27</f>
        <v>0</v>
      </c>
      <c r="X27" s="338">
        <f>+D6*D8</f>
        <v>7.9610000000000003</v>
      </c>
      <c r="Y27" s="338">
        <f>+E6*E8</f>
        <v>5.8000000000000007</v>
      </c>
      <c r="Z27" s="338">
        <f>+F6*F8</f>
        <v>5.5666666666666664</v>
      </c>
      <c r="AA27" s="338">
        <f>+G6*G8</f>
        <v>5.0333333333333332</v>
      </c>
    </row>
    <row r="28" spans="2:27" x14ac:dyDescent="0.25">
      <c r="B28" s="375" t="s">
        <v>917</v>
      </c>
      <c r="C28" s="376"/>
      <c r="D28" s="377">
        <f>D27</f>
        <v>7.9610000000000003</v>
      </c>
      <c r="E28" s="378"/>
      <c r="F28" s="376"/>
      <c r="G28" s="363"/>
      <c r="H28" s="363"/>
      <c r="I28" s="379">
        <f>D15</f>
        <v>1.75</v>
      </c>
      <c r="K28" s="154">
        <v>2027</v>
      </c>
      <c r="L28">
        <f>+I28*$D$21</f>
        <v>20.85125</v>
      </c>
      <c r="M28" s="222"/>
      <c r="N28" s="380">
        <f>P28*D21/1.055</f>
        <v>89.910251184834124</v>
      </c>
      <c r="O28" s="222"/>
      <c r="P28" s="380">
        <f>SUM($C28:$F28)</f>
        <v>7.9610000000000003</v>
      </c>
      <c r="Q28" t="s">
        <v>259</v>
      </c>
      <c r="R28" s="222"/>
      <c r="S28" s="380">
        <f>U28*D21/1.055</f>
        <v>109.67446919431281</v>
      </c>
      <c r="T28" s="222"/>
      <c r="U28" s="380">
        <f>SUM(C28:I28)</f>
        <v>9.7110000000000003</v>
      </c>
      <c r="W28" t="s">
        <v>259</v>
      </c>
    </row>
    <row r="29" spans="2:27" x14ac:dyDescent="0.25">
      <c r="B29" s="381"/>
      <c r="K29" s="154"/>
    </row>
    <row r="30" spans="2:27" x14ac:dyDescent="0.25">
      <c r="B30" s="368" t="s">
        <v>918</v>
      </c>
      <c r="C30" s="205"/>
      <c r="D30" s="370">
        <f>D6*D9</f>
        <v>4.7766000000000002</v>
      </c>
      <c r="E30" s="15"/>
      <c r="F30" s="205"/>
      <c r="G30" s="119"/>
      <c r="H30" s="119"/>
      <c r="I30" s="373">
        <f>D16</f>
        <v>7.04</v>
      </c>
      <c r="J30">
        <f>+Q30</f>
        <v>0</v>
      </c>
      <c r="K30" s="154">
        <v>2032</v>
      </c>
      <c r="L30">
        <f>+I30*$D$21</f>
        <v>83.881599999999992</v>
      </c>
      <c r="M30" s="374">
        <f>O30*D21/1.055</f>
        <v>53.946150710900476</v>
      </c>
      <c r="N30" s="10"/>
      <c r="O30" s="374">
        <f>SUM($C30:$F30)</f>
        <v>4.7766000000000002</v>
      </c>
      <c r="P30" s="10"/>
      <c r="Q30">
        <f>+E52</f>
        <v>0</v>
      </c>
      <c r="R30" s="374">
        <f>T30*D21/1.055</f>
        <v>133.45477630331754</v>
      </c>
      <c r="S30" s="10"/>
      <c r="T30" s="374">
        <f>SUM(C30:I30)</f>
        <v>11.816600000000001</v>
      </c>
      <c r="U30" s="10"/>
      <c r="W30">
        <f>+Q30</f>
        <v>0</v>
      </c>
      <c r="X30" s="338">
        <f>D6*D9</f>
        <v>4.7766000000000002</v>
      </c>
      <c r="Y30" s="338">
        <f>E6*E9</f>
        <v>3.48</v>
      </c>
      <c r="Z30" s="338">
        <f>F6*F9</f>
        <v>3.34</v>
      </c>
      <c r="AA30" s="338">
        <f>G6*G9</f>
        <v>3.0199999999999996</v>
      </c>
    </row>
    <row r="31" spans="2:27" x14ac:dyDescent="0.25">
      <c r="B31" s="375" t="s">
        <v>919</v>
      </c>
      <c r="C31" s="224"/>
      <c r="D31" s="377">
        <f>D30</f>
        <v>4.7766000000000002</v>
      </c>
      <c r="E31" s="14"/>
      <c r="F31" s="224"/>
      <c r="G31" s="13"/>
      <c r="H31" s="13"/>
      <c r="I31" s="379">
        <f>D17</f>
        <v>3.46</v>
      </c>
      <c r="K31" s="154">
        <v>2032</v>
      </c>
      <c r="L31">
        <f>+I31*$D$21</f>
        <v>41.225899999999996</v>
      </c>
      <c r="M31" s="222"/>
      <c r="N31" s="380">
        <f>P31*D21/1.055</f>
        <v>53.946150710900476</v>
      </c>
      <c r="O31" s="222"/>
      <c r="P31" s="380">
        <f>SUM($C31:$F31)</f>
        <v>4.7766000000000002</v>
      </c>
      <c r="Q31" t="s">
        <v>259</v>
      </c>
      <c r="R31" s="222"/>
      <c r="S31" s="380">
        <f>U31*D21/1.055</f>
        <v>93.022833175355444</v>
      </c>
      <c r="T31" s="222"/>
      <c r="U31" s="380">
        <f>SUM(C31:I31)</f>
        <v>8.2365999999999993</v>
      </c>
      <c r="W31" t="s">
        <v>259</v>
      </c>
    </row>
    <row r="32" spans="2:27" x14ac:dyDescent="0.25">
      <c r="K32" s="154"/>
    </row>
    <row r="33" spans="2:27" x14ac:dyDescent="0.25">
      <c r="B33" s="205" t="s">
        <v>920</v>
      </c>
      <c r="C33" s="369"/>
      <c r="D33" s="372"/>
      <c r="E33" s="382">
        <f>D6*D10</f>
        <v>6.3688000000000002</v>
      </c>
      <c r="F33" s="369"/>
      <c r="G33" s="372"/>
      <c r="H33" s="372"/>
      <c r="I33" s="373">
        <f>D14</f>
        <v>3.95</v>
      </c>
      <c r="J33">
        <f>+Q33</f>
        <v>0</v>
      </c>
      <c r="K33" s="154">
        <v>2032</v>
      </c>
      <c r="L33">
        <f>+I33*$D$21</f>
        <v>47.064250000000001</v>
      </c>
      <c r="M33" s="374">
        <f>O33*D21/1.055</f>
        <v>71.92820094786731</v>
      </c>
      <c r="N33" s="10"/>
      <c r="O33" s="374">
        <f>SUM($C33:$F33)</f>
        <v>6.3688000000000002</v>
      </c>
      <c r="P33" s="10"/>
      <c r="Q33">
        <f>+E55</f>
        <v>0</v>
      </c>
      <c r="R33" s="374">
        <f>T33*D21/1.055</f>
        <v>116.53886445497631</v>
      </c>
      <c r="S33" s="10"/>
      <c r="T33" s="374">
        <f>SUM(C33:I33)</f>
        <v>10.3188</v>
      </c>
      <c r="U33" s="10"/>
      <c r="W33">
        <f>+Q33</f>
        <v>0</v>
      </c>
      <c r="X33" s="338">
        <f>D6*D10</f>
        <v>6.3688000000000002</v>
      </c>
      <c r="Y33" s="338">
        <f>E6*E10</f>
        <v>4.6399999999999997</v>
      </c>
      <c r="Z33" s="338">
        <f>F6*F10</f>
        <v>4.4533333333333331</v>
      </c>
      <c r="AA33" s="338">
        <f>G6*G10</f>
        <v>4.0266666666666664</v>
      </c>
    </row>
    <row r="34" spans="2:27" x14ac:dyDescent="0.25">
      <c r="B34" s="224" t="s">
        <v>921</v>
      </c>
      <c r="C34" s="376"/>
      <c r="D34" s="363"/>
      <c r="E34" s="383">
        <f>E33</f>
        <v>6.3688000000000002</v>
      </c>
      <c r="F34" s="376"/>
      <c r="G34" s="363"/>
      <c r="H34" s="363"/>
      <c r="I34" s="379">
        <f>D15</f>
        <v>1.75</v>
      </c>
      <c r="K34" s="154">
        <v>2032</v>
      </c>
      <c r="L34">
        <f>+I34*$D$21</f>
        <v>20.85125</v>
      </c>
      <c r="M34" s="222"/>
      <c r="N34" s="380">
        <f>P34*D21/1.055</f>
        <v>71.92820094786731</v>
      </c>
      <c r="O34" s="222"/>
      <c r="P34" s="380">
        <f>SUM($C34:$F34)</f>
        <v>6.3688000000000002</v>
      </c>
      <c r="Q34" t="s">
        <v>259</v>
      </c>
      <c r="R34" s="222"/>
      <c r="S34" s="380">
        <f>U34*D21/1.055</f>
        <v>91.692418957345978</v>
      </c>
      <c r="T34" s="222"/>
      <c r="U34" s="380">
        <f>SUM(C34:I34)</f>
        <v>8.1188000000000002</v>
      </c>
      <c r="W34" t="s">
        <v>259</v>
      </c>
    </row>
    <row r="35" spans="2:27" x14ac:dyDescent="0.25">
      <c r="K35" s="154"/>
    </row>
    <row r="36" spans="2:27" x14ac:dyDescent="0.25">
      <c r="B36" s="205" t="s">
        <v>922</v>
      </c>
      <c r="C36" s="384">
        <f>D6*D7</f>
        <v>11.861889999999999</v>
      </c>
      <c r="D36" s="372"/>
      <c r="E36" s="371"/>
      <c r="F36" s="384">
        <f>D11</f>
        <v>0.4</v>
      </c>
      <c r="G36" s="385">
        <f>D18</f>
        <v>3.48</v>
      </c>
      <c r="H36" s="372"/>
      <c r="I36" s="371"/>
      <c r="J36">
        <f>+Q36</f>
        <v>0</v>
      </c>
      <c r="K36" s="154">
        <v>2030</v>
      </c>
      <c r="L36">
        <f>+G36*$D$21</f>
        <v>41.464199999999998</v>
      </c>
      <c r="M36" s="374">
        <f>O36*D21/1.055</f>
        <v>138.48380981042652</v>
      </c>
      <c r="N36" s="10"/>
      <c r="O36" s="374">
        <f>SUM($C36:$F36)</f>
        <v>12.261889999999999</v>
      </c>
      <c r="P36" s="10"/>
      <c r="Q36">
        <f>+E58</f>
        <v>0</v>
      </c>
      <c r="R36" s="374">
        <f>T36*D21/1.055</f>
        <v>177.7863690521327</v>
      </c>
      <c r="S36" s="10"/>
      <c r="T36" s="374">
        <f>SUM(C36:I36)</f>
        <v>15.74189</v>
      </c>
      <c r="U36" s="10"/>
      <c r="W36">
        <f>+Q36</f>
        <v>0</v>
      </c>
      <c r="X36" s="338">
        <f>D6*D7+D11</f>
        <v>12.261889999999999</v>
      </c>
      <c r="Y36" s="338">
        <f>E6*E7+E11</f>
        <v>9.0419999999999998</v>
      </c>
      <c r="Z36" s="338">
        <f>F6*F7+F11</f>
        <v>8.6943333333333328</v>
      </c>
      <c r="AA36" s="338">
        <f>G6*G7+G11</f>
        <v>7.8996666666666657</v>
      </c>
    </row>
    <row r="37" spans="2:27" x14ac:dyDescent="0.25">
      <c r="B37" s="224" t="s">
        <v>923</v>
      </c>
      <c r="C37" s="386">
        <f>C36</f>
        <v>11.861889999999999</v>
      </c>
      <c r="D37" s="363"/>
      <c r="E37" s="378"/>
      <c r="F37" s="386">
        <f>F36</f>
        <v>0.4</v>
      </c>
      <c r="G37" s="387">
        <f>D19</f>
        <v>1.95</v>
      </c>
      <c r="H37" s="363"/>
      <c r="I37" s="378"/>
      <c r="K37" s="154">
        <v>2030</v>
      </c>
      <c r="L37">
        <f>+G37*$D$21</f>
        <v>23.234249999999999</v>
      </c>
      <c r="M37" s="222"/>
      <c r="N37" s="380">
        <f>P37*D21/1.055</f>
        <v>138.48380981042652</v>
      </c>
      <c r="O37" s="222"/>
      <c r="P37" s="380">
        <f>SUM($C37:$F37)</f>
        <v>12.261889999999999</v>
      </c>
      <c r="Q37" t="s">
        <v>259</v>
      </c>
      <c r="R37" s="222"/>
      <c r="S37" s="380">
        <f>U37*D21/1.055</f>
        <v>160.50679559241706</v>
      </c>
      <c r="T37" s="222"/>
      <c r="U37" s="380">
        <f>SUM(C37:I37)</f>
        <v>14.211889999999999</v>
      </c>
      <c r="W37" t="s">
        <v>259</v>
      </c>
    </row>
    <row r="38" spans="2:27" x14ac:dyDescent="0.25">
      <c r="K38" s="154"/>
    </row>
    <row r="39" spans="2:27" x14ac:dyDescent="0.25">
      <c r="B39" s="262" t="s">
        <v>924</v>
      </c>
      <c r="C39" s="388">
        <f>C37</f>
        <v>11.861889999999999</v>
      </c>
      <c r="D39" s="366"/>
      <c r="E39" s="365"/>
      <c r="F39" s="389">
        <f>D11</f>
        <v>0.4</v>
      </c>
      <c r="G39" s="366"/>
      <c r="H39" s="390">
        <f>D13</f>
        <v>3.22</v>
      </c>
      <c r="I39" s="365"/>
      <c r="J39">
        <f>+Q39</f>
        <v>0</v>
      </c>
      <c r="K39" s="154">
        <v>2027</v>
      </c>
      <c r="L39" t="s">
        <v>259</v>
      </c>
      <c r="M39" s="8"/>
      <c r="N39" s="391">
        <f>P39*D21/1.055</f>
        <v>138.48380981042652</v>
      </c>
      <c r="O39" s="8"/>
      <c r="P39" s="391">
        <f>SUM($C39:$F39)</f>
        <v>12.261889999999999</v>
      </c>
      <c r="Q39">
        <f>+E60</f>
        <v>0</v>
      </c>
      <c r="R39" s="8"/>
      <c r="S39" s="391">
        <f>U39*D21/1.055</f>
        <v>174.84997094786729</v>
      </c>
      <c r="T39" s="8"/>
      <c r="U39" s="391">
        <f>SUM(C39:I39)</f>
        <v>15.48189</v>
      </c>
      <c r="W39">
        <f>+Q39</f>
        <v>0</v>
      </c>
      <c r="X39" s="338">
        <f>+U39</f>
        <v>15.48189</v>
      </c>
      <c r="Y39" s="338">
        <f>E6*E7+E12+$H$39</f>
        <v>12.662000000000001</v>
      </c>
      <c r="Z39" s="338">
        <f>F6*F7+F12+$H$39</f>
        <v>12.314333333333334</v>
      </c>
      <c r="AA39" s="338">
        <f>G6*G7+G12+$H$39</f>
        <v>11.519666666666666</v>
      </c>
    </row>
    <row r="40" spans="2:27" x14ac:dyDescent="0.25">
      <c r="K40" s="154"/>
    </row>
    <row r="41" spans="2:27" x14ac:dyDescent="0.25">
      <c r="B41" s="392" t="s">
        <v>925</v>
      </c>
      <c r="C41" s="393">
        <f>D6*D7</f>
        <v>11.861889999999999</v>
      </c>
      <c r="D41" s="394"/>
      <c r="E41" s="395"/>
      <c r="F41" s="393">
        <f>D12</f>
        <v>0.8</v>
      </c>
      <c r="G41" s="396">
        <f>D18</f>
        <v>3.48</v>
      </c>
      <c r="H41" s="394"/>
      <c r="I41" s="395"/>
      <c r="K41" s="154">
        <v>2030</v>
      </c>
      <c r="L41" t="s">
        <v>259</v>
      </c>
      <c r="M41" s="374">
        <f>O41*D21/1.055</f>
        <v>143.00134535545021</v>
      </c>
      <c r="N41" s="10"/>
      <c r="O41" s="374">
        <f>SUM($C41:$F41)</f>
        <v>12.66189</v>
      </c>
      <c r="P41" s="10"/>
      <c r="Q41" t="s">
        <v>259</v>
      </c>
      <c r="R41" s="374">
        <f>T41*D21/1.055</f>
        <v>182.30390459715639</v>
      </c>
      <c r="S41" s="10"/>
      <c r="T41" s="374">
        <f>SUM(C41:I41)</f>
        <v>16.14189</v>
      </c>
      <c r="U41" s="10"/>
    </row>
    <row r="42" spans="2:27" x14ac:dyDescent="0.25">
      <c r="B42" s="397" t="s">
        <v>926</v>
      </c>
      <c r="C42" s="398">
        <f>C41</f>
        <v>11.861889999999999</v>
      </c>
      <c r="D42" s="399"/>
      <c r="E42" s="400"/>
      <c r="F42" s="398">
        <f>F41</f>
        <v>0.8</v>
      </c>
      <c r="G42" s="401">
        <f>D19</f>
        <v>1.95</v>
      </c>
      <c r="H42" s="399"/>
      <c r="I42" s="400"/>
      <c r="K42" s="154">
        <v>2030</v>
      </c>
      <c r="L42" t="s">
        <v>259</v>
      </c>
      <c r="M42" s="222"/>
      <c r="N42" s="380">
        <f>P42*D21/1.055</f>
        <v>143.00134535545021</v>
      </c>
      <c r="O42" s="222"/>
      <c r="P42" s="380">
        <f>SUM($C42:$F42)</f>
        <v>12.66189</v>
      </c>
      <c r="Q42" t="s">
        <v>259</v>
      </c>
      <c r="R42" s="222"/>
      <c r="S42" s="380">
        <f>U42*D21/1.055</f>
        <v>165.02433113744075</v>
      </c>
      <c r="T42" s="222"/>
      <c r="U42" s="380">
        <f>SUM(C42:I42)</f>
        <v>14.611889999999999</v>
      </c>
    </row>
    <row r="43" spans="2:27" x14ac:dyDescent="0.25">
      <c r="K43" s="154"/>
    </row>
    <row r="44" spans="2:27" x14ac:dyDescent="0.25">
      <c r="B44" s="402" t="s">
        <v>927</v>
      </c>
      <c r="C44" s="403">
        <f>C42</f>
        <v>11.861889999999999</v>
      </c>
      <c r="D44" s="404"/>
      <c r="E44" s="405"/>
      <c r="F44" s="403">
        <f>D12</f>
        <v>0.8</v>
      </c>
      <c r="G44" s="404"/>
      <c r="H44" s="406">
        <f>D13</f>
        <v>3.22</v>
      </c>
      <c r="I44" s="405"/>
      <c r="K44" s="154">
        <v>2025</v>
      </c>
      <c r="L44" t="s">
        <v>259</v>
      </c>
      <c r="M44" s="8"/>
      <c r="N44" s="391">
        <f>P44*D21/1.055</f>
        <v>143.00134535545021</v>
      </c>
      <c r="O44" s="8"/>
      <c r="P44" s="391">
        <f>SUM($C44:$F44)</f>
        <v>12.66189</v>
      </c>
      <c r="Q44" t="s">
        <v>259</v>
      </c>
      <c r="R44" s="8"/>
      <c r="S44" s="391">
        <f>U44*D21/1.055</f>
        <v>179.36750649289101</v>
      </c>
      <c r="T44" s="8"/>
      <c r="U44" s="391">
        <f>SUM(C44:I44)</f>
        <v>15.88189</v>
      </c>
    </row>
    <row r="50" spans="2:19" x14ac:dyDescent="0.25">
      <c r="R50">
        <v>50</v>
      </c>
      <c r="S50">
        <v>90</v>
      </c>
    </row>
    <row r="51" spans="2:19" x14ac:dyDescent="0.25">
      <c r="L51" s="251" t="s">
        <v>259</v>
      </c>
      <c r="Q51" t="str">
        <f>+Q28</f>
        <v xml:space="preserve"> </v>
      </c>
      <c r="R51" s="337">
        <f>R27</f>
        <v>134.52091469194315</v>
      </c>
      <c r="S51" s="338">
        <f>+S28</f>
        <v>109.67446919431281</v>
      </c>
    </row>
    <row r="52" spans="2:19" x14ac:dyDescent="0.25">
      <c r="Q52" t="str">
        <f>+Q31</f>
        <v xml:space="preserve"> </v>
      </c>
      <c r="R52" s="337">
        <f>R30</f>
        <v>133.45477630331754</v>
      </c>
      <c r="S52" s="338">
        <f>+S31</f>
        <v>93.022833175355444</v>
      </c>
    </row>
    <row r="53" spans="2:19" x14ac:dyDescent="0.25">
      <c r="Q53" t="str">
        <f>+Q34</f>
        <v xml:space="preserve"> </v>
      </c>
      <c r="R53" s="337">
        <f>R33</f>
        <v>116.53886445497631</v>
      </c>
      <c r="S53" s="338">
        <f>+S34</f>
        <v>91.692418957345978</v>
      </c>
    </row>
    <row r="54" spans="2:19" x14ac:dyDescent="0.25">
      <c r="Q54" t="str">
        <f>+Q37</f>
        <v xml:space="preserve"> </v>
      </c>
      <c r="R54" s="337">
        <f>R36</f>
        <v>177.7863690521327</v>
      </c>
      <c r="S54" s="338">
        <f>+S37</f>
        <v>160.50679559241706</v>
      </c>
    </row>
    <row r="55" spans="2:19" x14ac:dyDescent="0.25">
      <c r="Q55">
        <f>+Q39</f>
        <v>0</v>
      </c>
      <c r="S55" s="338">
        <f>+S39</f>
        <v>174.84997094786729</v>
      </c>
    </row>
    <row r="56" spans="2:19" x14ac:dyDescent="0.25">
      <c r="Q56" t="str">
        <f>+Q42</f>
        <v xml:space="preserve"> </v>
      </c>
      <c r="R56" s="337">
        <f>R41</f>
        <v>182.30390459715639</v>
      </c>
      <c r="S56" s="338">
        <f>+S42</f>
        <v>165.02433113744075</v>
      </c>
    </row>
    <row r="57" spans="2:19" x14ac:dyDescent="0.25">
      <c r="Q57" t="str">
        <f>+Q44</f>
        <v xml:space="preserve"> </v>
      </c>
      <c r="S57" s="338">
        <f>+S44</f>
        <v>179.36750649289101</v>
      </c>
    </row>
    <row r="60" spans="2:19" x14ac:dyDescent="0.25"/>
    <row r="64" spans="2:19" x14ac:dyDescent="0.25">
      <c r="B64" t="s">
        <v>928</v>
      </c>
      <c r="D64" t="s">
        <v>929</v>
      </c>
    </row>
    <row r="65" spans="1:25" x14ac:dyDescent="0.25">
      <c r="G65" t="s">
        <v>930</v>
      </c>
      <c r="H65">
        <f>SUP!F15</f>
        <v>11.914999999999999</v>
      </c>
      <c r="K65" t="s">
        <v>931</v>
      </c>
    </row>
    <row r="66" spans="1:25" x14ac:dyDescent="0.25">
      <c r="B66" s="26" t="s">
        <v>272</v>
      </c>
      <c r="C66" s="26" t="s">
        <v>932</v>
      </c>
    </row>
    <row r="67" spans="1:25" x14ac:dyDescent="0.25">
      <c r="A67">
        <v>1</v>
      </c>
      <c r="B67" s="26"/>
      <c r="C67" s="26" t="str">
        <f>[11]UPS!B128</f>
        <v>UGASGIB-N</v>
      </c>
      <c r="D67" s="26" t="str">
        <f>[11]UPS!B131</f>
        <v>UGASGRM-N</v>
      </c>
      <c r="E67" s="26" t="str">
        <f>[11]UPS!B137</f>
        <v>UGASGIH-N</v>
      </c>
      <c r="F67" s="26" t="str">
        <f>[11]UPS!B140</f>
        <v>ULGTGRL-N</v>
      </c>
      <c r="G67" s="26" t="str">
        <f>[11]UPS!B143</f>
        <v>ULGTGRLFSRU-N</v>
      </c>
      <c r="U67" t="s">
        <v>933</v>
      </c>
      <c r="V67">
        <v>0.65</v>
      </c>
      <c r="W67" t="s">
        <v>934</v>
      </c>
      <c r="X67">
        <f>38.1*V67</f>
        <v>24.765000000000001</v>
      </c>
      <c r="Y67" t="s">
        <v>513</v>
      </c>
    </row>
    <row r="68" spans="1:25" x14ac:dyDescent="0.25">
      <c r="A68">
        <f>A67+1</f>
        <v>2</v>
      </c>
      <c r="B68" t="s">
        <v>935</v>
      </c>
      <c r="C68" s="62">
        <f>1.6*31.536*0.9</f>
        <v>45.411840000000005</v>
      </c>
      <c r="D68" s="62">
        <f>1.6*31.536*0.9</f>
        <v>45.411840000000005</v>
      </c>
      <c r="E68" s="62">
        <f>1.6*31.536*0.9</f>
        <v>45.411840000000005</v>
      </c>
      <c r="F68">
        <f>+F84</f>
        <v>172.8</v>
      </c>
      <c r="G68" s="62">
        <f>G84</f>
        <v>48</v>
      </c>
    </row>
    <row r="69" spans="1:25" x14ac:dyDescent="0.25">
      <c r="A69">
        <f t="shared" ref="A69:A89" si="0">A68+1</f>
        <v>3</v>
      </c>
      <c r="B69" t="s">
        <v>936</v>
      </c>
      <c r="C69">
        <v>53</v>
      </c>
      <c r="D69">
        <v>53</v>
      </c>
      <c r="E69">
        <v>53</v>
      </c>
      <c r="U69" t="s">
        <v>933</v>
      </c>
      <c r="V69">
        <v>450</v>
      </c>
      <c r="W69" t="s">
        <v>937</v>
      </c>
      <c r="X69">
        <f>54.4*V69/1000</f>
        <v>24.48</v>
      </c>
      <c r="Y69" t="s">
        <v>513</v>
      </c>
    </row>
    <row r="70" spans="1:25" x14ac:dyDescent="0.25">
      <c r="A70">
        <f t="shared" si="0"/>
        <v>4</v>
      </c>
      <c r="B70" t="s">
        <v>938</v>
      </c>
      <c r="C70">
        <v>22</v>
      </c>
      <c r="D70">
        <v>22</v>
      </c>
      <c r="E70">
        <v>22</v>
      </c>
    </row>
    <row r="71" spans="1:25" x14ac:dyDescent="0.25">
      <c r="A71">
        <f t="shared" si="0"/>
        <v>5</v>
      </c>
      <c r="B71" t="s">
        <v>939</v>
      </c>
      <c r="C71">
        <f>70000*X93</f>
        <v>73500</v>
      </c>
      <c r="D71">
        <f>C71</f>
        <v>73500</v>
      </c>
      <c r="E71">
        <f>D71</f>
        <v>73500</v>
      </c>
    </row>
    <row r="72" spans="1:25" x14ac:dyDescent="0.25">
      <c r="A72">
        <f t="shared" si="0"/>
        <v>6</v>
      </c>
      <c r="B72" t="s">
        <v>940</v>
      </c>
      <c r="C72">
        <f>+C71*SUP!F15*C70/1000000</f>
        <v>19.266554999999997</v>
      </c>
      <c r="D72">
        <f>+D71*SUP!G15*D70/1000000</f>
        <v>19.266554999999997</v>
      </c>
      <c r="E72">
        <f>+E71*SUP!J15*E70/1000000</f>
        <v>19.266554999999997</v>
      </c>
    </row>
    <row r="73" spans="1:25" x14ac:dyDescent="0.25">
      <c r="A73">
        <f t="shared" si="0"/>
        <v>7</v>
      </c>
      <c r="B73" t="s">
        <v>941</v>
      </c>
      <c r="C73">
        <v>500</v>
      </c>
      <c r="D73">
        <v>2500</v>
      </c>
      <c r="E73">
        <v>500</v>
      </c>
    </row>
    <row r="74" spans="1:25" x14ac:dyDescent="0.25">
      <c r="A74">
        <f t="shared" si="0"/>
        <v>8</v>
      </c>
      <c r="B74" t="s">
        <v>942</v>
      </c>
      <c r="C74">
        <f>+C72*C73</f>
        <v>9633.2774999999983</v>
      </c>
      <c r="D74">
        <f>+D72*D73</f>
        <v>48166.38749999999</v>
      </c>
      <c r="E74">
        <f>+E72*E73</f>
        <v>9633.2774999999983</v>
      </c>
      <c r="F74">
        <f>Y104*H65*X93</f>
        <v>10571.58375</v>
      </c>
    </row>
    <row r="75" spans="1:25" x14ac:dyDescent="0.25">
      <c r="A75">
        <f t="shared" si="0"/>
        <v>9</v>
      </c>
      <c r="B75" t="s">
        <v>943</v>
      </c>
      <c r="C75" s="302">
        <f>SUM(S102:S103)*H65*X93</f>
        <v>1252.3260749999999</v>
      </c>
      <c r="D75" s="302">
        <f>SUM(W102:W103)*H65*X93</f>
        <v>6261.6303749999997</v>
      </c>
      <c r="E75" s="302">
        <f>C75</f>
        <v>1252.3260749999999</v>
      </c>
      <c r="F75" s="87">
        <f>SUM(Y102:Y103)*H65*X93</f>
        <v>1374.9314249999998</v>
      </c>
    </row>
    <row r="76" spans="1:25" x14ac:dyDescent="0.25">
      <c r="A76">
        <f t="shared" si="0"/>
        <v>10</v>
      </c>
      <c r="B76" t="s">
        <v>944</v>
      </c>
      <c r="C76" s="87">
        <f>SUM(C74:C75)</f>
        <v>10885.603574999997</v>
      </c>
      <c r="D76" s="87">
        <f>SUM(D74:D75)</f>
        <v>54428.01787499999</v>
      </c>
      <c r="E76" s="87">
        <f>SUM(E74:E75)</f>
        <v>10885.603574999997</v>
      </c>
      <c r="F76" s="87">
        <f>SUM(F74:F75)</f>
        <v>11946.515175</v>
      </c>
      <c r="G76" s="87">
        <f>AA105*H65*X93</f>
        <v>4455.3952991452961</v>
      </c>
      <c r="T76" t="s">
        <v>945</v>
      </c>
    </row>
    <row r="77" spans="1:25" x14ac:dyDescent="0.25">
      <c r="A77">
        <f t="shared" si="0"/>
        <v>11</v>
      </c>
      <c r="B77" t="s">
        <v>946</v>
      </c>
      <c r="C77" s="62">
        <f>+C76/C68</f>
        <v>239.70848957012083</v>
      </c>
      <c r="D77" s="62">
        <f>+D76/D68</f>
        <v>1198.5424478506043</v>
      </c>
      <c r="E77" s="62">
        <f>+E76/E68</f>
        <v>239.70848957012083</v>
      </c>
      <c r="F77" s="62">
        <f>+F76/F68</f>
        <v>69.134925781250004</v>
      </c>
      <c r="G77" s="62">
        <f>+G76/G68</f>
        <v>92.820735398860336</v>
      </c>
    </row>
    <row r="78" spans="1:25" x14ac:dyDescent="0.25">
      <c r="A78">
        <f t="shared" si="0"/>
        <v>12</v>
      </c>
      <c r="B78" t="s">
        <v>947</v>
      </c>
      <c r="C78" s="407">
        <v>80</v>
      </c>
      <c r="D78" s="407">
        <v>80</v>
      </c>
      <c r="E78" s="407">
        <v>80</v>
      </c>
      <c r="F78" s="62">
        <v>30</v>
      </c>
      <c r="G78" s="62">
        <v>15</v>
      </c>
    </row>
    <row r="79" spans="1:25" x14ac:dyDescent="0.25">
      <c r="A79">
        <f t="shared" si="0"/>
        <v>13</v>
      </c>
      <c r="B79" t="s">
        <v>948</v>
      </c>
      <c r="C79">
        <v>4</v>
      </c>
      <c r="D79">
        <v>4</v>
      </c>
      <c r="E79">
        <v>4</v>
      </c>
      <c r="F79">
        <v>4</v>
      </c>
      <c r="G79">
        <v>2</v>
      </c>
    </row>
    <row r="80" spans="1:25" x14ac:dyDescent="0.25">
      <c r="A80">
        <f t="shared" si="0"/>
        <v>14</v>
      </c>
      <c r="C80" s="62"/>
      <c r="D80" s="62"/>
      <c r="E80" s="62"/>
      <c r="F80" s="62"/>
    </row>
    <row r="81" spans="1:27" x14ac:dyDescent="0.25">
      <c r="A81">
        <f t="shared" si="0"/>
        <v>15</v>
      </c>
      <c r="C81" s="62"/>
      <c r="D81" s="62"/>
      <c r="E81" s="62"/>
      <c r="F81" s="62"/>
    </row>
    <row r="82" spans="1:27" x14ac:dyDescent="0.25">
      <c r="A82">
        <f t="shared" si="0"/>
        <v>16</v>
      </c>
      <c r="D82" t="s">
        <v>259</v>
      </c>
      <c r="E82" t="s">
        <v>259</v>
      </c>
      <c r="G82" t="s">
        <v>949</v>
      </c>
    </row>
    <row r="83" spans="1:27" x14ac:dyDescent="0.25">
      <c r="A83">
        <f t="shared" si="0"/>
        <v>17</v>
      </c>
      <c r="B83" s="26" t="s">
        <v>950</v>
      </c>
      <c r="G83">
        <v>48</v>
      </c>
    </row>
    <row r="84" spans="1:27" x14ac:dyDescent="0.25">
      <c r="A84">
        <f t="shared" si="0"/>
        <v>18</v>
      </c>
      <c r="B84" t="s">
        <v>951</v>
      </c>
      <c r="F84">
        <f>+F85*$G$83</f>
        <v>172.8</v>
      </c>
      <c r="G84">
        <f>+G85*$G$83</f>
        <v>48</v>
      </c>
    </row>
    <row r="85" spans="1:27" x14ac:dyDescent="0.25">
      <c r="A85">
        <f t="shared" si="0"/>
        <v>19</v>
      </c>
      <c r="B85" t="s">
        <v>952</v>
      </c>
      <c r="F85">
        <v>3.6</v>
      </c>
      <c r="G85">
        <v>1</v>
      </c>
    </row>
    <row r="86" spans="1:27" x14ac:dyDescent="0.25">
      <c r="A86">
        <f t="shared" si="0"/>
        <v>20</v>
      </c>
      <c r="B86" t="s">
        <v>131</v>
      </c>
      <c r="F86">
        <v>50</v>
      </c>
    </row>
    <row r="87" spans="1:27" x14ac:dyDescent="0.25">
      <c r="A87">
        <f t="shared" si="0"/>
        <v>21</v>
      </c>
      <c r="B87" t="s">
        <v>953</v>
      </c>
      <c r="F87" s="87">
        <f>+F74*-PMT(0.08,F86,1)</f>
        <v>864.15147101988987</v>
      </c>
    </row>
    <row r="88" spans="1:27" x14ac:dyDescent="0.25">
      <c r="A88">
        <f t="shared" si="0"/>
        <v>22</v>
      </c>
      <c r="F88" s="87">
        <f>+F74/F68</f>
        <v>61.178146701388883</v>
      </c>
    </row>
    <row r="89" spans="1:27" x14ac:dyDescent="0.25">
      <c r="A89">
        <f t="shared" si="0"/>
        <v>23</v>
      </c>
      <c r="B89" s="26" t="s">
        <v>954</v>
      </c>
      <c r="C89" t="s">
        <v>955</v>
      </c>
    </row>
    <row r="90" spans="1:27" x14ac:dyDescent="0.25">
      <c r="D90" t="s">
        <v>259</v>
      </c>
    </row>
    <row r="91" spans="1:27" x14ac:dyDescent="0.25">
      <c r="J91" t="s">
        <v>956</v>
      </c>
    </row>
    <row r="92" spans="1:27" x14ac:dyDescent="0.25">
      <c r="B92" s="268"/>
      <c r="F92" t="s">
        <v>957</v>
      </c>
    </row>
    <row r="93" spans="1:27" x14ac:dyDescent="0.25">
      <c r="Q93" s="26" t="s">
        <v>958</v>
      </c>
      <c r="U93" t="s">
        <v>959</v>
      </c>
      <c r="X93">
        <v>1.05</v>
      </c>
    </row>
    <row r="94" spans="1:27" x14ac:dyDescent="0.25">
      <c r="AA94" t="s">
        <v>960</v>
      </c>
    </row>
    <row r="95" spans="1:27" x14ac:dyDescent="0.25">
      <c r="Q95" s="154" t="s">
        <v>961</v>
      </c>
      <c r="R95" s="154"/>
      <c r="S95" s="154" t="s">
        <v>962</v>
      </c>
      <c r="T95" s="154" t="s">
        <v>962</v>
      </c>
      <c r="U95" s="154" t="s">
        <v>963</v>
      </c>
      <c r="V95" s="154" t="s">
        <v>963</v>
      </c>
      <c r="W95" s="154" t="s">
        <v>964</v>
      </c>
      <c r="X95" s="154" t="s">
        <v>964</v>
      </c>
      <c r="Y95" s="154" t="s">
        <v>273</v>
      </c>
      <c r="Z95" s="154" t="s">
        <v>274</v>
      </c>
      <c r="AA95" s="138" t="s">
        <v>965</v>
      </c>
    </row>
    <row r="96" spans="1:27" x14ac:dyDescent="0.25">
      <c r="Q96" s="154"/>
      <c r="R96" s="154"/>
      <c r="S96" s="154"/>
      <c r="T96" s="154"/>
      <c r="U96" s="154"/>
      <c r="V96" s="154"/>
      <c r="W96" s="154"/>
      <c r="X96" s="154"/>
      <c r="Y96" s="154"/>
      <c r="Z96" s="154"/>
    </row>
    <row r="97" spans="17:28" ht="75" x14ac:dyDescent="0.25">
      <c r="Q97" s="24" t="s">
        <v>966</v>
      </c>
      <c r="R97" s="24"/>
      <c r="S97" s="408" t="s">
        <v>967</v>
      </c>
      <c r="T97" s="408" t="s">
        <v>968</v>
      </c>
      <c r="U97" s="408" t="s">
        <v>969</v>
      </c>
      <c r="V97" s="408" t="s">
        <v>970</v>
      </c>
      <c r="W97" s="408" t="s">
        <v>971</v>
      </c>
      <c r="X97" s="408" t="s">
        <v>972</v>
      </c>
      <c r="Y97" s="408" t="s">
        <v>973</v>
      </c>
      <c r="Z97" s="408" t="s">
        <v>974</v>
      </c>
    </row>
    <row r="98" spans="17:28" x14ac:dyDescent="0.25">
      <c r="Q98" s="154"/>
      <c r="R98" s="154"/>
      <c r="S98" s="154"/>
      <c r="T98" s="154"/>
      <c r="U98" s="154"/>
      <c r="V98" s="154"/>
      <c r="W98" s="154"/>
      <c r="X98" s="154"/>
      <c r="Y98" s="154"/>
      <c r="Z98" s="154"/>
    </row>
    <row r="99" spans="17:28" x14ac:dyDescent="0.25">
      <c r="Q99" s="154" t="s">
        <v>975</v>
      </c>
      <c r="R99" s="154" t="s">
        <v>775</v>
      </c>
      <c r="S99" s="409">
        <v>0.5</v>
      </c>
      <c r="T99" s="409">
        <v>0.9</v>
      </c>
      <c r="U99" s="409">
        <v>0.5</v>
      </c>
      <c r="V99" s="409">
        <v>0.9</v>
      </c>
      <c r="W99" s="409">
        <v>0.5</v>
      </c>
      <c r="X99" s="409">
        <v>0.9</v>
      </c>
      <c r="Y99" s="154" t="s">
        <v>976</v>
      </c>
      <c r="Z99" s="409">
        <v>0.9</v>
      </c>
    </row>
    <row r="100" spans="17:28" x14ac:dyDescent="0.25">
      <c r="Q100" s="154" t="s">
        <v>977</v>
      </c>
      <c r="R100" s="154" t="s">
        <v>978</v>
      </c>
      <c r="S100" s="410">
        <v>1600</v>
      </c>
      <c r="T100" s="410">
        <v>1600</v>
      </c>
      <c r="U100" s="410">
        <v>1600</v>
      </c>
      <c r="V100" s="410">
        <v>1600</v>
      </c>
      <c r="W100" s="410">
        <v>1600</v>
      </c>
      <c r="X100" s="410">
        <v>1600</v>
      </c>
      <c r="Y100" s="410">
        <v>1600</v>
      </c>
      <c r="Z100" s="410">
        <v>1600</v>
      </c>
    </row>
    <row r="101" spans="17:28" x14ac:dyDescent="0.25">
      <c r="Q101" s="154"/>
      <c r="R101" s="154"/>
      <c r="S101" s="154"/>
      <c r="T101" s="154"/>
      <c r="U101" s="154"/>
      <c r="V101" s="154"/>
      <c r="W101" s="154"/>
      <c r="X101" s="154"/>
      <c r="Y101" s="154"/>
      <c r="Z101" s="154"/>
    </row>
    <row r="102" spans="17:28" x14ac:dyDescent="0.25">
      <c r="Q102" s="154" t="s">
        <v>979</v>
      </c>
      <c r="R102" s="154" t="s">
        <v>980</v>
      </c>
      <c r="S102" s="411">
        <v>38.5</v>
      </c>
      <c r="T102" s="411">
        <v>38.5</v>
      </c>
      <c r="U102" s="411">
        <v>77</v>
      </c>
      <c r="V102" s="411">
        <v>77</v>
      </c>
      <c r="W102" s="411">
        <f>U102*2.5</f>
        <v>192.5</v>
      </c>
      <c r="X102" s="411">
        <f>V102*2</f>
        <v>154</v>
      </c>
      <c r="Y102" s="411">
        <v>42.3</v>
      </c>
      <c r="Z102" s="411">
        <v>36.5</v>
      </c>
    </row>
    <row r="103" spans="17:28" x14ac:dyDescent="0.25">
      <c r="Q103" s="154" t="s">
        <v>981</v>
      </c>
      <c r="R103" s="154" t="s">
        <v>980</v>
      </c>
      <c r="S103" s="411">
        <v>61.6</v>
      </c>
      <c r="T103" s="411">
        <v>61.6</v>
      </c>
      <c r="U103" s="411">
        <v>123.2</v>
      </c>
      <c r="V103" s="411">
        <v>123.2</v>
      </c>
      <c r="W103" s="411">
        <f>U103*2.5</f>
        <v>308</v>
      </c>
      <c r="X103" s="411">
        <f>V103*2</f>
        <v>246.4</v>
      </c>
      <c r="Y103" s="411">
        <v>67.599999999999994</v>
      </c>
      <c r="Z103" s="411">
        <v>58.4</v>
      </c>
    </row>
    <row r="104" spans="17:28" x14ac:dyDescent="0.25">
      <c r="Q104" s="154" t="s">
        <v>982</v>
      </c>
      <c r="R104" s="154" t="s">
        <v>980</v>
      </c>
      <c r="S104" s="411">
        <f>770+266.7</f>
        <v>1036.7</v>
      </c>
      <c r="T104" s="411">
        <v>770</v>
      </c>
      <c r="U104" s="411">
        <f>1540+266.7</f>
        <v>1806.7</v>
      </c>
      <c r="V104" s="411">
        <f>1540</f>
        <v>1540</v>
      </c>
      <c r="W104" s="411">
        <f>U104*2.5</f>
        <v>4516.75</v>
      </c>
      <c r="X104" s="411">
        <f>V104*2</f>
        <v>3080</v>
      </c>
      <c r="Y104" s="411">
        <v>845</v>
      </c>
      <c r="Z104" s="411">
        <v>730</v>
      </c>
    </row>
    <row r="105" spans="17:28" x14ac:dyDescent="0.25">
      <c r="Q105" s="154" t="s">
        <v>983</v>
      </c>
      <c r="R105" s="154" t="s">
        <v>980</v>
      </c>
      <c r="S105" s="412">
        <f t="shared" ref="S105:Z105" si="1">SUM(S102:S104)</f>
        <v>1136.8</v>
      </c>
      <c r="T105" s="412">
        <f t="shared" si="1"/>
        <v>870.1</v>
      </c>
      <c r="U105" s="412">
        <f t="shared" si="1"/>
        <v>2006.9</v>
      </c>
      <c r="V105" s="412">
        <f t="shared" si="1"/>
        <v>1740.2</v>
      </c>
      <c r="W105" s="412">
        <f t="shared" si="1"/>
        <v>5017.25</v>
      </c>
      <c r="X105" s="412">
        <f t="shared" si="1"/>
        <v>3480.4</v>
      </c>
      <c r="Y105" s="412">
        <f t="shared" si="1"/>
        <v>954.9</v>
      </c>
      <c r="Z105" s="412">
        <f t="shared" si="1"/>
        <v>824.9</v>
      </c>
      <c r="AA105" s="62">
        <f>400/AB117</f>
        <v>356.12535612535584</v>
      </c>
      <c r="AB105" s="413">
        <f>Z105/3</f>
        <v>274.96666666666664</v>
      </c>
    </row>
    <row r="106" spans="17:28" x14ac:dyDescent="0.25">
      <c r="Q106" s="154"/>
      <c r="R106" s="154"/>
      <c r="S106" s="154"/>
    </row>
    <row r="107" spans="17:28" x14ac:dyDescent="0.25">
      <c r="Q107" s="154" t="s">
        <v>984</v>
      </c>
      <c r="R107" s="154"/>
      <c r="S107" s="154"/>
      <c r="T107" s="154"/>
      <c r="U107" s="154"/>
      <c r="V107" s="154"/>
      <c r="W107" s="154"/>
      <c r="X107" s="154"/>
      <c r="Y107" s="154"/>
      <c r="Z107" s="154"/>
      <c r="AA107" s="154"/>
      <c r="AB107" s="154"/>
    </row>
    <row r="108" spans="17:28" x14ac:dyDescent="0.25">
      <c r="Q108" s="154">
        <v>2011</v>
      </c>
      <c r="R108" s="154" t="s">
        <v>775</v>
      </c>
      <c r="S108" s="414">
        <v>0.1</v>
      </c>
      <c r="T108" s="414">
        <v>0.1</v>
      </c>
      <c r="U108" s="414">
        <v>0.1</v>
      </c>
      <c r="V108" s="414">
        <v>0.1</v>
      </c>
      <c r="W108" s="414">
        <v>0.1</v>
      </c>
      <c r="X108" s="414">
        <v>0.1</v>
      </c>
      <c r="Y108" s="414">
        <v>0.1</v>
      </c>
      <c r="Z108" s="414">
        <v>0.5</v>
      </c>
    </row>
    <row r="109" spans="17:28" x14ac:dyDescent="0.25">
      <c r="Q109" s="154">
        <v>2012</v>
      </c>
      <c r="R109" s="154" t="s">
        <v>775</v>
      </c>
      <c r="S109" s="414">
        <v>0.3</v>
      </c>
      <c r="T109" s="414">
        <v>0.3</v>
      </c>
      <c r="U109" s="414">
        <v>0.3</v>
      </c>
      <c r="V109" s="414">
        <v>0.3</v>
      </c>
      <c r="W109" s="414">
        <v>0.3</v>
      </c>
      <c r="X109" s="414">
        <v>0.3</v>
      </c>
      <c r="Y109" s="414">
        <v>0.25</v>
      </c>
      <c r="Z109" s="414">
        <v>0.5</v>
      </c>
    </row>
    <row r="110" spans="17:28" x14ac:dyDescent="0.25">
      <c r="Q110" s="154">
        <v>2013</v>
      </c>
      <c r="R110" s="154" t="s">
        <v>775</v>
      </c>
      <c r="S110" s="414">
        <v>0.3</v>
      </c>
      <c r="T110" s="414">
        <v>0.3</v>
      </c>
      <c r="U110" s="414">
        <v>0.3</v>
      </c>
      <c r="V110" s="414">
        <v>0.3</v>
      </c>
      <c r="W110" s="414">
        <v>0.3</v>
      </c>
      <c r="X110" s="414">
        <v>0.3</v>
      </c>
      <c r="Y110" s="414">
        <v>0.6</v>
      </c>
      <c r="Z110" s="414"/>
    </row>
    <row r="111" spans="17:28" x14ac:dyDescent="0.25">
      <c r="Q111" s="154">
        <v>2014</v>
      </c>
      <c r="R111" s="154" t="s">
        <v>775</v>
      </c>
      <c r="S111" s="414">
        <v>0.3</v>
      </c>
      <c r="T111" s="414">
        <v>0.3</v>
      </c>
      <c r="U111" s="414">
        <v>0.3</v>
      </c>
      <c r="V111" s="414">
        <v>0.3</v>
      </c>
      <c r="W111" s="414">
        <v>0.3</v>
      </c>
      <c r="X111" s="414">
        <v>0.3</v>
      </c>
      <c r="Y111" s="414">
        <v>0.05</v>
      </c>
      <c r="Z111" s="414"/>
    </row>
    <row r="112" spans="17:28" x14ac:dyDescent="0.25">
      <c r="Q112" s="154"/>
      <c r="R112" s="154"/>
      <c r="S112" s="415">
        <f t="shared" ref="S112:Z112" si="2">SUM(S108:S111)</f>
        <v>1</v>
      </c>
      <c r="T112" s="415">
        <f t="shared" si="2"/>
        <v>1</v>
      </c>
      <c r="U112" s="415">
        <f t="shared" si="2"/>
        <v>1</v>
      </c>
      <c r="V112" s="415">
        <f t="shared" si="2"/>
        <v>1</v>
      </c>
      <c r="W112" s="415">
        <f t="shared" si="2"/>
        <v>1</v>
      </c>
      <c r="X112" s="415">
        <f t="shared" si="2"/>
        <v>1</v>
      </c>
      <c r="Y112" s="415">
        <f t="shared" si="2"/>
        <v>1</v>
      </c>
      <c r="Z112" s="415">
        <f t="shared" si="2"/>
        <v>1</v>
      </c>
    </row>
    <row r="113" spans="10:28" x14ac:dyDescent="0.25">
      <c r="Q113" s="154"/>
      <c r="R113" s="154"/>
      <c r="S113" s="154"/>
      <c r="T113" s="154"/>
      <c r="U113" s="154"/>
      <c r="V113" s="154"/>
      <c r="W113" s="154"/>
      <c r="X113" s="154"/>
      <c r="Y113" s="154"/>
      <c r="Z113" s="154"/>
    </row>
    <row r="114" spans="10:28" x14ac:dyDescent="0.25">
      <c r="Q114" s="154" t="s">
        <v>985</v>
      </c>
      <c r="R114" s="154" t="s">
        <v>986</v>
      </c>
      <c r="S114" s="358">
        <v>20</v>
      </c>
      <c r="T114" s="358">
        <v>20</v>
      </c>
      <c r="U114" s="358">
        <v>20</v>
      </c>
      <c r="V114" s="358">
        <v>20</v>
      </c>
      <c r="W114" s="358">
        <v>20</v>
      </c>
      <c r="X114" s="358">
        <v>20</v>
      </c>
      <c r="Y114" s="358">
        <v>20</v>
      </c>
      <c r="Z114" s="358">
        <v>10</v>
      </c>
    </row>
    <row r="115" spans="10:28" x14ac:dyDescent="0.25">
      <c r="AA115" t="s">
        <v>987</v>
      </c>
      <c r="AB115" s="268">
        <v>0.08</v>
      </c>
    </row>
    <row r="116" spans="10:28" x14ac:dyDescent="0.25">
      <c r="AA116" t="s">
        <v>988</v>
      </c>
      <c r="AB116">
        <v>2</v>
      </c>
    </row>
    <row r="117" spans="10:28" x14ac:dyDescent="0.25">
      <c r="AA117" t="s">
        <v>989</v>
      </c>
      <c r="AB117">
        <f>-FV($AB$115,AB116,1/AB116)*(1+$AB$115)</f>
        <v>1.1232000000000009</v>
      </c>
    </row>
    <row r="118" spans="10:28" x14ac:dyDescent="0.25">
      <c r="W118" t="s">
        <v>990</v>
      </c>
    </row>
    <row r="119" spans="10:28" x14ac:dyDescent="0.25">
      <c r="W119" t="s">
        <v>991</v>
      </c>
      <c r="X119" s="320" t="s">
        <v>992</v>
      </c>
      <c r="Y119">
        <f>165*2</f>
        <v>330</v>
      </c>
      <c r="Z119" s="416">
        <f>Y119*450</f>
        <v>148500</v>
      </c>
    </row>
    <row r="120" spans="10:28" x14ac:dyDescent="0.25">
      <c r="X120" t="s">
        <v>241</v>
      </c>
      <c r="Y120">
        <f>Y119*X69*1000/1000000</f>
        <v>8.0784000000000002</v>
      </c>
      <c r="AA120" s="417">
        <f>3600000/Z119</f>
        <v>24.242424242424242</v>
      </c>
    </row>
    <row r="121" spans="10:28" x14ac:dyDescent="0.25">
      <c r="W121" t="s">
        <v>993</v>
      </c>
      <c r="X121">
        <v>24</v>
      </c>
      <c r="Y121">
        <f>Y120*X121</f>
        <v>193.88159999999999</v>
      </c>
    </row>
    <row r="128" spans="10:28" x14ac:dyDescent="0.25">
      <c r="J128" t="s">
        <v>994</v>
      </c>
    </row>
    <row r="135" spans="2:6" x14ac:dyDescent="0.25">
      <c r="B135" t="s">
        <v>995</v>
      </c>
    </row>
    <row r="138" spans="2:6" x14ac:dyDescent="0.25">
      <c r="B138" t="s">
        <v>996</v>
      </c>
      <c r="D138" t="s">
        <v>997</v>
      </c>
      <c r="F138" t="s">
        <v>998</v>
      </c>
    </row>
    <row r="139" spans="2:6" x14ac:dyDescent="0.25">
      <c r="B139" t="s">
        <v>999</v>
      </c>
      <c r="F139" t="s">
        <v>1000</v>
      </c>
    </row>
    <row r="140" spans="2:6" x14ac:dyDescent="0.25">
      <c r="D140" t="s">
        <v>1001</v>
      </c>
    </row>
    <row r="141" spans="2:6" x14ac:dyDescent="0.25">
      <c r="B141" t="s">
        <v>1002</v>
      </c>
      <c r="F141" t="s">
        <v>1003</v>
      </c>
    </row>
    <row r="142" spans="2:6" x14ac:dyDescent="0.25">
      <c r="D142" t="s">
        <v>950</v>
      </c>
      <c r="F142" t="s">
        <v>1004</v>
      </c>
    </row>
    <row r="144" spans="2:6" x14ac:dyDescent="0.25">
      <c r="B144" t="s">
        <v>1005</v>
      </c>
      <c r="D144" t="s">
        <v>1006</v>
      </c>
      <c r="F144" t="s">
        <v>1007</v>
      </c>
    </row>
    <row r="145" spans="2:6" x14ac:dyDescent="0.25">
      <c r="F145" t="s">
        <v>1008</v>
      </c>
    </row>
    <row r="146" spans="2:6" x14ac:dyDescent="0.25">
      <c r="B146" t="s">
        <v>1009</v>
      </c>
      <c r="D146" t="s">
        <v>1006</v>
      </c>
      <c r="F146" t="s">
        <v>1010</v>
      </c>
    </row>
    <row r="147" spans="2:6" x14ac:dyDescent="0.25">
      <c r="F147" t="s">
        <v>1011</v>
      </c>
    </row>
  </sheetData>
  <mergeCells count="10">
    <mergeCell ref="M24:N24"/>
    <mergeCell ref="O24:P24"/>
    <mergeCell ref="R24:S24"/>
    <mergeCell ref="T24:U24"/>
    <mergeCell ref="M22:P22"/>
    <mergeCell ref="R22:U22"/>
    <mergeCell ref="M23:N23"/>
    <mergeCell ref="O23:P23"/>
    <mergeCell ref="R23:S23"/>
    <mergeCell ref="T23:U23"/>
  </mergeCells>
  <pageMargins left="0.75" right="0.75" top="1" bottom="1" header="0.5" footer="0.5"/>
  <pageSetup paperSize="9" orientation="portrait" horizontalDpi="4294967292" verticalDpi="4294967292"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81" t="s">
        <v>1289</v>
      </c>
      <c r="C1" s="181"/>
      <c r="D1" s="181"/>
      <c r="E1" s="181"/>
    </row>
    <row r="2" spans="2:39" ht="15.75" thickTop="1" x14ac:dyDescent="0.25"/>
    <row r="4" spans="2:39" x14ac:dyDescent="0.25">
      <c r="B4" t="s">
        <v>1012</v>
      </c>
      <c r="E4">
        <v>2013</v>
      </c>
      <c r="F4">
        <v>2013</v>
      </c>
      <c r="G4" t="s">
        <v>1013</v>
      </c>
    </row>
    <row r="5" spans="2:39" ht="30" x14ac:dyDescent="0.25">
      <c r="B5" t="s">
        <v>1014</v>
      </c>
      <c r="C5" t="s">
        <v>1015</v>
      </c>
      <c r="D5" t="s">
        <v>1016</v>
      </c>
      <c r="E5" s="190" t="s">
        <v>1017</v>
      </c>
      <c r="F5" s="190" t="s">
        <v>1018</v>
      </c>
      <c r="G5" s="190" t="s">
        <v>1018</v>
      </c>
      <c r="R5" s="418" t="s">
        <v>1019</v>
      </c>
      <c r="S5" s="419">
        <v>1991</v>
      </c>
      <c r="T5" s="419">
        <v>1992</v>
      </c>
      <c r="U5" s="419">
        <v>1993</v>
      </c>
      <c r="V5" s="419">
        <v>1994</v>
      </c>
      <c r="W5" s="419">
        <v>1995</v>
      </c>
      <c r="X5" s="419">
        <v>1996</v>
      </c>
      <c r="Y5" s="419">
        <v>1997</v>
      </c>
      <c r="Z5" s="419">
        <v>1998</v>
      </c>
      <c r="AA5" s="419">
        <v>1999</v>
      </c>
      <c r="AB5" s="419">
        <v>2000</v>
      </c>
      <c r="AC5" s="419">
        <v>2001</v>
      </c>
      <c r="AD5" s="419">
        <v>2002</v>
      </c>
      <c r="AE5" s="419">
        <v>2003</v>
      </c>
      <c r="AF5" s="419">
        <v>2004</v>
      </c>
      <c r="AG5" s="419">
        <v>2005</v>
      </c>
      <c r="AH5" s="419">
        <v>2006</v>
      </c>
      <c r="AI5" s="419">
        <v>2007</v>
      </c>
      <c r="AJ5" s="419">
        <v>2008</v>
      </c>
      <c r="AK5" s="419">
        <v>2009</v>
      </c>
      <c r="AL5" s="419">
        <v>2010</v>
      </c>
      <c r="AM5" s="420"/>
    </row>
    <row r="6" spans="2:39" ht="24" x14ac:dyDescent="0.25">
      <c r="B6" t="s">
        <v>1020</v>
      </c>
      <c r="C6" t="s">
        <v>1021</v>
      </c>
      <c r="D6">
        <v>590</v>
      </c>
      <c r="E6">
        <v>826</v>
      </c>
      <c r="F6">
        <f>E6*[11]Deflator!$F$33</f>
        <v>9841.7899999999991</v>
      </c>
      <c r="G6" s="421">
        <f>D6*(AVERAGE(D$25:$D$31)*FuelDistribution!$AB$6*FuelDistribution!$AE$40/FuelDistribution!$S$40)/1000</f>
        <v>266.11872910346432</v>
      </c>
      <c r="R6" s="422" t="s">
        <v>232</v>
      </c>
      <c r="S6" s="423">
        <v>15.727008694067001</v>
      </c>
      <c r="T6" s="423">
        <v>14.5711517216375</v>
      </c>
      <c r="U6" s="423">
        <v>13.0875688743451</v>
      </c>
      <c r="V6" s="423">
        <v>9.5940101543789797</v>
      </c>
      <c r="W6" s="423">
        <v>10.250325952765699</v>
      </c>
      <c r="X6" s="423">
        <v>8.0896615070995495</v>
      </c>
      <c r="Y6" s="423">
        <v>8.1064754482185197</v>
      </c>
      <c r="Z6" s="423">
        <v>7.7104128133594703</v>
      </c>
      <c r="AA6" s="423">
        <v>7.0732294482553897</v>
      </c>
      <c r="AB6" s="423">
        <v>8.8095447928848092</v>
      </c>
      <c r="AC6" s="423">
        <v>7.6669259373051499</v>
      </c>
      <c r="AD6" s="423">
        <v>10.749452406287</v>
      </c>
      <c r="AE6" s="423">
        <v>5.5502297825584197</v>
      </c>
      <c r="AF6" s="423">
        <v>6.3718942256896698</v>
      </c>
      <c r="AG6" s="423">
        <v>5.4446739251013696</v>
      </c>
      <c r="AH6" s="423">
        <v>6.5276131156196397</v>
      </c>
      <c r="AI6" s="423">
        <v>8.1914947793359403</v>
      </c>
      <c r="AJ6" s="423">
        <v>9.2056545564224894</v>
      </c>
      <c r="AK6" s="423">
        <v>7.3317962461641599</v>
      </c>
      <c r="AL6" s="424">
        <f>(145.2/134.3-1)*100</f>
        <v>8.116157855547268</v>
      </c>
      <c r="AM6" s="28"/>
    </row>
    <row r="7" spans="2:39" ht="36" customHeight="1" x14ac:dyDescent="0.25">
      <c r="B7" t="s">
        <v>1020</v>
      </c>
      <c r="C7" t="s">
        <v>1022</v>
      </c>
      <c r="D7">
        <v>240</v>
      </c>
      <c r="E7">
        <v>336</v>
      </c>
      <c r="F7">
        <f>E7*AVERAGE([12]Deflator!$LD$77:$LD$332)</f>
        <v>3242.0356415999986</v>
      </c>
      <c r="G7" s="421">
        <f>D7*(AVERAGE(D$25:$D$31)*FuelDistribution!$AB$6*FuelDistribution!$AE$40/FuelDistribution!$S$40)/1000</f>
        <v>108.25168641496855</v>
      </c>
      <c r="R7" s="425">
        <f>S16</f>
        <v>2006</v>
      </c>
      <c r="S7" s="426">
        <f t="shared" ref="S7:AL7" si="0">IF(S5=$R$7,1,IF(S5&lt;$R7,T7/(1+T6/100),R7*(S6/100+1)))</f>
        <v>0.28967090786437666</v>
      </c>
      <c r="T7" s="426">
        <f t="shared" si="0"/>
        <v>0.33187929534273974</v>
      </c>
      <c r="U7" s="426">
        <f t="shared" si="0"/>
        <v>0.37531422670041198</v>
      </c>
      <c r="V7" s="426">
        <f t="shared" si="0"/>
        <v>0.4113219117208784</v>
      </c>
      <c r="W7" s="426">
        <f t="shared" si="0"/>
        <v>0.45348374838741562</v>
      </c>
      <c r="X7" s="426">
        <f t="shared" si="0"/>
        <v>0.49016904862166455</v>
      </c>
      <c r="Y7" s="426">
        <f t="shared" si="0"/>
        <v>0.52990448220294606</v>
      </c>
      <c r="Z7" s="426">
        <f t="shared" si="0"/>
        <v>0.57076230529728811</v>
      </c>
      <c r="AA7" s="426">
        <f t="shared" si="0"/>
        <v>0.61113363275511723</v>
      </c>
      <c r="AB7" s="426">
        <f t="shared" si="0"/>
        <v>0.66497172387706338</v>
      </c>
      <c r="AC7" s="426">
        <f t="shared" si="0"/>
        <v>0.71595461345073919</v>
      </c>
      <c r="AD7" s="426">
        <f t="shared" si="0"/>
        <v>0.79291581387424248</v>
      </c>
      <c r="AE7" s="426">
        <f t="shared" si="0"/>
        <v>0.83692446352650607</v>
      </c>
      <c r="AF7" s="426">
        <f t="shared" si="0"/>
        <v>0.89025240509133574</v>
      </c>
      <c r="AG7" s="426">
        <f t="shared" si="0"/>
        <v>0.93872374565893157</v>
      </c>
      <c r="AH7" s="426">
        <f t="shared" si="0"/>
        <v>1</v>
      </c>
      <c r="AI7" s="426">
        <f t="shared" si="0"/>
        <v>1.0819149477933594</v>
      </c>
      <c r="AJ7" s="426">
        <f t="shared" si="0"/>
        <v>1.1815123004815147</v>
      </c>
      <c r="AK7" s="426">
        <f t="shared" si="0"/>
        <v>1.2681383749761861</v>
      </c>
      <c r="AL7" s="426">
        <f t="shared" si="0"/>
        <v>1.3710624873160253</v>
      </c>
      <c r="AM7" s="28"/>
    </row>
    <row r="8" spans="2:39" x14ac:dyDescent="0.25">
      <c r="B8" t="s">
        <v>1020</v>
      </c>
      <c r="C8" t="s">
        <v>1023</v>
      </c>
      <c r="D8">
        <v>210</v>
      </c>
      <c r="E8">
        <v>294</v>
      </c>
      <c r="F8">
        <f>E8*AVERAGE([12]Deflator!$LD$77:$LD$332)</f>
        <v>2836.7811863999987</v>
      </c>
      <c r="G8" s="421">
        <f>D8*(AVERAGE(D$25:$D$31)*FuelDistribution!$AB$6*FuelDistribution!$AE$40/FuelDistribution!$S$40)/1000</f>
        <v>94.720225613097469</v>
      </c>
      <c r="R8" s="425" t="s">
        <v>702</v>
      </c>
      <c r="S8" s="426">
        <f t="shared" ref="S8:AL8" si="1">1/S7</f>
        <v>3.452193412768251</v>
      </c>
      <c r="T8" s="426">
        <f t="shared" si="1"/>
        <v>3.0131436761286237</v>
      </c>
      <c r="U8" s="426">
        <f t="shared" si="1"/>
        <v>2.6644340364913277</v>
      </c>
      <c r="V8" s="426">
        <f t="shared" si="1"/>
        <v>2.4311858218693598</v>
      </c>
      <c r="W8" s="426">
        <f t="shared" si="1"/>
        <v>2.2051506885439478</v>
      </c>
      <c r="X8" s="426">
        <f t="shared" si="1"/>
        <v>2.0401124934590613</v>
      </c>
      <c r="Y8" s="426">
        <f t="shared" si="1"/>
        <v>1.887132556121716</v>
      </c>
      <c r="Z8" s="426">
        <f t="shared" si="1"/>
        <v>1.7520428218873678</v>
      </c>
      <c r="AA8" s="426">
        <f t="shared" si="1"/>
        <v>1.6363033326963081</v>
      </c>
      <c r="AB8" s="426">
        <f t="shared" si="1"/>
        <v>1.5038233417950189</v>
      </c>
      <c r="AC8" s="426">
        <f t="shared" si="1"/>
        <v>1.3967365824772415</v>
      </c>
      <c r="AD8" s="426">
        <f t="shared" si="1"/>
        <v>1.2611679354885479</v>
      </c>
      <c r="AE8" s="426">
        <f t="shared" si="1"/>
        <v>1.1948509615627088</v>
      </c>
      <c r="AF8" s="426">
        <f t="shared" si="1"/>
        <v>1.1232769428995866</v>
      </c>
      <c r="AG8" s="426">
        <f t="shared" si="1"/>
        <v>1.0652761311561965</v>
      </c>
      <c r="AH8" s="426">
        <f t="shared" si="1"/>
        <v>1</v>
      </c>
      <c r="AI8" s="426">
        <f t="shared" si="1"/>
        <v>0.92428707269417931</v>
      </c>
      <c r="AJ8" s="426">
        <f t="shared" si="1"/>
        <v>0.84637290664892695</v>
      </c>
      <c r="AK8" s="426">
        <f t="shared" si="1"/>
        <v>0.78855747900443329</v>
      </c>
      <c r="AL8" s="426">
        <f t="shared" si="1"/>
        <v>0.72936135971277827</v>
      </c>
      <c r="AM8" s="28"/>
    </row>
    <row r="9" spans="2:39" x14ac:dyDescent="0.25">
      <c r="B9" t="s">
        <v>1020</v>
      </c>
      <c r="C9" t="s">
        <v>1024</v>
      </c>
      <c r="D9">
        <v>690</v>
      </c>
      <c r="E9">
        <v>966</v>
      </c>
      <c r="F9">
        <f>E9*AVERAGE([12]Deflator!$LD$77:$LD$332)</f>
        <v>9320.8524695999949</v>
      </c>
      <c r="G9" s="421">
        <f>D9*(AVERAGE(D$25:$D$31)*FuelDistribution!$AB$6*FuelDistribution!$AE$40/FuelDistribution!$S$40)/1000</f>
        <v>311.22359844303452</v>
      </c>
      <c r="R9" s="28" t="s">
        <v>1025</v>
      </c>
      <c r="S9" s="28"/>
      <c r="T9" s="28"/>
      <c r="U9" s="28"/>
      <c r="V9" s="28"/>
      <c r="W9" s="28"/>
      <c r="X9" s="28"/>
      <c r="Y9" s="28"/>
      <c r="Z9" s="28"/>
      <c r="AA9" s="28"/>
      <c r="AB9" s="28"/>
      <c r="AC9" s="28"/>
      <c r="AD9" s="28"/>
      <c r="AE9" s="28"/>
      <c r="AF9" s="28"/>
      <c r="AG9" s="28"/>
      <c r="AH9" s="28"/>
      <c r="AI9" s="28"/>
      <c r="AJ9" s="28"/>
      <c r="AK9" s="28"/>
      <c r="AL9" s="28"/>
      <c r="AM9" s="28"/>
    </row>
    <row r="10" spans="2:39" x14ac:dyDescent="0.25">
      <c r="B10" t="s">
        <v>1020</v>
      </c>
      <c r="C10" t="s">
        <v>1026</v>
      </c>
      <c r="D10">
        <v>750</v>
      </c>
      <c r="E10">
        <v>1050</v>
      </c>
      <c r="F10">
        <f>E10*AVERAGE([12]Deflator!$LD$77:$LD$332)</f>
        <v>10131.361379999995</v>
      </c>
      <c r="G10" s="421">
        <f>D10*(AVERAGE(D$25:$D$31)*FuelDistribution!$AB$6*FuelDistribution!$AE$40/FuelDistribution!$S$40)/1000</f>
        <v>338.28652004677667</v>
      </c>
      <c r="R10" s="427" t="s">
        <v>1027</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565</v>
      </c>
      <c r="D11">
        <f>SUM(D6:D10)</f>
        <v>2480</v>
      </c>
      <c r="F11" s="428">
        <f>SUM(F6:F10)</f>
        <v>35372.820677599986</v>
      </c>
      <c r="G11" s="428">
        <f>SUM(G6:G10)</f>
        <v>1118.6007596213417</v>
      </c>
      <c r="R11" s="28" t="s">
        <v>1028</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1029</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1030</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420"/>
      <c r="S14" s="429">
        <v>2000</v>
      </c>
      <c r="T14" s="420" t="s">
        <v>1031</v>
      </c>
      <c r="U14" s="420"/>
      <c r="V14" s="420"/>
      <c r="W14" s="420"/>
      <c r="X14" s="420"/>
      <c r="Y14" s="420"/>
      <c r="Z14" s="420"/>
      <c r="AA14" s="420"/>
      <c r="AB14" s="420"/>
      <c r="AC14" s="420"/>
      <c r="AD14" s="420"/>
      <c r="AE14" s="420"/>
      <c r="AF14" s="420"/>
      <c r="AG14" s="420"/>
      <c r="AH14" s="420"/>
      <c r="AI14" s="420"/>
      <c r="AJ14" s="420"/>
      <c r="AK14" s="420"/>
      <c r="AL14" s="420"/>
      <c r="AM14" s="420"/>
    </row>
    <row r="15" spans="2:39" x14ac:dyDescent="0.25">
      <c r="B15" t="s">
        <v>1032</v>
      </c>
      <c r="R15" s="28" t="s">
        <v>1033</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1034</v>
      </c>
      <c r="R16" s="420"/>
      <c r="S16" s="429">
        <v>2006</v>
      </c>
      <c r="T16" s="420" t="s">
        <v>1031</v>
      </c>
      <c r="U16" s="420"/>
      <c r="V16" s="420"/>
      <c r="W16" s="420"/>
      <c r="X16" s="420"/>
      <c r="Y16" s="420"/>
      <c r="Z16" s="420"/>
      <c r="AA16" s="420"/>
      <c r="AB16" s="420"/>
      <c r="AC16" s="420"/>
      <c r="AD16" s="420"/>
      <c r="AE16" s="420"/>
      <c r="AF16" s="420"/>
      <c r="AG16" s="420"/>
      <c r="AH16" s="420"/>
      <c r="AI16" s="420"/>
      <c r="AJ16" s="420"/>
      <c r="AK16" s="420"/>
      <c r="AL16" s="420"/>
      <c r="AM16" s="420"/>
    </row>
    <row r="17" spans="1:40" x14ac:dyDescent="0.25">
      <c r="B17" t="s">
        <v>1035</v>
      </c>
      <c r="R17" s="28" t="s">
        <v>1036</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1037</v>
      </c>
      <c r="R18" s="28" t="s">
        <v>1038</v>
      </c>
      <c r="S18" s="430">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1039</v>
      </c>
      <c r="S19" s="431">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1040</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1041</v>
      </c>
      <c r="E22" s="8"/>
      <c r="F22" s="8"/>
      <c r="G22" s="8"/>
      <c r="H22" s="8"/>
      <c r="R22" s="418" t="s">
        <v>1019</v>
      </c>
      <c r="S22" s="419">
        <v>1991</v>
      </c>
      <c r="T22" s="419">
        <v>1992</v>
      </c>
      <c r="U22" s="419">
        <v>1993</v>
      </c>
      <c r="V22" s="419">
        <v>1994</v>
      </c>
      <c r="W22" s="419">
        <v>1995</v>
      </c>
      <c r="X22" s="419">
        <v>1996</v>
      </c>
      <c r="Y22" s="419">
        <v>1997</v>
      </c>
      <c r="Z22" s="419">
        <v>1998</v>
      </c>
      <c r="AA22" s="419">
        <v>1999</v>
      </c>
      <c r="AB22" s="419">
        <v>2000</v>
      </c>
      <c r="AC22" s="419">
        <v>2001</v>
      </c>
      <c r="AD22" s="419">
        <v>2002</v>
      </c>
      <c r="AE22" s="419">
        <v>2003</v>
      </c>
      <c r="AF22" s="419">
        <v>2004</v>
      </c>
      <c r="AG22" s="419">
        <v>2005</v>
      </c>
      <c r="AH22" s="419">
        <v>2006</v>
      </c>
      <c r="AI22" s="419">
        <v>2007</v>
      </c>
      <c r="AJ22" s="419">
        <v>2008</v>
      </c>
      <c r="AK22" s="419">
        <v>2009</v>
      </c>
      <c r="AL22" s="419">
        <v>2010</v>
      </c>
      <c r="AM22" s="420"/>
    </row>
    <row r="23" spans="1:40" ht="24" x14ac:dyDescent="0.25">
      <c r="C23" s="272" t="s">
        <v>1042</v>
      </c>
      <c r="D23" s="1" t="s">
        <v>1043</v>
      </c>
      <c r="E23" s="1" t="s">
        <v>1044</v>
      </c>
      <c r="F23" s="1" t="s">
        <v>1045</v>
      </c>
      <c r="G23" s="1" t="s">
        <v>1046</v>
      </c>
      <c r="H23" s="8" t="s">
        <v>1047</v>
      </c>
      <c r="I23" s="154" t="s">
        <v>1048</v>
      </c>
      <c r="J23" s="154">
        <v>38.520000000000003</v>
      </c>
      <c r="R23" s="422" t="s">
        <v>848</v>
      </c>
      <c r="S23" s="432">
        <v>3.3994252378249699</v>
      </c>
      <c r="T23" s="432">
        <v>2.1054788150436798</v>
      </c>
      <c r="U23" s="432">
        <v>2.1924332890308</v>
      </c>
      <c r="V23" s="432">
        <v>2.0360309460728101</v>
      </c>
      <c r="W23" s="432">
        <v>2.3263787079223999</v>
      </c>
      <c r="X23" s="432">
        <v>1.7717629484628601</v>
      </c>
      <c r="Y23" s="432">
        <v>1.9273567571815799</v>
      </c>
      <c r="Z23" s="432">
        <v>1.4055393887866201</v>
      </c>
      <c r="AA23" s="432">
        <v>1.46557115641922</v>
      </c>
      <c r="AB23" s="432">
        <v>2.1635805504784602</v>
      </c>
      <c r="AC23" s="432">
        <v>2.2671398465768702</v>
      </c>
      <c r="AD23" s="432">
        <v>1.6245670393856999</v>
      </c>
      <c r="AE23" s="432">
        <v>2.1553754412521502</v>
      </c>
      <c r="AF23" s="432">
        <v>2.8345692622040302</v>
      </c>
      <c r="AG23" s="432">
        <v>3.33465966170388</v>
      </c>
      <c r="AH23" s="432">
        <v>3.2525297973129899</v>
      </c>
      <c r="AI23" s="432">
        <v>2.9410667446596199</v>
      </c>
      <c r="AJ23" s="432">
        <v>2.1781516163835</v>
      </c>
      <c r="AK23" s="432">
        <v>0.92363494772816102</v>
      </c>
      <c r="AL23" s="432">
        <v>0.95304869092815603</v>
      </c>
      <c r="AM23" s="28"/>
    </row>
    <row r="24" spans="1:40" x14ac:dyDescent="0.25">
      <c r="C24" s="1" t="s">
        <v>1049</v>
      </c>
      <c r="D24" s="1" t="s">
        <v>1050</v>
      </c>
      <c r="E24" s="1" t="s">
        <v>1051</v>
      </c>
      <c r="F24" s="1" t="s">
        <v>1052</v>
      </c>
      <c r="G24" s="1">
        <v>1</v>
      </c>
      <c r="H24" s="154" t="s">
        <v>1053</v>
      </c>
      <c r="I24" s="154"/>
      <c r="R24" s="425">
        <v>2005</v>
      </c>
      <c r="S24" s="433">
        <f t="shared" ref="S24:AL24" si="2">IF(S22=$R$24,1,IF(S22&lt;$R24,T24/(1+T23/100),R24*(S23/100+1)))</f>
        <v>0.74613139409322993</v>
      </c>
      <c r="T24" s="433">
        <f t="shared" si="2"/>
        <v>0.76184103252825297</v>
      </c>
      <c r="U24" s="433">
        <f t="shared" si="2"/>
        <v>0.77854388893489834</v>
      </c>
      <c r="V24" s="433">
        <f t="shared" si="2"/>
        <v>0.79439528344237154</v>
      </c>
      <c r="W24" s="433">
        <f t="shared" si="2"/>
        <v>0.81287592617311466</v>
      </c>
      <c r="X24" s="433">
        <f t="shared" si="2"/>
        <v>0.82727816065002424</v>
      </c>
      <c r="Y24" s="433">
        <f t="shared" si="2"/>
        <v>0.84322276218000003</v>
      </c>
      <c r="Z24" s="433">
        <f t="shared" si="2"/>
        <v>0.85507459023765453</v>
      </c>
      <c r="AA24" s="433">
        <f t="shared" si="2"/>
        <v>0.86760631679804734</v>
      </c>
      <c r="AB24" s="433">
        <f t="shared" si="2"/>
        <v>0.88637767832301229</v>
      </c>
      <c r="AC24" s="433">
        <f t="shared" si="2"/>
        <v>0.90647309985943625</v>
      </c>
      <c r="AD24" s="433">
        <f t="shared" si="2"/>
        <v>0.92119936306065042</v>
      </c>
      <c r="AE24" s="433">
        <f t="shared" si="2"/>
        <v>0.94105466789703096</v>
      </c>
      <c r="AF24" s="433">
        <f t="shared" si="2"/>
        <v>0.9677295142537764</v>
      </c>
      <c r="AG24" s="433">
        <f t="shared" si="2"/>
        <v>1</v>
      </c>
      <c r="AH24" s="433">
        <f t="shared" si="2"/>
        <v>1.0325252979731299</v>
      </c>
      <c r="AI24" s="433">
        <f t="shared" si="2"/>
        <v>1.0628925561420153</v>
      </c>
      <c r="AJ24" s="433">
        <f t="shared" si="2"/>
        <v>1.0860439675340425</v>
      </c>
      <c r="AK24" s="433">
        <f t="shared" si="2"/>
        <v>1.0960750491658804</v>
      </c>
      <c r="AL24" s="433">
        <f t="shared" si="2"/>
        <v>1.106521178073546</v>
      </c>
      <c r="AM24" s="28"/>
    </row>
    <row r="25" spans="1:40" x14ac:dyDescent="0.25">
      <c r="C25" s="1">
        <f t="shared" ref="C25:C31" si="3">D25*_xlfn.SINGLE(inchtocentimetre)</f>
        <v>50.8</v>
      </c>
      <c r="D25" s="434">
        <v>20</v>
      </c>
      <c r="E25" s="434">
        <v>2</v>
      </c>
      <c r="F25" s="435">
        <f t="shared" ref="F25:F31" si="4">E25*$J$23</f>
        <v>77.040000000000006</v>
      </c>
      <c r="G25" s="435">
        <v>1</v>
      </c>
      <c r="H25" s="436">
        <f t="shared" ref="H25:H31" si="5">$F$11/(F25*G25)</f>
        <v>459.14876268951173</v>
      </c>
      <c r="R25" s="425" t="s">
        <v>702</v>
      </c>
      <c r="S25" s="433">
        <f t="shared" ref="S25:AL25" si="6">1/S24</f>
        <v>1.3402465141080082</v>
      </c>
      <c r="T25" s="433">
        <f t="shared" si="6"/>
        <v>1.3126097929923652</v>
      </c>
      <c r="U25" s="433">
        <f t="shared" si="6"/>
        <v>1.2844491032715817</v>
      </c>
      <c r="V25" s="433">
        <f t="shared" si="6"/>
        <v>1.2588191557063089</v>
      </c>
      <c r="W25" s="433">
        <f t="shared" si="6"/>
        <v>1.2302000438219822</v>
      </c>
      <c r="X25" s="433">
        <f t="shared" si="6"/>
        <v>1.2087832697218328</v>
      </c>
      <c r="Y25" s="433">
        <f t="shared" si="6"/>
        <v>1.1859262401962214</v>
      </c>
      <c r="Z25" s="433">
        <f t="shared" si="6"/>
        <v>1.1694886170363987</v>
      </c>
      <c r="AA25" s="433">
        <f t="shared" si="6"/>
        <v>1.1525964952520855</v>
      </c>
      <c r="AB25" s="433">
        <f t="shared" si="6"/>
        <v>1.1281872552250596</v>
      </c>
      <c r="AC25" s="433">
        <f t="shared" si="6"/>
        <v>1.1031766967547814</v>
      </c>
      <c r="AD25" s="433">
        <f t="shared" si="6"/>
        <v>1.0855413497872355</v>
      </c>
      <c r="AE25" s="433">
        <f t="shared" si="6"/>
        <v>1.0626375216167769</v>
      </c>
      <c r="AF25" s="433">
        <f t="shared" si="6"/>
        <v>1.0333465966170388</v>
      </c>
      <c r="AG25" s="433">
        <f t="shared" si="6"/>
        <v>1</v>
      </c>
      <c r="AH25" s="433">
        <f t="shared" si="6"/>
        <v>0.96849927257280988</v>
      </c>
      <c r="AI25" s="433">
        <f t="shared" si="6"/>
        <v>0.94082886762299234</v>
      </c>
      <c r="AJ25" s="433">
        <f t="shared" si="6"/>
        <v>0.92077303488051887</v>
      </c>
      <c r="AK25" s="433">
        <f t="shared" si="6"/>
        <v>0.91234628574111409</v>
      </c>
      <c r="AL25" s="433">
        <f t="shared" si="6"/>
        <v>0.90373326766415851</v>
      </c>
      <c r="AM25" s="28"/>
    </row>
    <row r="26" spans="1:40" x14ac:dyDescent="0.25">
      <c r="C26" s="1">
        <f t="shared" si="3"/>
        <v>60.96</v>
      </c>
      <c r="D26" s="434">
        <v>24</v>
      </c>
      <c r="E26" s="434">
        <v>3.2</v>
      </c>
      <c r="F26" s="435">
        <f t="shared" si="4"/>
        <v>123.26400000000001</v>
      </c>
      <c r="G26" s="435">
        <v>1</v>
      </c>
      <c r="H26" s="436">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434">
        <v>28</v>
      </c>
      <c r="E27" s="434">
        <v>4.7</v>
      </c>
      <c r="F27" s="435">
        <f t="shared" si="4"/>
        <v>181.04400000000001</v>
      </c>
      <c r="G27" s="435">
        <v>1</v>
      </c>
      <c r="H27" s="436">
        <f t="shared" si="5"/>
        <v>195.38245220830285</v>
      </c>
      <c r="R27" s="437" t="s">
        <v>1054</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434">
        <v>32</v>
      </c>
      <c r="E28" s="434">
        <v>6.6</v>
      </c>
      <c r="F28" s="435">
        <f t="shared" si="4"/>
        <v>254.232</v>
      </c>
      <c r="G28" s="435">
        <v>1</v>
      </c>
      <c r="H28" s="436">
        <f t="shared" si="5"/>
        <v>139.13598869379143</v>
      </c>
      <c r="R28" s="418" t="s">
        <v>1019</v>
      </c>
      <c r="S28" s="419">
        <v>1991</v>
      </c>
      <c r="T28" s="419">
        <v>1992</v>
      </c>
      <c r="U28" s="419">
        <v>1993</v>
      </c>
      <c r="V28" s="419">
        <v>1994</v>
      </c>
      <c r="W28" s="419">
        <v>1995</v>
      </c>
      <c r="X28" s="419">
        <v>1996</v>
      </c>
      <c r="Y28" s="419">
        <v>1997</v>
      </c>
      <c r="Z28" s="419">
        <v>1998</v>
      </c>
      <c r="AA28" s="419">
        <v>1999</v>
      </c>
      <c r="AB28" s="419">
        <v>2000</v>
      </c>
      <c r="AC28" s="419">
        <v>2001</v>
      </c>
      <c r="AD28" s="419">
        <v>2002</v>
      </c>
      <c r="AE28" s="419">
        <v>2003</v>
      </c>
      <c r="AF28" s="419">
        <v>2004</v>
      </c>
      <c r="AG28" s="419">
        <v>2005</v>
      </c>
      <c r="AH28" s="419">
        <v>2006</v>
      </c>
      <c r="AI28" s="419">
        <v>2007</v>
      </c>
      <c r="AJ28" s="419">
        <v>2008</v>
      </c>
      <c r="AK28" s="419">
        <v>2009</v>
      </c>
      <c r="AL28" s="419">
        <v>2010</v>
      </c>
      <c r="AM28" s="419">
        <v>2011</v>
      </c>
      <c r="AN28" s="419">
        <v>2012</v>
      </c>
    </row>
    <row r="29" spans="1:40" ht="24" x14ac:dyDescent="0.25">
      <c r="C29" s="1">
        <f t="shared" si="3"/>
        <v>91.44</v>
      </c>
      <c r="D29" s="434">
        <v>36</v>
      </c>
      <c r="E29" s="434">
        <v>9</v>
      </c>
      <c r="F29" s="435">
        <f t="shared" si="4"/>
        <v>346.68</v>
      </c>
      <c r="G29" s="435">
        <v>1</v>
      </c>
      <c r="H29" s="436">
        <f t="shared" si="5"/>
        <v>102.03305837544706</v>
      </c>
      <c r="R29" s="422" t="s">
        <v>232</v>
      </c>
      <c r="S29" s="432">
        <v>2.7613150000000002</v>
      </c>
      <c r="T29" s="432">
        <v>2.8520141666666698</v>
      </c>
      <c r="U29" s="432">
        <v>3.2677415833333301</v>
      </c>
      <c r="V29" s="432">
        <v>3.5507983333333302</v>
      </c>
      <c r="W29" s="432">
        <v>3.6270850000000001</v>
      </c>
      <c r="X29" s="432">
        <v>4.2993491666666701</v>
      </c>
      <c r="Y29" s="432">
        <v>4.6079616666666698</v>
      </c>
      <c r="Z29" s="432">
        <v>5.52828416666667</v>
      </c>
      <c r="AA29" s="432">
        <v>6.1094841666666699</v>
      </c>
      <c r="AB29" s="432">
        <v>6.9398283333333302</v>
      </c>
      <c r="AC29" s="432">
        <v>8.6091808333333297</v>
      </c>
      <c r="AD29" s="432">
        <v>10.540746666666699</v>
      </c>
      <c r="AE29" s="432">
        <v>7.5647491666666697</v>
      </c>
      <c r="AF29" s="432">
        <v>6.4596925000000001</v>
      </c>
      <c r="AG29" s="432">
        <v>6.3593283333333304</v>
      </c>
      <c r="AH29" s="432">
        <v>6.7715491666666701</v>
      </c>
      <c r="AI29" s="432">
        <v>7.0453650000000003</v>
      </c>
      <c r="AJ29" s="432">
        <v>8.26122333333333</v>
      </c>
      <c r="AK29" s="432">
        <v>8.4736741582488797</v>
      </c>
      <c r="AL29" s="432">
        <v>7.3212219611528804</v>
      </c>
      <c r="AM29" s="432">
        <v>7.2087538461538481</v>
      </c>
      <c r="AN29" s="432">
        <v>8.1955830188679251</v>
      </c>
    </row>
    <row r="30" spans="1:40" x14ac:dyDescent="0.25">
      <c r="C30" s="1">
        <f t="shared" si="3"/>
        <v>101.6</v>
      </c>
      <c r="D30" s="434">
        <v>40</v>
      </c>
      <c r="E30" s="434">
        <v>11.7</v>
      </c>
      <c r="F30" s="435">
        <f t="shared" si="4"/>
        <v>450.68400000000003</v>
      </c>
      <c r="G30" s="435">
        <v>1</v>
      </c>
      <c r="H30" s="436">
        <f t="shared" si="5"/>
        <v>78.486967981113111</v>
      </c>
      <c r="R30" s="425">
        <v>2005</v>
      </c>
      <c r="S30" s="433">
        <f t="shared" ref="S30:AL30" si="7">IF(S28=$R$30,1,IF(S28&lt;$R30,T30/(1+T29/100),R30*(S29/100+1)))</f>
        <v>0.45926906270745477</v>
      </c>
      <c r="T30" s="433">
        <f t="shared" si="7"/>
        <v>0.4723674814389886</v>
      </c>
      <c r="U30" s="433">
        <f t="shared" si="7"/>
        <v>0.48780323005611481</v>
      </c>
      <c r="V30" s="433">
        <f t="shared" si="7"/>
        <v>0.50512413901889353</v>
      </c>
      <c r="W30" s="433">
        <f t="shared" si="7"/>
        <v>0.52344542089662693</v>
      </c>
      <c r="X30" s="433">
        <f t="shared" si="7"/>
        <v>0.54595016723790091</v>
      </c>
      <c r="Y30" s="433">
        <f t="shared" si="7"/>
        <v>0.57110734166332588</v>
      </c>
      <c r="Z30" s="433">
        <f t="shared" si="7"/>
        <v>0.60267977840717046</v>
      </c>
      <c r="AA30" s="433">
        <f t="shared" si="7"/>
        <v>0.63950040404465835</v>
      </c>
      <c r="AB30" s="433">
        <f t="shared" si="7"/>
        <v>0.68388063427633072</v>
      </c>
      <c r="AC30" s="433">
        <f t="shared" si="7"/>
        <v>0.742757154765327</v>
      </c>
      <c r="AD30" s="433">
        <f t="shared" si="7"/>
        <v>0.82104930479768157</v>
      </c>
      <c r="AE30" s="433">
        <f t="shared" si="7"/>
        <v>0.88315962524028668</v>
      </c>
      <c r="AF30" s="433">
        <f t="shared" si="7"/>
        <v>0.94020902131496165</v>
      </c>
      <c r="AG30" s="433">
        <f t="shared" si="7"/>
        <v>1</v>
      </c>
      <c r="AH30" s="433">
        <f t="shared" si="7"/>
        <v>1.0677154916666667</v>
      </c>
      <c r="AI30" s="433">
        <f t="shared" si="7"/>
        <v>1.142939945216128</v>
      </c>
      <c r="AJ30" s="433">
        <f t="shared" si="7"/>
        <v>1.2373607666563098</v>
      </c>
      <c r="AK30" s="433">
        <f t="shared" si="7"/>
        <v>1.3422106861847758</v>
      </c>
      <c r="AL30" s="433">
        <f t="shared" si="7"/>
        <v>1.4404769097066763</v>
      </c>
      <c r="AM30" s="28"/>
    </row>
    <row r="31" spans="1:40" x14ac:dyDescent="0.25">
      <c r="C31" s="1">
        <f t="shared" si="3"/>
        <v>111.76</v>
      </c>
      <c r="D31" s="434">
        <v>44</v>
      </c>
      <c r="E31" s="434">
        <v>14.9</v>
      </c>
      <c r="F31" s="435">
        <f t="shared" si="4"/>
        <v>573.94800000000009</v>
      </c>
      <c r="G31" s="435">
        <v>1</v>
      </c>
      <c r="H31" s="436">
        <f t="shared" si="5"/>
        <v>61.63070640127674</v>
      </c>
      <c r="R31" s="425" t="s">
        <v>702</v>
      </c>
      <c r="S31" s="433">
        <f t="shared" ref="S31:AL31" si="8">1/S30</f>
        <v>2.1773728761629654</v>
      </c>
      <c r="T31" s="433">
        <f t="shared" si="8"/>
        <v>2.1169958544852983</v>
      </c>
      <c r="U31" s="433">
        <f t="shared" si="8"/>
        <v>2.0500069257125753</v>
      </c>
      <c r="V31" s="433">
        <f t="shared" si="8"/>
        <v>1.9797113674715836</v>
      </c>
      <c r="W31" s="433">
        <f t="shared" si="8"/>
        <v>1.9104188518586465</v>
      </c>
      <c r="X31" s="433">
        <f t="shared" si="8"/>
        <v>1.8316690057249205</v>
      </c>
      <c r="Y31" s="433">
        <f t="shared" si="8"/>
        <v>1.7509843194933241</v>
      </c>
      <c r="Z31" s="433">
        <f t="shared" si="8"/>
        <v>1.6592559362832977</v>
      </c>
      <c r="AA31" s="433">
        <f t="shared" si="8"/>
        <v>1.563720669565311</v>
      </c>
      <c r="AB31" s="433">
        <f t="shared" si="8"/>
        <v>1.4622434820927204</v>
      </c>
      <c r="AC31" s="433">
        <f t="shared" si="8"/>
        <v>1.3463350619839516</v>
      </c>
      <c r="AD31" s="433">
        <f t="shared" si="8"/>
        <v>1.2179536529129813</v>
      </c>
      <c r="AE31" s="433">
        <f t="shared" si="8"/>
        <v>1.1322981388873203</v>
      </c>
      <c r="AF31" s="433">
        <f t="shared" si="8"/>
        <v>1.0635932833333333</v>
      </c>
      <c r="AG31" s="433">
        <f t="shared" si="8"/>
        <v>1</v>
      </c>
      <c r="AH31" s="433">
        <f t="shared" si="8"/>
        <v>0.93657908666196721</v>
      </c>
      <c r="AI31" s="433">
        <f t="shared" si="8"/>
        <v>0.87493660903670811</v>
      </c>
      <c r="AJ31" s="433">
        <f t="shared" si="8"/>
        <v>0.80817173693188604</v>
      </c>
      <c r="AK31" s="433">
        <f t="shared" si="8"/>
        <v>0.74503951599617557</v>
      </c>
      <c r="AL31" s="433">
        <f t="shared" si="8"/>
        <v>0.69421452941139439</v>
      </c>
      <c r="AM31" s="28"/>
    </row>
    <row r="32" spans="1:40" x14ac:dyDescent="0.25">
      <c r="C32" s="8"/>
      <c r="D32" s="514" t="s">
        <v>813</v>
      </c>
      <c r="E32" s="514"/>
      <c r="F32" s="438">
        <f>AVERAGE(F25:F31)</f>
        <v>286.69885714285715</v>
      </c>
      <c r="G32" s="438">
        <v>1</v>
      </c>
      <c r="H32" s="439">
        <f>G11/F32</f>
        <v>3.9016575467685315</v>
      </c>
      <c r="I32" s="440">
        <f>AVERAGE(H25:H31)</f>
        <v>188.96941614719825</v>
      </c>
      <c r="K32" t="s">
        <v>1055</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437" t="s">
        <v>1056</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418" t="s">
        <v>1019</v>
      </c>
      <c r="S34" s="419">
        <v>1991</v>
      </c>
      <c r="T34" s="419">
        <v>1992</v>
      </c>
      <c r="U34" s="419">
        <v>1993</v>
      </c>
      <c r="V34" s="419">
        <v>1994</v>
      </c>
      <c r="W34" s="419">
        <v>1995</v>
      </c>
      <c r="X34" s="419">
        <v>1996</v>
      </c>
      <c r="Y34" s="419">
        <v>1997</v>
      </c>
      <c r="Z34" s="419">
        <v>1998</v>
      </c>
      <c r="AA34" s="419">
        <v>1999</v>
      </c>
      <c r="AB34" s="419">
        <v>2000</v>
      </c>
      <c r="AC34" s="419">
        <v>2001</v>
      </c>
      <c r="AD34" s="419">
        <v>2002</v>
      </c>
      <c r="AE34" s="419">
        <v>2003</v>
      </c>
      <c r="AF34" s="419">
        <v>2004</v>
      </c>
      <c r="AG34" s="419">
        <v>2005</v>
      </c>
      <c r="AH34" s="419">
        <v>2006</v>
      </c>
      <c r="AI34" s="419">
        <v>2007</v>
      </c>
      <c r="AJ34" s="419">
        <v>2008</v>
      </c>
      <c r="AK34" s="419">
        <v>2009</v>
      </c>
      <c r="AL34" s="419">
        <v>2010</v>
      </c>
      <c r="AM34" s="420"/>
    </row>
    <row r="35" spans="1:39" ht="24" x14ac:dyDescent="0.25">
      <c r="A35" t="s">
        <v>1057</v>
      </c>
      <c r="R35" s="422" t="s">
        <v>232</v>
      </c>
      <c r="S35" s="423">
        <v>120.919166666666</v>
      </c>
      <c r="T35" s="423">
        <v>124.9175</v>
      </c>
      <c r="U35" s="423">
        <v>122.595</v>
      </c>
      <c r="V35" s="423">
        <v>117.354166666667</v>
      </c>
      <c r="W35" s="423">
        <v>114.07250000000001</v>
      </c>
      <c r="X35" s="423">
        <v>105.07</v>
      </c>
      <c r="Y35" s="423">
        <v>110.886666666667</v>
      </c>
      <c r="Z35" s="423">
        <v>101.948333333333</v>
      </c>
      <c r="AA35" s="423">
        <v>96.432500000000005</v>
      </c>
      <c r="AB35" s="423">
        <v>93.360833333333304</v>
      </c>
      <c r="AC35" s="423">
        <v>82.358333333333306</v>
      </c>
      <c r="AD35" s="423">
        <v>70.561666666666696</v>
      </c>
      <c r="AE35" s="423">
        <v>91.406666666666695</v>
      </c>
      <c r="AF35" s="423">
        <v>99.689166666666793</v>
      </c>
      <c r="AG35" s="423">
        <v>100</v>
      </c>
      <c r="AH35" s="423">
        <v>96.115833333333299</v>
      </c>
      <c r="AI35" s="423">
        <v>90.378333333333302</v>
      </c>
      <c r="AJ35" s="423">
        <v>80.405000000000001</v>
      </c>
      <c r="AK35" s="423">
        <v>87.792500000000004</v>
      </c>
      <c r="AL35" s="423"/>
      <c r="AM35" s="28"/>
    </row>
    <row r="36" spans="1:39" x14ac:dyDescent="0.25">
      <c r="A36" t="s">
        <v>1058</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1059</v>
      </c>
      <c r="C37" s="26" t="s">
        <v>1060</v>
      </c>
      <c r="D37" s="26" t="s">
        <v>241</v>
      </c>
      <c r="E37" s="26" t="s">
        <v>1061</v>
      </c>
      <c r="F37" s="26" t="s">
        <v>1062</v>
      </c>
      <c r="G37" s="91" t="s">
        <v>1063</v>
      </c>
      <c r="H37" s="26" t="s">
        <v>1064</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1065</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1065</v>
      </c>
      <c r="C39">
        <f>0.75*_xlfn.SINGLE(inchtocentimetre)</f>
        <v>1.905</v>
      </c>
      <c r="D39">
        <f>C39*$F$25/$C$25</f>
        <v>2.8890000000000002</v>
      </c>
      <c r="E39">
        <v>2000</v>
      </c>
      <c r="F39">
        <f>J24*FuelDistribution!E39/10^6</f>
        <v>0</v>
      </c>
      <c r="G39">
        <f>F39/D39</f>
        <v>0</v>
      </c>
      <c r="R39" s="193" t="s">
        <v>515</v>
      </c>
      <c r="S39" s="441">
        <v>2000</v>
      </c>
      <c r="T39" s="441">
        <v>2001</v>
      </c>
      <c r="U39" s="441">
        <v>2002</v>
      </c>
      <c r="V39" s="441">
        <v>2003</v>
      </c>
      <c r="W39" s="441">
        <v>2004</v>
      </c>
      <c r="X39" s="441">
        <v>2005</v>
      </c>
      <c r="Y39" s="441">
        <v>2006</v>
      </c>
      <c r="Z39" s="441">
        <v>2007</v>
      </c>
      <c r="AA39" s="441">
        <v>2008</v>
      </c>
      <c r="AB39" s="441">
        <v>2010</v>
      </c>
      <c r="AC39" s="441">
        <v>2011</v>
      </c>
      <c r="AD39" s="441">
        <v>2012</v>
      </c>
      <c r="AE39" s="441">
        <v>2013</v>
      </c>
      <c r="AF39" s="442" t="s">
        <v>1066</v>
      </c>
      <c r="AG39" s="28"/>
      <c r="AH39" s="28"/>
      <c r="AI39" s="28"/>
      <c r="AJ39" s="28"/>
      <c r="AK39" s="28"/>
      <c r="AL39" s="28"/>
      <c r="AM39" s="28"/>
    </row>
    <row r="40" spans="1:39" x14ac:dyDescent="0.25">
      <c r="B40" t="s">
        <v>1067</v>
      </c>
      <c r="C40">
        <v>4.4000000000000004</v>
      </c>
      <c r="D40">
        <f>C40*$F$25/$C$25</f>
        <v>6.6727559055118126</v>
      </c>
      <c r="E40">
        <v>2000</v>
      </c>
      <c r="F40">
        <f>J25*FuelDistribution!E40/10^6</f>
        <v>0</v>
      </c>
      <c r="G40">
        <f>F40/D40</f>
        <v>0</v>
      </c>
      <c r="R40" s="193" t="s">
        <v>1068</v>
      </c>
      <c r="S40" s="193">
        <v>62.5</v>
      </c>
      <c r="T40" s="193">
        <v>66.099999999999994</v>
      </c>
      <c r="U40" s="193">
        <v>72.099999999999994</v>
      </c>
      <c r="V40" s="193">
        <v>76.3</v>
      </c>
      <c r="W40" s="193">
        <v>77.400000000000006</v>
      </c>
      <c r="X40" s="193">
        <v>80</v>
      </c>
      <c r="Y40" s="193">
        <v>83.7</v>
      </c>
      <c r="Z40" s="193">
        <v>89.7</v>
      </c>
      <c r="AA40" s="193">
        <v>100</v>
      </c>
      <c r="AB40" s="193">
        <v>111.7</v>
      </c>
      <c r="AC40" s="193">
        <v>118.1</v>
      </c>
      <c r="AD40" s="193">
        <v>100</v>
      </c>
      <c r="AE40" s="193">
        <v>100</v>
      </c>
      <c r="AF40" s="443">
        <v>2</v>
      </c>
      <c r="AG40" s="28" t="s">
        <v>1069</v>
      </c>
      <c r="AH40" s="28"/>
      <c r="AI40" s="28"/>
      <c r="AJ40" s="28"/>
      <c r="AK40" s="28"/>
      <c r="AL40" s="28"/>
      <c r="AM40" s="28"/>
    </row>
    <row r="41" spans="1:39" x14ac:dyDescent="0.25">
      <c r="B41" t="s">
        <v>1067</v>
      </c>
      <c r="C41">
        <v>15</v>
      </c>
      <c r="D41">
        <f>C41*$F$25/$C$25</f>
        <v>22.748031496062996</v>
      </c>
      <c r="E41">
        <v>2000</v>
      </c>
      <c r="F41">
        <f>J26*FuelDistribution!E41/10^6</f>
        <v>0</v>
      </c>
      <c r="G41">
        <f>F41/D41</f>
        <v>0</v>
      </c>
      <c r="H41" s="26" t="s">
        <v>1070</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444" t="s">
        <v>813</v>
      </c>
      <c r="C42" s="444">
        <f>AVERAGE(C38:C41)</f>
        <v>5.6437499999999998</v>
      </c>
      <c r="D42" s="444">
        <f>AVERAGE(D38:D41)</f>
        <v>8.5589468503937027</v>
      </c>
      <c r="E42" s="444">
        <f>AVERAGE(E38:E41)</f>
        <v>2000</v>
      </c>
      <c r="F42" s="444">
        <f>AVERAGE(F38:F41)</f>
        <v>1.9259999999999999E-2</v>
      </c>
      <c r="G42" s="444">
        <f>AVERAGE(G38:G41)</f>
        <v>9.9999999999999985E-3</v>
      </c>
      <c r="H42" s="445">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1071</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1072</v>
      </c>
      <c r="B45" t="s">
        <v>1073</v>
      </c>
    </row>
    <row r="47" spans="1:39" x14ac:dyDescent="0.25">
      <c r="C47" s="154" t="s">
        <v>1074</v>
      </c>
    </row>
    <row r="48" spans="1:39" x14ac:dyDescent="0.25">
      <c r="A48" s="26" t="s">
        <v>4</v>
      </c>
      <c r="C48" s="154" t="s">
        <v>1070</v>
      </c>
      <c r="D48" t="s">
        <v>1075</v>
      </c>
    </row>
    <row r="49" spans="1:18" x14ac:dyDescent="0.25">
      <c r="A49" t="s">
        <v>1076</v>
      </c>
      <c r="C49" s="154">
        <f>200</f>
        <v>200</v>
      </c>
    </row>
    <row r="50" spans="1:18" x14ac:dyDescent="0.25">
      <c r="C50" s="154"/>
    </row>
    <row r="51" spans="1:18" x14ac:dyDescent="0.25">
      <c r="I51" s="154" t="s">
        <v>210</v>
      </c>
      <c r="J51" s="154" t="s">
        <v>208</v>
      </c>
    </row>
    <row r="52" spans="1:18" x14ac:dyDescent="0.25">
      <c r="A52" s="317">
        <f>[13]LossesCalib!V6</f>
        <v>0</v>
      </c>
      <c r="B52" s="119"/>
      <c r="C52" s="119"/>
      <c r="D52" s="119" t="s">
        <v>1077</v>
      </c>
      <c r="E52" s="119"/>
      <c r="F52" s="15"/>
      <c r="H52" t="s">
        <v>1078</v>
      </c>
      <c r="I52" t="s">
        <v>1079</v>
      </c>
      <c r="J52" t="s">
        <v>1079</v>
      </c>
      <c r="K52" t="s">
        <v>1080</v>
      </c>
      <c r="L52" t="s">
        <v>1081</v>
      </c>
    </row>
    <row r="53" spans="1:18" x14ac:dyDescent="0.25">
      <c r="A53" s="93" t="str">
        <f>[13]LossesCalib!X7</f>
        <v xml:space="preserve">Industry </v>
      </c>
      <c r="B53" s="93" t="str">
        <f>[13]LossesCalib!Y7</f>
        <v>INDODS</v>
      </c>
      <c r="C53" s="93" t="str">
        <f>[13]LossesCalib!Z7</f>
        <v>IND</v>
      </c>
      <c r="D53" s="93">
        <f>[13]LossesCalib!AA7</f>
        <v>36.014976280799999</v>
      </c>
      <c r="F53" s="11"/>
      <c r="H53" t="s">
        <v>1082</v>
      </c>
      <c r="I53" s="93">
        <v>11.7</v>
      </c>
      <c r="J53" s="93">
        <v>11.7</v>
      </c>
    </row>
    <row r="54" spans="1:18" x14ac:dyDescent="0.25">
      <c r="A54" s="93" t="str">
        <f>[13]LossesCalib!X8</f>
        <v xml:space="preserve">Industry </v>
      </c>
      <c r="B54" s="93" t="str">
        <f>[13]LossesCalib!Y8</f>
        <v>INDGAS</v>
      </c>
      <c r="C54" s="93"/>
      <c r="D54" s="93">
        <f>[13]LossesCalib!AA8</f>
        <v>104.82035999999999</v>
      </c>
      <c r="F54" s="11"/>
      <c r="H54" t="s">
        <v>1083</v>
      </c>
      <c r="I54" s="93">
        <v>17.100000000000001</v>
      </c>
      <c r="J54" s="93">
        <v>17.100000000000001</v>
      </c>
    </row>
    <row r="55" spans="1:18" x14ac:dyDescent="0.25">
      <c r="A55" s="93" t="str">
        <f>[13]LossesCalib!X9</f>
        <v xml:space="preserve">Agriculture </v>
      </c>
      <c r="B55" s="93" t="str">
        <f>[13]LossesCalib!Y9</f>
        <v>AGRODS</v>
      </c>
      <c r="C55" s="93"/>
      <c r="D55" s="93">
        <f>[13]LossesCalib!AA9</f>
        <v>38.226119077199996</v>
      </c>
      <c r="F55" s="11"/>
      <c r="H55" t="s">
        <v>1084</v>
      </c>
      <c r="I55" s="93">
        <f>(SUM(I53,I54)/I62)</f>
        <v>0.65454545454545454</v>
      </c>
      <c r="J55" s="93">
        <f>(SUM(J53,J54)/J62)</f>
        <v>0.67764705882352938</v>
      </c>
    </row>
    <row r="56" spans="1:18" x14ac:dyDescent="0.25">
      <c r="A56" s="93" t="str">
        <f>[13]LossesCalib!X10</f>
        <v xml:space="preserve">Agriculture </v>
      </c>
      <c r="B56" s="93" t="str">
        <f>[13]LossesCalib!Y10</f>
        <v>AGROGS</v>
      </c>
      <c r="C56" s="93"/>
      <c r="D56" s="93">
        <f>[13]LossesCalib!AA10</f>
        <v>4.9641961086000004</v>
      </c>
      <c r="F56" s="11"/>
      <c r="H56" t="s">
        <v>262</v>
      </c>
      <c r="I56" s="93">
        <f>I55*100/1000</f>
        <v>6.545454545454546E-2</v>
      </c>
      <c r="J56" s="93">
        <f>J55*100/1000</f>
        <v>6.7764705882352935E-2</v>
      </c>
    </row>
    <row r="57" spans="1:18" x14ac:dyDescent="0.25">
      <c r="A57" s="93" t="str">
        <f>[13]LossesCalib!X11</f>
        <v>Transport</v>
      </c>
      <c r="B57" s="93" t="str">
        <f>[13]LossesCalib!Y11</f>
        <v>TRAODS</v>
      </c>
      <c r="C57" s="93"/>
      <c r="D57" s="93">
        <f>[13]LossesCalib!AA11</f>
        <v>250.61541389748552</v>
      </c>
      <c r="F57" s="11"/>
      <c r="H57" s="5" t="s">
        <v>1085</v>
      </c>
      <c r="I57" s="446">
        <f>I56*D61</f>
        <v>25.463596835812123</v>
      </c>
      <c r="J57" s="446">
        <f>J56*D62</f>
        <v>25.827936915797132</v>
      </c>
    </row>
    <row r="58" spans="1:18" x14ac:dyDescent="0.25">
      <c r="A58" s="93" t="str">
        <f>[13]LossesCalib!X12</f>
        <v>Transport</v>
      </c>
      <c r="B58" s="93" t="str">
        <f>[13]LossesCalib!Y12</f>
        <v>TRAOGS</v>
      </c>
      <c r="C58" s="93"/>
      <c r="D58" s="93">
        <f>[13]LossesCalib!AA12</f>
        <v>384.06297777186296</v>
      </c>
      <c r="F58" s="11"/>
      <c r="J58" s="447"/>
      <c r="K58" s="447"/>
      <c r="L58" s="26"/>
    </row>
    <row r="59" spans="1:18" x14ac:dyDescent="0.25">
      <c r="A59" s="93" t="str">
        <f>[13]LossesCalib!X13</f>
        <v>Power</v>
      </c>
      <c r="B59" s="93" t="str">
        <f>[13]LossesCalib!Y13</f>
        <v>PWRODS</v>
      </c>
      <c r="C59" s="93"/>
      <c r="D59" s="93">
        <f>[13]LossesCalib!AA13</f>
        <v>21.6357</v>
      </c>
      <c r="F59" s="11"/>
      <c r="J59" s="447"/>
      <c r="K59" s="447"/>
      <c r="L59" s="26"/>
      <c r="P59" t="s">
        <v>1086</v>
      </c>
    </row>
    <row r="60" spans="1:18" x14ac:dyDescent="0.25">
      <c r="A60" s="82"/>
      <c r="D60" s="93" t="str">
        <f>[13]LossesCalib!AA14</f>
        <v>SATIM</v>
      </c>
      <c r="F60" s="11"/>
      <c r="J60" s="447"/>
      <c r="K60" s="447"/>
      <c r="L60" s="26"/>
    </row>
    <row r="61" spans="1:18" x14ac:dyDescent="0.25">
      <c r="A61" s="93" t="str">
        <f>[13]LossesCalib!X15</f>
        <v>OGS</v>
      </c>
      <c r="B61" s="93">
        <f>[13]LossesCalib!Y15</f>
        <v>0</v>
      </c>
      <c r="C61" s="93">
        <f>[13]LossesCalib!Z15</f>
        <v>0</v>
      </c>
      <c r="D61" s="93">
        <f>[13]LossesCalib!AA15</f>
        <v>389.02717388046295</v>
      </c>
      <c r="E61" t="s">
        <v>1087</v>
      </c>
      <c r="F61" s="11" t="s">
        <v>1088</v>
      </c>
      <c r="H61" s="8"/>
      <c r="I61" s="8" t="s">
        <v>1089</v>
      </c>
      <c r="J61" s="448" t="s">
        <v>1090</v>
      </c>
      <c r="K61" s="447"/>
      <c r="L61" s="26"/>
      <c r="P61" t="s">
        <v>1091</v>
      </c>
      <c r="Q61">
        <v>30</v>
      </c>
      <c r="R61" t="s">
        <v>1092</v>
      </c>
    </row>
    <row r="62" spans="1:18" x14ac:dyDescent="0.25">
      <c r="A62" s="93" t="str">
        <f>[13]LossesCalib!X16</f>
        <v>ODS</v>
      </c>
      <c r="B62" s="93">
        <f>[13]LossesCalib!Y16</f>
        <v>0</v>
      </c>
      <c r="C62" s="93">
        <f>[13]LossesCalib!Z16</f>
        <v>0</v>
      </c>
      <c r="D62" s="93">
        <f>[13]LossesCalib!AA16</f>
        <v>381.14143018103408</v>
      </c>
      <c r="F62" s="11"/>
      <c r="H62" s="8" t="s">
        <v>776</v>
      </c>
      <c r="I62" s="8">
        <v>44</v>
      </c>
      <c r="J62" s="448">
        <v>42.5</v>
      </c>
      <c r="K62" s="447"/>
      <c r="L62" s="26">
        <f>I53*D65/(I62*10^9)</f>
        <v>0</v>
      </c>
      <c r="P62" t="s">
        <v>1093</v>
      </c>
      <c r="Q62">
        <v>850</v>
      </c>
      <c r="R62" t="s">
        <v>1094</v>
      </c>
    </row>
    <row r="63" spans="1:18" x14ac:dyDescent="0.25">
      <c r="A63" s="93">
        <f>[13]LossesCalib!X17</f>
        <v>0</v>
      </c>
      <c r="B63" s="93">
        <f>[13]LossesCalib!Y17</f>
        <v>0</v>
      </c>
      <c r="C63" s="93">
        <f>[13]LossesCalib!Z17</f>
        <v>0</v>
      </c>
      <c r="D63" s="93">
        <f>[13]LossesCalib!AA17</f>
        <v>0</v>
      </c>
      <c r="F63" s="11"/>
      <c r="H63" s="8" t="s">
        <v>1095</v>
      </c>
      <c r="I63" s="8">
        <v>0.745</v>
      </c>
      <c r="J63" s="448">
        <v>0.85</v>
      </c>
      <c r="K63" s="447"/>
      <c r="L63" s="26"/>
    </row>
    <row r="64" spans="1:18" x14ac:dyDescent="0.25">
      <c r="A64" s="224"/>
      <c r="B64" s="13"/>
      <c r="C64" s="13"/>
      <c r="D64" s="13"/>
      <c r="E64" s="13"/>
      <c r="F64" s="14"/>
      <c r="J64" s="447"/>
      <c r="K64" s="447"/>
      <c r="L64" s="26"/>
      <c r="P64" t="s">
        <v>1096</v>
      </c>
      <c r="Q64">
        <f>Q62/Q61</f>
        <v>28.333333333333332</v>
      </c>
      <c r="R64" t="s">
        <v>1097</v>
      </c>
    </row>
    <row r="65" spans="1:26" x14ac:dyDescent="0.25">
      <c r="J65" s="447"/>
      <c r="K65" s="447"/>
      <c r="L65" s="26"/>
      <c r="Q65">
        <f>0.25%*Q64</f>
        <v>7.0833333333333331E-2</v>
      </c>
    </row>
    <row r="66" spans="1:26" x14ac:dyDescent="0.25">
      <c r="J66" s="447"/>
      <c r="K66" s="447"/>
      <c r="L66" s="26"/>
    </row>
    <row r="69" spans="1:26" x14ac:dyDescent="0.25">
      <c r="E69" t="s">
        <v>1098</v>
      </c>
      <c r="F69" t="s">
        <v>1099</v>
      </c>
      <c r="G69" t="s">
        <v>1100</v>
      </c>
      <c r="P69" t="s">
        <v>1101</v>
      </c>
      <c r="Z69" t="s">
        <v>1102</v>
      </c>
    </row>
    <row r="70" spans="1:26" x14ac:dyDescent="0.25">
      <c r="A70" s="26" t="s">
        <v>1103</v>
      </c>
      <c r="E70" t="s">
        <v>1104</v>
      </c>
      <c r="F70" t="s">
        <v>1105</v>
      </c>
      <c r="G70" t="str">
        <f>E70</f>
        <v>USA$ million</v>
      </c>
      <c r="Y70">
        <v>2000</v>
      </c>
      <c r="Z70">
        <v>93.1</v>
      </c>
    </row>
    <row r="71" spans="1:26" x14ac:dyDescent="0.25">
      <c r="C71" t="s">
        <v>1106</v>
      </c>
      <c r="E71">
        <v>380</v>
      </c>
      <c r="F71">
        <v>116</v>
      </c>
      <c r="G71">
        <v>122</v>
      </c>
      <c r="P71" s="268" t="s">
        <v>1107</v>
      </c>
      <c r="Y71">
        <v>2010</v>
      </c>
      <c r="Z71">
        <v>114.5</v>
      </c>
    </row>
    <row r="72" spans="1:26" x14ac:dyDescent="0.25">
      <c r="C72" t="s">
        <v>274</v>
      </c>
      <c r="E72">
        <v>135</v>
      </c>
      <c r="F72">
        <v>116</v>
      </c>
      <c r="G72">
        <v>122</v>
      </c>
      <c r="P72" s="8" t="s">
        <v>1108</v>
      </c>
      <c r="Q72" s="8"/>
      <c r="R72" s="8"/>
      <c r="S72" s="1">
        <v>7.98</v>
      </c>
      <c r="T72" s="1">
        <v>2.77</v>
      </c>
    </row>
    <row r="73" spans="1:26" x14ac:dyDescent="0.25">
      <c r="P73" s="8" t="s">
        <v>1109</v>
      </c>
      <c r="Q73" s="8"/>
      <c r="R73" s="8"/>
      <c r="S73" s="515">
        <v>1.59</v>
      </c>
      <c r="T73" s="449">
        <v>19.5</v>
      </c>
      <c r="Y73" t="s">
        <v>1110</v>
      </c>
      <c r="Z73">
        <f>Z71/Z70</f>
        <v>1.2298603651987112</v>
      </c>
    </row>
    <row r="74" spans="1:26" x14ac:dyDescent="0.25">
      <c r="C74" s="26" t="s">
        <v>1111</v>
      </c>
      <c r="E74" s="26" t="s">
        <v>1112</v>
      </c>
      <c r="F74" s="26" t="s">
        <v>1113</v>
      </c>
      <c r="G74" s="26" t="s">
        <v>1114</v>
      </c>
      <c r="H74" s="26" t="s">
        <v>1059</v>
      </c>
      <c r="I74" s="26" t="s">
        <v>1115</v>
      </c>
      <c r="P74" s="8" t="s">
        <v>1116</v>
      </c>
      <c r="Q74" s="8"/>
      <c r="R74" s="8"/>
      <c r="S74" s="516"/>
      <c r="T74" s="1">
        <v>11.1</v>
      </c>
    </row>
    <row r="75" spans="1:26" x14ac:dyDescent="0.25">
      <c r="A75" s="450" t="s">
        <v>1117</v>
      </c>
      <c r="B75" s="450"/>
      <c r="C75" s="450" t="s">
        <v>1118</v>
      </c>
      <c r="D75" s="450" t="s">
        <v>1119</v>
      </c>
      <c r="E75" s="450" t="s">
        <v>1105</v>
      </c>
      <c r="F75" s="450" t="s">
        <v>1120</v>
      </c>
      <c r="G75" s="450" t="s">
        <v>1049</v>
      </c>
      <c r="H75" s="450" t="s">
        <v>241</v>
      </c>
      <c r="I75" s="450" t="s">
        <v>1053</v>
      </c>
      <c r="J75" s="450" t="s">
        <v>1121</v>
      </c>
      <c r="P75" t="s">
        <v>1122</v>
      </c>
      <c r="Y75">
        <v>11.3</v>
      </c>
      <c r="Z75" t="s">
        <v>1123</v>
      </c>
    </row>
    <row r="76" spans="1:26" x14ac:dyDescent="0.25">
      <c r="A76" s="8" t="s">
        <v>8</v>
      </c>
      <c r="B76" s="8" t="s">
        <v>1124</v>
      </c>
      <c r="C76" s="8" t="s">
        <v>1125</v>
      </c>
      <c r="D76" s="8" t="s">
        <v>1126</v>
      </c>
      <c r="E76" s="8">
        <f>8+61</f>
        <v>69</v>
      </c>
      <c r="F76" s="8">
        <v>62</v>
      </c>
      <c r="G76" s="435">
        <f>D25</f>
        <v>20</v>
      </c>
      <c r="H76" s="435">
        <f>F25</f>
        <v>77.040000000000006</v>
      </c>
      <c r="I76" s="8">
        <f>(F76*$AN$29/H76)*(AE40/Y40)</f>
        <v>7.8800652079419287</v>
      </c>
      <c r="J76" s="8">
        <v>2018</v>
      </c>
    </row>
    <row r="77" spans="1:26" x14ac:dyDescent="0.25">
      <c r="A77" s="8" t="s">
        <v>8</v>
      </c>
      <c r="B77" s="8" t="s">
        <v>1127</v>
      </c>
      <c r="C77" s="8" t="s">
        <v>1125</v>
      </c>
      <c r="D77" s="8" t="s">
        <v>1128</v>
      </c>
      <c r="E77" s="8">
        <v>62</v>
      </c>
      <c r="F77" s="8">
        <v>71</v>
      </c>
      <c r="G77" s="435">
        <f>G76</f>
        <v>20</v>
      </c>
      <c r="H77" s="435">
        <f>H76</f>
        <v>77.040000000000006</v>
      </c>
      <c r="I77" s="8">
        <f>(F77*FuelDistribution!$AN$29/H77)*(AE40/Y40)</f>
        <v>9.0239456413528547</v>
      </c>
      <c r="J77" s="8">
        <v>2018</v>
      </c>
      <c r="P77" s="268" t="s">
        <v>1107</v>
      </c>
    </row>
    <row r="78" spans="1:26" x14ac:dyDescent="0.25">
      <c r="A78" s="8" t="s">
        <v>1129</v>
      </c>
      <c r="B78" s="8"/>
      <c r="C78" s="8" t="s">
        <v>1125</v>
      </c>
      <c r="D78" s="8" t="s">
        <v>1130</v>
      </c>
      <c r="E78" s="8"/>
      <c r="F78" s="8"/>
      <c r="G78" s="8"/>
      <c r="H78" s="8"/>
      <c r="I78" s="8"/>
      <c r="J78" s="8"/>
      <c r="P78" s="8" t="s">
        <v>1108</v>
      </c>
      <c r="Q78" s="8"/>
      <c r="R78" s="8"/>
      <c r="S78" s="449">
        <f>S72*$Z$73</f>
        <v>9.8142857142857167</v>
      </c>
      <c r="T78" s="449">
        <f>T72*$Z$73</f>
        <v>3.4067132116004299</v>
      </c>
    </row>
    <row r="79" spans="1:26" x14ac:dyDescent="0.25">
      <c r="A79" s="8" t="s">
        <v>1129</v>
      </c>
      <c r="B79" s="8"/>
      <c r="C79" s="8" t="s">
        <v>1125</v>
      </c>
      <c r="D79" s="8" t="s">
        <v>1131</v>
      </c>
      <c r="E79" s="8"/>
      <c r="F79" s="8"/>
      <c r="G79" s="8"/>
      <c r="H79" s="8"/>
      <c r="I79" s="8"/>
      <c r="J79" s="8"/>
      <c r="P79" s="8" t="s">
        <v>1109</v>
      </c>
      <c r="Q79" s="8"/>
      <c r="R79" s="8"/>
      <c r="S79" s="517">
        <f>S73*Z73</f>
        <v>1.955477980665951</v>
      </c>
      <c r="T79" s="449">
        <f>T73*$Z$73</f>
        <v>23.982277121374867</v>
      </c>
    </row>
    <row r="80" spans="1:26" x14ac:dyDescent="0.25">
      <c r="A80" s="8" t="s">
        <v>1129</v>
      </c>
      <c r="B80" s="8"/>
      <c r="C80" s="8" t="s">
        <v>1132</v>
      </c>
      <c r="D80" s="8"/>
      <c r="E80" s="8">
        <v>105</v>
      </c>
      <c r="F80" s="8">
        <v>75</v>
      </c>
      <c r="G80" s="436">
        <f>C42</f>
        <v>5.6437499999999998</v>
      </c>
      <c r="H80" s="436">
        <f>D42</f>
        <v>8.5589468503937027</v>
      </c>
      <c r="I80" s="436">
        <f>F80*FuelDistribution!$AN$29/H80+$H$42</f>
        <v>80.994982809790869</v>
      </c>
      <c r="J80" s="8">
        <v>2020</v>
      </c>
      <c r="P80" s="8" t="s">
        <v>1116</v>
      </c>
      <c r="Q80" s="8"/>
      <c r="R80" s="8"/>
      <c r="S80" s="518"/>
      <c r="T80" s="449">
        <f>T74*$Z$73</f>
        <v>13.651450053705695</v>
      </c>
    </row>
    <row r="81" spans="1:21" x14ac:dyDescent="0.25">
      <c r="A81" s="8" t="s">
        <v>1129</v>
      </c>
      <c r="B81" s="8"/>
      <c r="C81" s="8" t="s">
        <v>1133</v>
      </c>
      <c r="D81" s="8"/>
      <c r="E81" s="8">
        <v>8</v>
      </c>
      <c r="F81" s="8">
        <v>5.5</v>
      </c>
      <c r="G81" s="436">
        <f>G80</f>
        <v>5.6437499999999998</v>
      </c>
      <c r="H81" s="436">
        <f>H80</f>
        <v>8.5589468503937027</v>
      </c>
      <c r="I81" s="436">
        <f>F81*FuelDistribution!$AN$29/H81+$H$42</f>
        <v>14.445554501900389</v>
      </c>
      <c r="J81" s="8">
        <v>2020</v>
      </c>
      <c r="P81" t="s">
        <v>1134</v>
      </c>
    </row>
    <row r="82" spans="1:21" x14ac:dyDescent="0.25">
      <c r="A82" s="8"/>
      <c r="B82" s="8"/>
      <c r="C82" s="8" t="s">
        <v>1135</v>
      </c>
      <c r="D82" s="8"/>
      <c r="E82" s="8">
        <v>13</v>
      </c>
      <c r="F82" s="8">
        <f>8.5</f>
        <v>8.5</v>
      </c>
      <c r="G82" s="436">
        <f>G81</f>
        <v>5.6437499999999998</v>
      </c>
      <c r="H82" s="436">
        <f>H81</f>
        <v>8.5589468503937027</v>
      </c>
      <c r="I82" s="436">
        <f>F82*FuelDistribution!$AN$29/H82+$H$42</f>
        <v>17.318191695046742</v>
      </c>
      <c r="J82" s="8">
        <v>2020</v>
      </c>
    </row>
    <row r="83" spans="1:21" x14ac:dyDescent="0.25">
      <c r="P83" s="268" t="s">
        <v>1107</v>
      </c>
      <c r="U83" t="s">
        <v>1136</v>
      </c>
    </row>
    <row r="84" spans="1:21" x14ac:dyDescent="0.25">
      <c r="D84" t="s">
        <v>1137</v>
      </c>
      <c r="E84" t="s">
        <v>1138</v>
      </c>
      <c r="F84" t="s">
        <v>1139</v>
      </c>
      <c r="G84" t="s">
        <v>131</v>
      </c>
      <c r="H84" s="251" t="s">
        <v>1140</v>
      </c>
      <c r="P84" s="8" t="s">
        <v>1108</v>
      </c>
      <c r="Q84" s="8"/>
      <c r="R84" s="8"/>
      <c r="S84" s="449">
        <f>S78*$Y$75</f>
        <v>110.90142857142861</v>
      </c>
      <c r="T84" s="449">
        <f>T78*$Y$75</f>
        <v>38.495859291084862</v>
      </c>
    </row>
    <row r="85" spans="1:21" x14ac:dyDescent="0.25">
      <c r="D85" t="s">
        <v>1053</v>
      </c>
      <c r="H85" s="251" t="s">
        <v>1053</v>
      </c>
      <c r="P85" s="8" t="s">
        <v>1109</v>
      </c>
      <c r="Q85" s="8"/>
      <c r="R85" s="8"/>
      <c r="S85" s="517">
        <f>S79*Y75</f>
        <v>22.096901181525247</v>
      </c>
      <c r="T85" s="449">
        <f>T79*$Y$75</f>
        <v>270.99973147153599</v>
      </c>
    </row>
    <row r="86" spans="1:21" x14ac:dyDescent="0.25">
      <c r="C86" t="s">
        <v>1141</v>
      </c>
      <c r="D86" s="417">
        <f>AVERAGE(I80:I82)</f>
        <v>37.586243002246</v>
      </c>
      <c r="F86" s="417">
        <f>D86*10%</f>
        <v>3.7586243002246</v>
      </c>
      <c r="G86">
        <v>60</v>
      </c>
      <c r="H86" s="93">
        <f>$T$89</f>
        <v>425.26111707841039</v>
      </c>
      <c r="P86" s="8" t="s">
        <v>1116</v>
      </c>
      <c r="Q86" s="8"/>
      <c r="R86" s="8"/>
      <c r="S86" s="518"/>
      <c r="T86" s="449">
        <f>T80*$Y$75</f>
        <v>154.26138560687437</v>
      </c>
    </row>
    <row r="87" spans="1:21" x14ac:dyDescent="0.25">
      <c r="C87" t="s">
        <v>1142</v>
      </c>
      <c r="D87" s="417">
        <f>D86</f>
        <v>37.586243002246</v>
      </c>
      <c r="F87" s="417">
        <f>D87*10%</f>
        <v>3.7586243002246</v>
      </c>
      <c r="G87">
        <v>60</v>
      </c>
      <c r="H87" s="93">
        <f>H86*0.95</f>
        <v>403.99806122448985</v>
      </c>
      <c r="P87" t="s">
        <v>1143</v>
      </c>
    </row>
    <row r="88" spans="1:21" x14ac:dyDescent="0.25">
      <c r="C88" t="s">
        <v>1144</v>
      </c>
      <c r="D88" s="417">
        <f>D87</f>
        <v>37.586243002246</v>
      </c>
      <c r="F88" s="417">
        <f>D88*10%</f>
        <v>3.7586243002246</v>
      </c>
      <c r="G88">
        <v>60</v>
      </c>
      <c r="H88" s="93">
        <f>H86</f>
        <v>425.26111707841039</v>
      </c>
    </row>
    <row r="89" spans="1:21" x14ac:dyDescent="0.25">
      <c r="C89" t="s">
        <v>1145</v>
      </c>
      <c r="D89" s="417">
        <f>D88</f>
        <v>37.586243002246</v>
      </c>
      <c r="F89" s="417">
        <f>D89*10%</f>
        <v>3.7586243002246</v>
      </c>
      <c r="G89">
        <v>60</v>
      </c>
      <c r="H89" s="93">
        <f>H87</f>
        <v>403.99806122448985</v>
      </c>
      <c r="P89" s="268"/>
      <c r="S89" s="271" t="s">
        <v>1146</v>
      </c>
      <c r="T89" s="93">
        <f>T86+T85</f>
        <v>425.26111707841039</v>
      </c>
      <c r="U89" t="s">
        <v>1097</v>
      </c>
    </row>
    <row r="90" spans="1:21" x14ac:dyDescent="0.25">
      <c r="S90" s="271" t="s">
        <v>1147</v>
      </c>
      <c r="T90">
        <v>0.7</v>
      </c>
    </row>
    <row r="91" spans="1:21" x14ac:dyDescent="0.25">
      <c r="C91" t="s">
        <v>1148</v>
      </c>
      <c r="D91" s="93">
        <f>I57</f>
        <v>25.463596835812123</v>
      </c>
      <c r="G91">
        <v>60</v>
      </c>
      <c r="T91">
        <f>T90*T89</f>
        <v>297.68278195488728</v>
      </c>
      <c r="U91" t="s">
        <v>1097</v>
      </c>
    </row>
    <row r="92" spans="1:21" x14ac:dyDescent="0.25">
      <c r="C92" t="s">
        <v>1149</v>
      </c>
      <c r="D92" s="93">
        <f>J57</f>
        <v>25.827936915797132</v>
      </c>
      <c r="G92">
        <v>60</v>
      </c>
    </row>
    <row r="94" spans="1:21" x14ac:dyDescent="0.25">
      <c r="A94" s="26" t="s">
        <v>1150</v>
      </c>
    </row>
    <row r="95" spans="1:21" x14ac:dyDescent="0.25">
      <c r="B95" t="s">
        <v>5</v>
      </c>
      <c r="C95" t="s">
        <v>6</v>
      </c>
      <c r="D95" t="s">
        <v>7</v>
      </c>
      <c r="E95" t="s">
        <v>8</v>
      </c>
      <c r="F95" t="s">
        <v>9</v>
      </c>
      <c r="G95" t="s">
        <v>10</v>
      </c>
      <c r="H95" t="s">
        <v>11</v>
      </c>
    </row>
    <row r="96" spans="1:21" x14ac:dyDescent="0.25">
      <c r="A96" t="s">
        <v>172</v>
      </c>
      <c r="B96">
        <v>0</v>
      </c>
      <c r="C96" s="417">
        <f>H88</f>
        <v>425.26111707841039</v>
      </c>
      <c r="D96" s="417">
        <f>H87-D87*5%</f>
        <v>402.11874907437755</v>
      </c>
      <c r="E96" s="417">
        <f>H86</f>
        <v>425.26111707841039</v>
      </c>
      <c r="F96" s="417">
        <f>H89</f>
        <v>403.99806122448985</v>
      </c>
      <c r="G96" s="93">
        <f>C96/20</f>
        <v>21.26305585392052</v>
      </c>
      <c r="H96" s="93">
        <f>G96</f>
        <v>21.26305585392052</v>
      </c>
    </row>
    <row r="97" spans="1:15" x14ac:dyDescent="0.25">
      <c r="A97" t="s">
        <v>210</v>
      </c>
      <c r="E97" s="93">
        <f>I57</f>
        <v>25.463596835812123</v>
      </c>
    </row>
    <row r="98" spans="1:15" x14ac:dyDescent="0.25">
      <c r="A98" t="s">
        <v>208</v>
      </c>
      <c r="E98" s="93">
        <f>J57</f>
        <v>25.827936915797132</v>
      </c>
      <c r="O98">
        <f>_xlfn.SINGLE(zar.2010)</f>
        <v>1.3094103081137336</v>
      </c>
    </row>
    <row r="101" spans="1:15" x14ac:dyDescent="0.25">
      <c r="A101" t="s">
        <v>1151</v>
      </c>
      <c r="C101" s="62">
        <f>-PMT($B$102,$B$103,C96,0,1)</f>
        <v>31.815024026733443</v>
      </c>
      <c r="D101" s="62">
        <f>-PMT($B$102,$B$103,D96,0,1)</f>
        <v>30.083676004271148</v>
      </c>
      <c r="E101" s="62">
        <f>-PMT($B$102,$B$103,E96,0,1)</f>
        <v>31.815024026733443</v>
      </c>
      <c r="F101" s="62">
        <f>-PMT($B$102,$B$103,F96,0,1)</f>
        <v>30.224272825396771</v>
      </c>
      <c r="G101" s="62">
        <f>-PMT($B$102,$B$103,G96,0,1)</f>
        <v>1.590751201336672</v>
      </c>
    </row>
    <row r="102" spans="1:15" x14ac:dyDescent="0.25">
      <c r="A102" t="s">
        <v>1152</v>
      </c>
      <c r="B102" s="268">
        <v>0.08</v>
      </c>
    </row>
    <row r="103" spans="1:15" x14ac:dyDescent="0.25">
      <c r="A103" t="s">
        <v>131</v>
      </c>
      <c r="B103">
        <v>60</v>
      </c>
    </row>
    <row r="106" spans="1:15" x14ac:dyDescent="0.25">
      <c r="A106" t="s">
        <v>1153</v>
      </c>
      <c r="B106" t="s">
        <v>1154</v>
      </c>
      <c r="C106" t="s">
        <v>1153</v>
      </c>
      <c r="D106" t="s">
        <v>1154</v>
      </c>
    </row>
    <row r="107" spans="1:15" x14ac:dyDescent="0.25">
      <c r="A107" s="269" t="s">
        <v>1155</v>
      </c>
      <c r="B107" s="451" t="s">
        <v>1155</v>
      </c>
      <c r="C107" s="269" t="s">
        <v>1156</v>
      </c>
      <c r="D107" s="451" t="s">
        <v>1045</v>
      </c>
    </row>
    <row r="108" spans="1:15" x14ac:dyDescent="0.25">
      <c r="A108" s="26" t="s">
        <v>1050</v>
      </c>
      <c r="B108" s="452" t="s">
        <v>1049</v>
      </c>
      <c r="C108" s="26" t="s">
        <v>1157</v>
      </c>
      <c r="D108" s="452" t="s">
        <v>1158</v>
      </c>
    </row>
    <row r="109" spans="1:15" x14ac:dyDescent="0.25">
      <c r="B109" s="452"/>
      <c r="D109" s="452"/>
    </row>
    <row r="110" spans="1:15" x14ac:dyDescent="0.25">
      <c r="A110">
        <v>20</v>
      </c>
      <c r="B110" s="452">
        <f t="shared" ref="B110:B116" si="9">A110*_xlfn.SINGLE(inchtocentimetre)</f>
        <v>50.8</v>
      </c>
      <c r="C110">
        <v>2</v>
      </c>
      <c r="D110" s="452">
        <f>C110*J23</f>
        <v>77.040000000000006</v>
      </c>
    </row>
    <row r="111" spans="1:15" x14ac:dyDescent="0.25">
      <c r="A111">
        <v>24</v>
      </c>
      <c r="B111" s="452">
        <f t="shared" si="9"/>
        <v>60.96</v>
      </c>
      <c r="C111">
        <v>3.2</v>
      </c>
      <c r="D111" s="452">
        <f t="shared" ref="D111:D116" si="10">C111*K140</f>
        <v>0</v>
      </c>
    </row>
    <row r="112" spans="1:15" x14ac:dyDescent="0.25">
      <c r="A112">
        <v>28</v>
      </c>
      <c r="B112" s="452">
        <f t="shared" si="9"/>
        <v>71.12</v>
      </c>
      <c r="C112">
        <v>4.7</v>
      </c>
      <c r="D112" s="452">
        <f t="shared" si="10"/>
        <v>0</v>
      </c>
    </row>
    <row r="113" spans="1:4" x14ac:dyDescent="0.25">
      <c r="A113">
        <v>32</v>
      </c>
      <c r="B113" s="452">
        <f t="shared" si="9"/>
        <v>81.28</v>
      </c>
      <c r="C113">
        <v>6.6</v>
      </c>
      <c r="D113" s="452">
        <f t="shared" si="10"/>
        <v>0</v>
      </c>
    </row>
    <row r="114" spans="1:4" x14ac:dyDescent="0.25">
      <c r="A114">
        <v>36</v>
      </c>
      <c r="B114" s="452">
        <f t="shared" si="9"/>
        <v>91.44</v>
      </c>
      <c r="C114">
        <v>9</v>
      </c>
      <c r="D114" s="452">
        <f t="shared" si="10"/>
        <v>0</v>
      </c>
    </row>
    <row r="115" spans="1:4" x14ac:dyDescent="0.25">
      <c r="A115">
        <v>40</v>
      </c>
      <c r="B115" s="452">
        <f t="shared" si="9"/>
        <v>101.6</v>
      </c>
      <c r="C115">
        <v>11.7</v>
      </c>
      <c r="D115" s="452">
        <f t="shared" si="10"/>
        <v>0</v>
      </c>
    </row>
    <row r="116" spans="1:4" x14ac:dyDescent="0.25">
      <c r="A116">
        <v>44</v>
      </c>
      <c r="B116" s="452">
        <f t="shared" si="9"/>
        <v>111.76</v>
      </c>
      <c r="C116">
        <v>14.9</v>
      </c>
      <c r="D116" s="452">
        <f t="shared" si="10"/>
        <v>0</v>
      </c>
    </row>
    <row r="117" spans="1:4" x14ac:dyDescent="0.25">
      <c r="A117" t="s">
        <v>1159</v>
      </c>
      <c r="B117" s="453" t="s">
        <v>1160</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B8909-AC03-4DD3-95D3-53C1A8B2F6F8}">
  <dimension ref="B2:X48"/>
  <sheetViews>
    <sheetView topLeftCell="E11" workbookViewId="0">
      <selection activeCell="V40" sqref="V40:W40"/>
    </sheetView>
  </sheetViews>
  <sheetFormatPr defaultRowHeight="15" x14ac:dyDescent="0.25"/>
  <cols>
    <col min="2" max="2" width="30.7109375" customWidth="1"/>
    <col min="3" max="3" width="11.85546875" customWidth="1"/>
    <col min="12" max="12" width="13.85546875" customWidth="1"/>
    <col min="14" max="14" width="11.140625" customWidth="1"/>
    <col min="15" max="15" width="11.5703125" customWidth="1"/>
  </cols>
  <sheetData>
    <row r="2" spans="2:24" x14ac:dyDescent="0.25">
      <c r="B2" t="s">
        <v>928</v>
      </c>
      <c r="E2" t="s">
        <v>929</v>
      </c>
      <c r="T2" t="s">
        <v>1322</v>
      </c>
    </row>
    <row r="3" spans="2:24" x14ac:dyDescent="0.25">
      <c r="E3" t="s">
        <v>930</v>
      </c>
      <c r="F3">
        <v>12.9</v>
      </c>
      <c r="N3" t="s">
        <v>1323</v>
      </c>
      <c r="U3">
        <v>1</v>
      </c>
      <c r="V3">
        <v>2</v>
      </c>
      <c r="W3">
        <v>3</v>
      </c>
      <c r="X3">
        <v>4</v>
      </c>
    </row>
    <row r="4" spans="2:24" x14ac:dyDescent="0.25">
      <c r="B4" s="26"/>
      <c r="C4" s="26"/>
      <c r="D4" s="26" t="s">
        <v>950</v>
      </c>
      <c r="E4" s="26" t="s">
        <v>954</v>
      </c>
      <c r="F4" t="s">
        <v>1324</v>
      </c>
      <c r="U4">
        <v>0.1</v>
      </c>
      <c r="V4">
        <v>0.25</v>
      </c>
      <c r="W4">
        <v>0.6</v>
      </c>
      <c r="X4">
        <v>0.05</v>
      </c>
    </row>
    <row r="5" spans="2:24" x14ac:dyDescent="0.25">
      <c r="B5" s="26"/>
      <c r="C5" s="26"/>
      <c r="D5" s="26" t="s">
        <v>1304</v>
      </c>
      <c r="E5" s="26" t="s">
        <v>1305</v>
      </c>
      <c r="N5" t="s">
        <v>1325</v>
      </c>
      <c r="O5" t="s">
        <v>1326</v>
      </c>
      <c r="P5" t="s">
        <v>1327</v>
      </c>
      <c r="Q5" t="s">
        <v>1328</v>
      </c>
      <c r="T5">
        <f>SUM(U5:X5)</f>
        <v>1.2234516480000002</v>
      </c>
      <c r="U5">
        <f>U4*(1.08)^U3</f>
        <v>0.10800000000000001</v>
      </c>
      <c r="V5">
        <f t="shared" ref="V5:X5" si="0">V4*(1.08)^V3</f>
        <v>0.29160000000000003</v>
      </c>
      <c r="W5">
        <f t="shared" si="0"/>
        <v>0.75582720000000003</v>
      </c>
      <c r="X5">
        <f t="shared" si="0"/>
        <v>6.8024448000000015E-2</v>
      </c>
    </row>
    <row r="6" spans="2:24" x14ac:dyDescent="0.25">
      <c r="B6" t="s">
        <v>1075</v>
      </c>
      <c r="C6" t="s">
        <v>1329</v>
      </c>
      <c r="D6">
        <v>172.8</v>
      </c>
      <c r="E6" s="62">
        <f>D6/3.6*3</f>
        <v>144</v>
      </c>
      <c r="F6">
        <f>E6/3</f>
        <v>48</v>
      </c>
      <c r="L6" t="s">
        <v>1330</v>
      </c>
      <c r="M6" t="s">
        <v>1329</v>
      </c>
      <c r="O6">
        <v>96</v>
      </c>
    </row>
    <row r="7" spans="2:24" x14ac:dyDescent="0.25">
      <c r="B7" t="s">
        <v>1331</v>
      </c>
      <c r="C7" t="s">
        <v>1332</v>
      </c>
      <c r="D7">
        <v>3.6</v>
      </c>
      <c r="E7">
        <v>1</v>
      </c>
      <c r="L7" t="s">
        <v>1333</v>
      </c>
      <c r="M7" t="s">
        <v>1334</v>
      </c>
      <c r="O7" s="93">
        <f>O13/O6</f>
        <v>1.1096649096195061</v>
      </c>
    </row>
    <row r="8" spans="2:24" x14ac:dyDescent="0.25">
      <c r="B8" t="s">
        <v>1335</v>
      </c>
      <c r="C8" t="s">
        <v>1336</v>
      </c>
      <c r="D8">
        <v>845</v>
      </c>
    </row>
    <row r="9" spans="2:24" x14ac:dyDescent="0.25">
      <c r="B9" t="s">
        <v>1337</v>
      </c>
      <c r="C9" t="s">
        <v>1336</v>
      </c>
      <c r="D9" s="87">
        <v>68</v>
      </c>
      <c r="L9" t="s">
        <v>1338</v>
      </c>
      <c r="M9" t="s">
        <v>1339</v>
      </c>
      <c r="O9">
        <v>0.25</v>
      </c>
    </row>
    <row r="10" spans="2:24" x14ac:dyDescent="0.25">
      <c r="B10" t="s">
        <v>944</v>
      </c>
      <c r="C10" t="s">
        <v>1336</v>
      </c>
      <c r="D10" s="87">
        <f>SUM(D8:D9)</f>
        <v>913</v>
      </c>
      <c r="E10" s="87"/>
      <c r="L10" t="s">
        <v>1340</v>
      </c>
      <c r="O10">
        <f>O9*365</f>
        <v>91.25</v>
      </c>
    </row>
    <row r="11" spans="2:24" x14ac:dyDescent="0.25">
      <c r="B11" t="s">
        <v>1341</v>
      </c>
      <c r="C11" t="s">
        <v>1342</v>
      </c>
      <c r="D11" s="62">
        <f>+D10/D6</f>
        <v>5.2835648148148149</v>
      </c>
      <c r="E11" s="62"/>
      <c r="H11">
        <f>D11*T5*-PMT(0.08,30,1)</f>
        <v>0.57419705842413293</v>
      </c>
      <c r="L11" t="s">
        <v>1343</v>
      </c>
      <c r="M11" t="s">
        <v>1336</v>
      </c>
      <c r="O11">
        <v>150</v>
      </c>
    </row>
    <row r="12" spans="2:24" x14ac:dyDescent="0.25">
      <c r="B12" t="s">
        <v>947</v>
      </c>
      <c r="D12" s="62">
        <v>30</v>
      </c>
      <c r="E12" s="62">
        <v>10</v>
      </c>
      <c r="L12" t="s">
        <v>1344</v>
      </c>
      <c r="O12" s="62">
        <f>-PMT(0.08,20,1)*O11</f>
        <v>15.277831323472595</v>
      </c>
    </row>
    <row r="13" spans="2:24" x14ac:dyDescent="0.25">
      <c r="B13" t="s">
        <v>948</v>
      </c>
      <c r="D13">
        <v>4</v>
      </c>
      <c r="E13">
        <v>2</v>
      </c>
      <c r="L13" t="s">
        <v>1345</v>
      </c>
      <c r="M13" t="s">
        <v>1346</v>
      </c>
      <c r="O13" s="62">
        <f>O12+O10</f>
        <v>106.5278313234726</v>
      </c>
      <c r="P13">
        <v>100</v>
      </c>
    </row>
    <row r="14" spans="2:24" x14ac:dyDescent="0.25">
      <c r="B14" t="s">
        <v>1347</v>
      </c>
      <c r="D14" s="62"/>
    </row>
    <row r="15" spans="2:24" x14ac:dyDescent="0.25">
      <c r="B15" t="s">
        <v>1348</v>
      </c>
      <c r="C15" t="s">
        <v>1349</v>
      </c>
      <c r="D15" s="87">
        <f>D10*T5*-PMT(0.08,D12,1)</f>
        <v>99.221251695690171</v>
      </c>
      <c r="E15" s="93">
        <v>100</v>
      </c>
      <c r="F15">
        <f>E15/3</f>
        <v>33.333333333333336</v>
      </c>
      <c r="L15" t="s">
        <v>1350</v>
      </c>
      <c r="M15" t="s">
        <v>1336</v>
      </c>
      <c r="O15">
        <f>(2.21-O7)*O6</f>
        <v>105.63216867652741</v>
      </c>
    </row>
    <row r="16" spans="2:24" x14ac:dyDescent="0.25">
      <c r="B16" t="s">
        <v>1351</v>
      </c>
      <c r="C16" t="s">
        <v>1334</v>
      </c>
      <c r="D16" s="270">
        <f>D15/D6</f>
        <v>0.57419705842413293</v>
      </c>
      <c r="E16" s="93">
        <f>E15/E6</f>
        <v>0.69444444444444442</v>
      </c>
      <c r="F16" s="93">
        <f>F15/F6</f>
        <v>0.69444444444444453</v>
      </c>
    </row>
    <row r="17" spans="2:21" x14ac:dyDescent="0.25">
      <c r="B17" t="s">
        <v>1352</v>
      </c>
      <c r="C17" s="26"/>
      <c r="D17" s="93">
        <f>D16/0.25</f>
        <v>2.2967882336965317</v>
      </c>
      <c r="E17" s="93">
        <f>E16/0.25</f>
        <v>2.7777777777777777</v>
      </c>
      <c r="F17" s="93">
        <f>F16/0.25</f>
        <v>2.7777777777777781</v>
      </c>
      <c r="L17" t="s">
        <v>1353</v>
      </c>
      <c r="O17" s="62">
        <f>O15+O13</f>
        <v>212.16000000000003</v>
      </c>
    </row>
    <row r="18" spans="2:21" x14ac:dyDescent="0.25">
      <c r="B18" t="s">
        <v>1354</v>
      </c>
      <c r="D18" s="93">
        <f>D16/0.1</f>
        <v>5.7419705842413293</v>
      </c>
      <c r="E18" s="93">
        <f>E16/0.1</f>
        <v>6.9444444444444438</v>
      </c>
      <c r="F18" s="93">
        <f>F16/0.1</f>
        <v>6.9444444444444446</v>
      </c>
      <c r="L18" t="s">
        <v>1355</v>
      </c>
      <c r="O18">
        <f>O17/56</f>
        <v>3.7885714285714291</v>
      </c>
    </row>
    <row r="20" spans="2:21" x14ac:dyDescent="0.25">
      <c r="B20" t="s">
        <v>1356</v>
      </c>
      <c r="U20" t="s">
        <v>1357</v>
      </c>
    </row>
    <row r="21" spans="2:21" x14ac:dyDescent="0.25">
      <c r="B21" t="s">
        <v>1358</v>
      </c>
      <c r="D21" s="87"/>
      <c r="U21" t="s">
        <v>1359</v>
      </c>
    </row>
    <row r="22" spans="2:21" x14ac:dyDescent="0.25">
      <c r="B22" t="s">
        <v>1360</v>
      </c>
      <c r="C22" s="26"/>
      <c r="N22" t="s">
        <v>1361</v>
      </c>
    </row>
    <row r="23" spans="2:21" x14ac:dyDescent="0.25">
      <c r="N23" t="s">
        <v>950</v>
      </c>
      <c r="O23" t="s">
        <v>1362</v>
      </c>
      <c r="P23" t="s">
        <v>1363</v>
      </c>
    </row>
    <row r="24" spans="2:21" x14ac:dyDescent="0.25">
      <c r="B24" t="s">
        <v>1364</v>
      </c>
      <c r="L24" t="s">
        <v>1365</v>
      </c>
      <c r="M24" t="s">
        <v>1329</v>
      </c>
      <c r="N24">
        <f>1.6*0.5*31.536/0.5</f>
        <v>50.457600000000006</v>
      </c>
      <c r="Q24" t="s">
        <v>1366</v>
      </c>
    </row>
    <row r="25" spans="2:21" x14ac:dyDescent="0.25">
      <c r="L25" t="s">
        <v>1367</v>
      </c>
      <c r="M25" t="s">
        <v>1336</v>
      </c>
      <c r="N25">
        <v>1000</v>
      </c>
    </row>
    <row r="26" spans="2:21" x14ac:dyDescent="0.25">
      <c r="B26" t="s">
        <v>1368</v>
      </c>
      <c r="D26" t="s">
        <v>1161</v>
      </c>
      <c r="E26">
        <v>0.7</v>
      </c>
    </row>
    <row r="27" spans="2:21" x14ac:dyDescent="0.25">
      <c r="B27" t="s">
        <v>1369</v>
      </c>
      <c r="E27" s="268">
        <v>0.5</v>
      </c>
      <c r="L27" t="s">
        <v>1370</v>
      </c>
      <c r="M27" t="s">
        <v>1371</v>
      </c>
      <c r="N27">
        <f>N25/N24</f>
        <v>19.818619989852863</v>
      </c>
    </row>
    <row r="28" spans="2:21" x14ac:dyDescent="0.25">
      <c r="B28" t="s">
        <v>408</v>
      </c>
      <c r="E28" s="268">
        <v>0.5</v>
      </c>
    </row>
    <row r="29" spans="2:21" x14ac:dyDescent="0.25">
      <c r="B29" t="s">
        <v>1372</v>
      </c>
      <c r="D29" t="s">
        <v>241</v>
      </c>
      <c r="E29">
        <f>E26*E27*8.76*3.6/E28</f>
        <v>22.075199999999999</v>
      </c>
      <c r="L29" t="s">
        <v>1373</v>
      </c>
      <c r="M29" t="s">
        <v>1334</v>
      </c>
      <c r="N29">
        <f>-N27*PMT(0.08,20,1)</f>
        <v>2.0185702217931611</v>
      </c>
    </row>
    <row r="34" spans="21:24" x14ac:dyDescent="0.25">
      <c r="U34" t="s">
        <v>1045</v>
      </c>
      <c r="V34" t="s">
        <v>1380</v>
      </c>
      <c r="W34">
        <v>170000</v>
      </c>
    </row>
    <row r="35" spans="21:24" x14ac:dyDescent="0.25">
      <c r="V35" t="s">
        <v>1381</v>
      </c>
      <c r="W35">
        <f>W34*35.3/1000000000</f>
        <v>6.0009999999999994E-3</v>
      </c>
    </row>
    <row r="36" spans="21:24" x14ac:dyDescent="0.25">
      <c r="V36" t="s">
        <v>241</v>
      </c>
      <c r="W36">
        <f>W35*1.055</f>
        <v>6.3310549999999986E-3</v>
      </c>
    </row>
    <row r="37" spans="21:24" x14ac:dyDescent="0.25">
      <c r="V37" t="s">
        <v>513</v>
      </c>
      <c r="W37">
        <f>W36*1000000000000000/1000000000</f>
        <v>6331.0549999999994</v>
      </c>
      <c r="X37">
        <f>W34*0.0373</f>
        <v>6341</v>
      </c>
    </row>
    <row r="38" spans="21:24" x14ac:dyDescent="0.25">
      <c r="V38" t="s">
        <v>722</v>
      </c>
      <c r="W38">
        <f>W37/3600</f>
        <v>1.7586263888888887</v>
      </c>
    </row>
    <row r="39" spans="21:24" x14ac:dyDescent="0.25">
      <c r="V39" t="s">
        <v>1382</v>
      </c>
      <c r="W39">
        <f>W38/W44</f>
        <v>0.93103749999999974</v>
      </c>
    </row>
    <row r="40" spans="21:24" x14ac:dyDescent="0.25">
      <c r="U40" t="s">
        <v>1113</v>
      </c>
      <c r="V40" t="s">
        <v>1349</v>
      </c>
      <c r="W40">
        <v>100</v>
      </c>
    </row>
    <row r="41" spans="21:24" x14ac:dyDescent="0.25">
      <c r="U41" t="s">
        <v>1374</v>
      </c>
      <c r="V41" t="s">
        <v>1375</v>
      </c>
      <c r="W41">
        <v>170</v>
      </c>
      <c r="X41">
        <v>800</v>
      </c>
    </row>
    <row r="42" spans="21:24" x14ac:dyDescent="0.25">
      <c r="V42" t="s">
        <v>1376</v>
      </c>
      <c r="W42" s="270">
        <f>W41*365*0.021/1000*0.96</f>
        <v>1.2509280000000003</v>
      </c>
      <c r="X42" s="270">
        <f>X41*365*0.021/1000*0.96</f>
        <v>5.8867199999999995</v>
      </c>
    </row>
    <row r="43" spans="21:24" x14ac:dyDescent="0.25">
      <c r="V43" t="s">
        <v>1377</v>
      </c>
      <c r="W43" s="93">
        <f>W42/0.021</f>
        <v>59.568000000000012</v>
      </c>
      <c r="X43" s="93">
        <f>X42/0.021</f>
        <v>280.31999999999994</v>
      </c>
    </row>
    <row r="44" spans="21:24" x14ac:dyDescent="0.25">
      <c r="V44" t="s">
        <v>1161</v>
      </c>
      <c r="W44">
        <f>W43/31.536</f>
        <v>1.8888888888888893</v>
      </c>
    </row>
    <row r="45" spans="21:24" x14ac:dyDescent="0.25">
      <c r="W45">
        <f>W43/1.185</f>
        <v>50.268354430379752</v>
      </c>
    </row>
    <row r="46" spans="21:24" x14ac:dyDescent="0.25">
      <c r="W46">
        <f>W41/W42</f>
        <v>135.89910850184819</v>
      </c>
    </row>
    <row r="47" spans="21:24" x14ac:dyDescent="0.25">
      <c r="U47" t="s">
        <v>1378</v>
      </c>
      <c r="V47" t="s">
        <v>1376</v>
      </c>
      <c r="W47">
        <f>W41*31*0.021/1000*0.96</f>
        <v>0.1062432</v>
      </c>
    </row>
    <row r="48" spans="21:24" x14ac:dyDescent="0.25">
      <c r="V48" t="s">
        <v>1379</v>
      </c>
      <c r="W48">
        <f>W47/0.021</f>
        <v>5.0591999999999997</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Index</vt:lpstr>
      <vt:lpstr>ChangeLog</vt:lpstr>
      <vt:lpstr>NameConv</vt:lpstr>
      <vt:lpstr>EnergyBalance2017</vt:lpstr>
      <vt:lpstr>ITEMS_Tech</vt:lpstr>
      <vt:lpstr>ITEMS_Comm</vt:lpstr>
      <vt:lpstr>SUP</vt:lpstr>
      <vt:lpstr>GAS</vt:lpstr>
      <vt:lpstr>CombustionEmissions</vt:lpstr>
      <vt:lpstr>FugitiveEmissions</vt:lpstr>
      <vt:lpstr>EmissionsAggregationCO2eq</vt:lpstr>
      <vt:lpstr>FuelTechs</vt:lpstr>
      <vt:lpstr>Liq Fuel Prices</vt:lpstr>
      <vt:lpstr>IEW_WEO</vt:lpstr>
      <vt:lpstr>Gas Price</vt:lpstr>
      <vt:lpstr>FuelDistribution</vt:lpstr>
      <vt:lpstr>LNGCosts</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2023-07-28T07:51:46Z</dcterms:created>
  <dcterms:modified xsi:type="dcterms:W3CDTF">2023-08-03T06:20:26Z</dcterms:modified>
</cp:coreProperties>
</file>