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D70934AC-C075-4486-B0C4-CEC4D43B0A8E}" xr6:coauthVersionLast="47" xr6:coauthVersionMax="47" xr10:uidLastSave="{00000000-0000-0000-0000-000000000000}"/>
  <bookViews>
    <workbookView xWindow="-120" yWindow="-120" windowWidth="29040" windowHeight="15840" firstSheet="4"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FuelTechs!$B$8:$AA$63</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8" i="9" l="1"/>
  <c r="V28" i="9"/>
  <c r="T28" i="9"/>
  <c r="E28" i="9"/>
  <c r="L28" i="9" s="1"/>
  <c r="D28" i="9"/>
  <c r="U28" i="9" s="1"/>
  <c r="T35" i="9"/>
  <c r="E35" i="9"/>
  <c r="L35" i="9" s="1"/>
  <c r="D35" i="9"/>
  <c r="U35" i="9" s="1"/>
  <c r="Y30" i="9"/>
  <c r="V30" i="9"/>
  <c r="T30" i="9"/>
  <c r="E30" i="9"/>
  <c r="L30" i="9" s="1"/>
  <c r="D30" i="9"/>
  <c r="K30" i="9" s="1"/>
  <c r="S30" i="9" s="1"/>
  <c r="D64" i="9"/>
  <c r="U64" i="9" s="1"/>
  <c r="E64" i="9"/>
  <c r="L64" i="9" s="1"/>
  <c r="T64" i="9"/>
  <c r="D65" i="9"/>
  <c r="K65" i="9" s="1"/>
  <c r="S65" i="9" s="1"/>
  <c r="E65" i="9"/>
  <c r="L65" i="9" s="1"/>
  <c r="T65" i="9"/>
  <c r="D66" i="9"/>
  <c r="U66" i="9" s="1"/>
  <c r="E66" i="9"/>
  <c r="L66" i="9" s="1"/>
  <c r="T66" i="9"/>
  <c r="D67" i="9"/>
  <c r="K67" i="9" s="1"/>
  <c r="S67" i="9" s="1"/>
  <c r="E67" i="9"/>
  <c r="L67" i="9" s="1"/>
  <c r="T67" i="9"/>
  <c r="D68" i="9"/>
  <c r="K68" i="9" s="1"/>
  <c r="S68" i="9" s="1"/>
  <c r="E68" i="9"/>
  <c r="L68" i="9" s="1"/>
  <c r="T68" i="9"/>
  <c r="D69" i="9"/>
  <c r="K69" i="9" s="1"/>
  <c r="S69" i="9" s="1"/>
  <c r="E69" i="9"/>
  <c r="L69" i="9" s="1"/>
  <c r="T69" i="9"/>
  <c r="F83" i="5"/>
  <c r="K28" i="9" l="1"/>
  <c r="S28" i="9" s="1"/>
  <c r="K35" i="9"/>
  <c r="S35" i="9" s="1"/>
  <c r="K64" i="9"/>
  <c r="S64" i="9" s="1"/>
  <c r="U30" i="9"/>
  <c r="U69" i="9"/>
  <c r="U67" i="9"/>
  <c r="K66" i="9"/>
  <c r="S66" i="9" s="1"/>
  <c r="U65" i="9"/>
  <c r="U68" i="9"/>
  <c r="E21" i="9" l="1"/>
  <c r="L21" i="9" s="1"/>
  <c r="D21" i="9"/>
  <c r="U21" i="9" s="1"/>
  <c r="E20" i="9"/>
  <c r="L20" i="9" s="1"/>
  <c r="D20" i="9"/>
  <c r="U20" i="9" s="1"/>
  <c r="Y31" i="9"/>
  <c r="V31" i="9"/>
  <c r="E31" i="9"/>
  <c r="L31" i="9" s="1"/>
  <c r="D31" i="9"/>
  <c r="K31" i="9" s="1"/>
  <c r="S31" i="9" s="1"/>
  <c r="A27" i="3"/>
  <c r="A28" i="3" s="1"/>
  <c r="A29" i="3" s="1"/>
  <c r="Y29" i="9"/>
  <c r="V29" i="9"/>
  <c r="T29" i="9"/>
  <c r="E29" i="9"/>
  <c r="L29" i="9" s="1"/>
  <c r="D29" i="9"/>
  <c r="U29" i="9" s="1"/>
  <c r="F32" i="5"/>
  <c r="F30" i="5"/>
  <c r="K21" i="9" l="1"/>
  <c r="S21" i="9" s="1"/>
  <c r="K20" i="9"/>
  <c r="S20" i="9" s="1"/>
  <c r="U31" i="9"/>
  <c r="K29" i="9"/>
  <c r="S29"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8" i="9"/>
  <c r="E58" i="9"/>
  <c r="L58" i="9" s="1"/>
  <c r="D58" i="9"/>
  <c r="U58" i="9" s="1"/>
  <c r="T44" i="9"/>
  <c r="E44" i="9"/>
  <c r="L44" i="9" s="1"/>
  <c r="D44" i="9"/>
  <c r="U44" i="9" s="1"/>
  <c r="T53" i="9"/>
  <c r="E53" i="9"/>
  <c r="L53" i="9" s="1"/>
  <c r="D53" i="9"/>
  <c r="U53"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8" i="9"/>
  <c r="S58" i="9" s="1"/>
  <c r="K44" i="9"/>
  <c r="S44" i="9" s="1"/>
  <c r="K53" i="9"/>
  <c r="S53"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3" i="9"/>
  <c r="E63" i="9"/>
  <c r="L63" i="9" s="1"/>
  <c r="D63" i="9"/>
  <c r="U63" i="9" s="1"/>
  <c r="T62" i="9"/>
  <c r="E62" i="9"/>
  <c r="L62" i="9" s="1"/>
  <c r="D62" i="9"/>
  <c r="U62" i="9" s="1"/>
  <c r="T61" i="9"/>
  <c r="E61" i="9"/>
  <c r="L61" i="9" s="1"/>
  <c r="D61" i="9"/>
  <c r="T60" i="9"/>
  <c r="E60" i="9"/>
  <c r="L60" i="9" s="1"/>
  <c r="D60" i="9"/>
  <c r="U60" i="9" s="1"/>
  <c r="T59" i="9"/>
  <c r="E59" i="9"/>
  <c r="L59" i="9" s="1"/>
  <c r="D59" i="9"/>
  <c r="U59" i="9" s="1"/>
  <c r="T57" i="9"/>
  <c r="E57" i="9"/>
  <c r="L57" i="9" s="1"/>
  <c r="D57" i="9"/>
  <c r="U57" i="9" s="1"/>
  <c r="T56" i="9"/>
  <c r="E56" i="9"/>
  <c r="L56" i="9" s="1"/>
  <c r="D56" i="9"/>
  <c r="U56" i="9" s="1"/>
  <c r="T55" i="9"/>
  <c r="E55" i="9"/>
  <c r="L55" i="9" s="1"/>
  <c r="D55" i="9"/>
  <c r="U55" i="9" s="1"/>
  <c r="T54" i="9"/>
  <c r="E54" i="9"/>
  <c r="L54" i="9" s="1"/>
  <c r="D54" i="9"/>
  <c r="K54" i="9" s="1"/>
  <c r="S54" i="9" s="1"/>
  <c r="T52" i="9"/>
  <c r="E52" i="9"/>
  <c r="L52" i="9" s="1"/>
  <c r="D52" i="9"/>
  <c r="U52"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6" i="5"/>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2" i="9"/>
  <c r="S52" i="9" s="1"/>
  <c r="K17" i="9"/>
  <c r="S17" i="9" s="1"/>
  <c r="K50" i="9"/>
  <c r="S50" i="9" s="1"/>
  <c r="U10" i="9"/>
  <c r="K12" i="9"/>
  <c r="S12" i="9" s="1"/>
  <c r="U9" i="9"/>
  <c r="K43" i="9"/>
  <c r="S43" i="9" s="1"/>
  <c r="K32" i="9"/>
  <c r="S32" i="9" s="1"/>
  <c r="K63" i="9"/>
  <c r="S63" i="9" s="1"/>
  <c r="K24" i="9"/>
  <c r="S24" i="9" s="1"/>
  <c r="U41" i="9"/>
  <c r="K45" i="9"/>
  <c r="S45" i="9" s="1"/>
  <c r="U54" i="9"/>
  <c r="K57" i="9"/>
  <c r="S57" i="9" s="1"/>
  <c r="K60" i="9"/>
  <c r="S60" i="9" s="1"/>
  <c r="U27" i="9"/>
  <c r="K36" i="9"/>
  <c r="S36" i="9" s="1"/>
  <c r="K42" i="9"/>
  <c r="S42" i="9" s="1"/>
  <c r="K55" i="9"/>
  <c r="S55" i="9" s="1"/>
  <c r="U22" i="9"/>
  <c r="K62" i="9"/>
  <c r="S62" i="9" s="1"/>
  <c r="K59" i="9"/>
  <c r="S59"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1" i="9"/>
  <c r="K61" i="9"/>
  <c r="S61"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6" i="9"/>
  <c r="S56"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I21" i="5" l="1"/>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<sst xmlns="http://schemas.openxmlformats.org/spreadsheetml/2006/main" count="2642" uniqueCount="1105">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</sst>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45194.65333483796</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45194.65333483796</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144</v>
      </c>
      <c r="C5" s="28" t="s">
        <v>145</v>
      </c>
    </row>
    <row r="6" spans="1:4" x14ac:dyDescent="0.2">
      <c r="A6" s="28">
        <f t="shared" ref="A6:A47" si="0">A5+1</f>
        <v>2</v>
      </c>
      <c r="B6" s="28" t="s">
        <v>146</v>
      </c>
      <c r="C6" s="28" t="s">
        <v>147</v>
      </c>
    </row>
    <row r="7" spans="1:4" x14ac:dyDescent="0.2">
      <c r="A7" s="28">
        <f t="shared" si="0"/>
        <v>3</v>
      </c>
      <c r="B7" s="28" t="s">
        <v>148</v>
      </c>
      <c r="C7" s="28" t="s">
        <v>149</v>
      </c>
    </row>
    <row r="8" spans="1:4" x14ac:dyDescent="0.2">
      <c r="A8" s="28">
        <f t="shared" si="0"/>
        <v>4</v>
      </c>
      <c r="B8" s="28" t="s">
        <v>150</v>
      </c>
      <c r="C8" s="28" t="s">
        <v>151</v>
      </c>
    </row>
    <row r="9" spans="1:4" x14ac:dyDescent="0.2">
      <c r="A9" s="28">
        <f t="shared" si="0"/>
        <v>5</v>
      </c>
      <c r="B9" s="28" t="s">
        <v>152</v>
      </c>
      <c r="C9" s="28" t="s">
        <v>153</v>
      </c>
    </row>
    <row r="10" spans="1:4" x14ac:dyDescent="0.2">
      <c r="A10" s="28">
        <f t="shared" si="0"/>
        <v>6</v>
      </c>
      <c r="B10" s="28" t="s">
        <v>154</v>
      </c>
      <c r="C10" s="28" t="s">
        <v>155</v>
      </c>
    </row>
    <row r="11" spans="1:4" x14ac:dyDescent="0.2">
      <c r="A11" s="28">
        <f t="shared" si="0"/>
        <v>7</v>
      </c>
      <c r="B11" s="28" t="s">
        <v>156</v>
      </c>
      <c r="C11" s="28" t="s">
        <v>157</v>
      </c>
    </row>
    <row r="12" spans="1:4" x14ac:dyDescent="0.2">
      <c r="A12" s="28">
        <f t="shared" si="0"/>
        <v>8</v>
      </c>
      <c r="B12" s="28" t="s">
        <v>158</v>
      </c>
      <c r="C12" s="28" t="s">
        <v>159</v>
      </c>
    </row>
    <row r="13" spans="1:4" ht="15" x14ac:dyDescent="0.25">
      <c r="A13" s="28">
        <f t="shared" si="0"/>
        <v>9</v>
      </c>
      <c r="B13" t="s">
        <v>160</v>
      </c>
      <c r="C13" t="s">
        <v>161</v>
      </c>
    </row>
    <row r="14" spans="1:4" ht="15" x14ac:dyDescent="0.25">
      <c r="A14" s="28">
        <f t="shared" si="0"/>
        <v>10</v>
      </c>
      <c r="B14" t="s">
        <v>162</v>
      </c>
      <c r="C14" t="s">
        <v>163</v>
      </c>
    </row>
    <row r="15" spans="1:4" customFormat="1" ht="15" x14ac:dyDescent="0.25">
      <c r="A15">
        <f t="shared" si="0"/>
        <v>11</v>
      </c>
      <c r="B15" t="s">
        <v>164</v>
      </c>
      <c r="C15" t="s">
        <v>165</v>
      </c>
    </row>
    <row r="16" spans="1:4" customFormat="1" ht="15" x14ac:dyDescent="0.25">
      <c r="A16">
        <f t="shared" si="0"/>
        <v>12</v>
      </c>
      <c r="B16" t="s">
        <v>1104</v>
      </c>
      <c r="C16" t="s">
        <v>1100</v>
      </c>
    </row>
    <row r="17" spans="1:3" customFormat="1" ht="15" x14ac:dyDescent="0.25">
      <c r="A17">
        <f t="shared" si="0"/>
        <v>13</v>
      </c>
      <c r="B17" t="s">
        <v>166</v>
      </c>
      <c r="C17" t="s">
        <v>167</v>
      </c>
    </row>
    <row r="18" spans="1:3" customFormat="1" ht="15" x14ac:dyDescent="0.25">
      <c r="A18">
        <f t="shared" si="0"/>
        <v>14</v>
      </c>
      <c r="B18" t="s">
        <v>168</v>
      </c>
      <c r="C18" t="s">
        <v>169</v>
      </c>
    </row>
    <row r="19" spans="1:3" customFormat="1" ht="15" x14ac:dyDescent="0.25">
      <c r="A19">
        <f t="shared" si="0"/>
        <v>15</v>
      </c>
      <c r="B19" t="s">
        <v>170</v>
      </c>
      <c r="C19" t="s">
        <v>171</v>
      </c>
    </row>
    <row r="20" spans="1:3" customFormat="1" ht="15" x14ac:dyDescent="0.25">
      <c r="A20">
        <f t="shared" si="0"/>
        <v>16</v>
      </c>
      <c r="B20" t="s">
        <v>172</v>
      </c>
      <c r="C20" t="s">
        <v>173</v>
      </c>
    </row>
    <row r="21" spans="1:3" customFormat="1" ht="15" x14ac:dyDescent="0.25">
      <c r="A21">
        <f t="shared" si="0"/>
        <v>17</v>
      </c>
      <c r="B21" t="s">
        <v>174</v>
      </c>
      <c r="C21" t="s">
        <v>175</v>
      </c>
    </row>
    <row r="22" spans="1:3" x14ac:dyDescent="0.2">
      <c r="A22" s="28">
        <f t="shared" si="0"/>
        <v>18</v>
      </c>
      <c r="B22" s="28" t="s">
        <v>176</v>
      </c>
      <c r="C22" s="28" t="s">
        <v>177</v>
      </c>
    </row>
    <row r="23" spans="1:3" x14ac:dyDescent="0.2">
      <c r="A23" s="28">
        <f t="shared" si="0"/>
        <v>19</v>
      </c>
      <c r="B23" s="28" t="s">
        <v>178</v>
      </c>
      <c r="C23" s="28" t="s">
        <v>179</v>
      </c>
    </row>
    <row r="24" spans="1:3" x14ac:dyDescent="0.2">
      <c r="A24" s="28">
        <f t="shared" si="0"/>
        <v>20</v>
      </c>
      <c r="B24" s="28" t="s">
        <v>180</v>
      </c>
      <c r="C24" s="28" t="s">
        <v>181</v>
      </c>
    </row>
    <row r="25" spans="1:3" x14ac:dyDescent="0.2">
      <c r="A25" s="28">
        <f t="shared" si="0"/>
        <v>21</v>
      </c>
      <c r="B25" s="28" t="s">
        <v>182</v>
      </c>
      <c r="C25" s="28" t="s">
        <v>183</v>
      </c>
    </row>
    <row r="26" spans="1:3" x14ac:dyDescent="0.2">
      <c r="A26" s="28">
        <f t="shared" si="0"/>
        <v>22</v>
      </c>
      <c r="B26" s="28" t="s">
        <v>184</v>
      </c>
      <c r="C26" s="28" t="s">
        <v>185</v>
      </c>
    </row>
    <row r="27" spans="1:3" x14ac:dyDescent="0.2">
      <c r="A27" s="28">
        <f t="shared" si="0"/>
        <v>23</v>
      </c>
      <c r="B27" s="28" t="s">
        <v>186</v>
      </c>
      <c r="C27" s="28" t="s">
        <v>187</v>
      </c>
    </row>
    <row r="28" spans="1:3" x14ac:dyDescent="0.2">
      <c r="A28" s="28">
        <f t="shared" si="0"/>
        <v>24</v>
      </c>
      <c r="B28" s="28" t="s">
        <v>1103</v>
      </c>
      <c r="C28" s="28" t="s">
        <v>1102</v>
      </c>
    </row>
    <row r="29" spans="1:3" x14ac:dyDescent="0.2">
      <c r="A29" s="28">
        <f t="shared" si="0"/>
        <v>25</v>
      </c>
      <c r="B29" s="28" t="s">
        <v>188</v>
      </c>
      <c r="C29" s="28" t="s">
        <v>189</v>
      </c>
    </row>
    <row r="30" spans="1:3" x14ac:dyDescent="0.2">
      <c r="A30" s="28">
        <f t="shared" si="0"/>
        <v>26</v>
      </c>
      <c r="B30" s="28" t="s">
        <v>190</v>
      </c>
      <c r="C30" s="28" t="s">
        <v>191</v>
      </c>
    </row>
    <row r="31" spans="1:3" x14ac:dyDescent="0.2">
      <c r="A31" s="28">
        <f t="shared" si="0"/>
        <v>27</v>
      </c>
      <c r="B31" s="28" t="s">
        <v>192</v>
      </c>
      <c r="C31" s="28" t="s">
        <v>193</v>
      </c>
    </row>
    <row r="32" spans="1:3" x14ac:dyDescent="0.2">
      <c r="A32" s="28">
        <f t="shared" si="0"/>
        <v>28</v>
      </c>
      <c r="B32" s="28" t="s">
        <v>194</v>
      </c>
      <c r="C32" s="28" t="s">
        <v>195</v>
      </c>
    </row>
    <row r="33" spans="1:3" x14ac:dyDescent="0.2">
      <c r="A33" s="28">
        <f t="shared" si="0"/>
        <v>29</v>
      </c>
      <c r="B33" s="28" t="s">
        <v>196</v>
      </c>
      <c r="C33" s="28" t="s">
        <v>197</v>
      </c>
    </row>
    <row r="34" spans="1:3" s="33" customFormat="1" x14ac:dyDescent="0.2">
      <c r="A34" s="28">
        <f>A33+1</f>
        <v>30</v>
      </c>
      <c r="B34" s="33" t="s">
        <v>198</v>
      </c>
      <c r="C34" s="33" t="s">
        <v>199</v>
      </c>
    </row>
    <row r="35" spans="1:3" x14ac:dyDescent="0.2">
      <c r="A35" s="28">
        <f>A34+1</f>
        <v>31</v>
      </c>
      <c r="B35" s="28" t="s">
        <v>200</v>
      </c>
      <c r="C35" s="28" t="s">
        <v>201</v>
      </c>
    </row>
    <row r="36" spans="1:3" x14ac:dyDescent="0.2">
      <c r="A36" s="28">
        <f t="shared" si="0"/>
        <v>32</v>
      </c>
      <c r="B36" s="34" t="s">
        <v>202</v>
      </c>
      <c r="C36" s="28" t="s">
        <v>203</v>
      </c>
    </row>
    <row r="37" spans="1:3" x14ac:dyDescent="0.2">
      <c r="A37" s="28">
        <f t="shared" si="0"/>
        <v>33</v>
      </c>
      <c r="B37" s="28" t="s">
        <v>204</v>
      </c>
      <c r="C37" s="28" t="s">
        <v>205</v>
      </c>
    </row>
    <row r="38" spans="1:3" x14ac:dyDescent="0.2">
      <c r="A38" s="28">
        <f t="shared" si="0"/>
        <v>34</v>
      </c>
      <c r="B38" s="28" t="s">
        <v>206</v>
      </c>
      <c r="C38" s="28" t="s">
        <v>207</v>
      </c>
    </row>
    <row r="39" spans="1:3" x14ac:dyDescent="0.2">
      <c r="A39" s="28">
        <f t="shared" si="0"/>
        <v>35</v>
      </c>
      <c r="B39" s="28" t="s">
        <v>208</v>
      </c>
      <c r="C39" s="28" t="s">
        <v>209</v>
      </c>
    </row>
    <row r="40" spans="1:3" x14ac:dyDescent="0.2">
      <c r="A40" s="28">
        <f t="shared" si="0"/>
        <v>36</v>
      </c>
      <c r="B40" s="28" t="s">
        <v>210</v>
      </c>
      <c r="C40" s="28" t="s">
        <v>211</v>
      </c>
    </row>
    <row r="41" spans="1:3" x14ac:dyDescent="0.2">
      <c r="A41" s="28">
        <f t="shared" si="0"/>
        <v>37</v>
      </c>
      <c r="B41" s="28" t="s">
        <v>212</v>
      </c>
      <c r="C41" s="28" t="s">
        <v>213</v>
      </c>
    </row>
    <row r="42" spans="1:3" x14ac:dyDescent="0.2">
      <c r="A42" s="28">
        <f t="shared" si="0"/>
        <v>38</v>
      </c>
      <c r="B42" s="28" t="s">
        <v>214</v>
      </c>
      <c r="C42" s="28" t="s">
        <v>215</v>
      </c>
    </row>
    <row r="43" spans="1:3" x14ac:dyDescent="0.2">
      <c r="A43" s="28">
        <f t="shared" si="0"/>
        <v>39</v>
      </c>
      <c r="B43" s="28" t="s">
        <v>216</v>
      </c>
      <c r="C43" s="28" t="s">
        <v>217</v>
      </c>
    </row>
    <row r="44" spans="1:3" x14ac:dyDescent="0.2">
      <c r="A44" s="28">
        <f t="shared" si="0"/>
        <v>40</v>
      </c>
      <c r="B44" s="28" t="s">
        <v>218</v>
      </c>
      <c r="C44" s="28" t="s">
        <v>219</v>
      </c>
    </row>
    <row r="45" spans="1:3" x14ac:dyDescent="0.2">
      <c r="A45" s="28">
        <f t="shared" si="0"/>
        <v>41</v>
      </c>
      <c r="B45" s="28" t="s">
        <v>220</v>
      </c>
      <c r="C45" s="28" t="s">
        <v>221</v>
      </c>
    </row>
    <row r="46" spans="1:3" x14ac:dyDescent="0.2">
      <c r="A46" s="28">
        <f t="shared" si="0"/>
        <v>42</v>
      </c>
      <c r="B46" s="28" t="s">
        <v>222</v>
      </c>
      <c r="C46" s="28" t="s">
        <v>223</v>
      </c>
    </row>
    <row r="47" spans="1:3" x14ac:dyDescent="0.2">
      <c r="A47" s="28">
        <f t="shared" si="0"/>
        <v>43</v>
      </c>
      <c r="B47" s="28" t="s">
        <v>224</v>
      </c>
    </row>
    <row r="49" spans="2:4" x14ac:dyDescent="0.2">
      <c r="D49" s="30"/>
    </row>
    <row r="50" spans="2:4" ht="15" x14ac:dyDescent="0.25">
      <c r="B50" s="26" t="s">
        <v>225</v>
      </c>
      <c r="C50" s="26" t="s">
        <v>226</v>
      </c>
      <c r="D50" s="30"/>
    </row>
    <row r="51" spans="2:4" ht="15" x14ac:dyDescent="0.25">
      <c r="B51" t="s">
        <v>5</v>
      </c>
      <c r="C51" t="s">
        <v>0</v>
      </c>
      <c r="D51" s="30"/>
    </row>
    <row r="52" spans="2:4" ht="15" x14ac:dyDescent="0.25">
      <c r="B52" t="s">
        <v>6</v>
      </c>
      <c r="C52" t="s">
        <v>227</v>
      </c>
      <c r="D52" s="30"/>
    </row>
    <row r="53" spans="2:4" ht="15" x14ac:dyDescent="0.25">
      <c r="B53" t="s">
        <v>7</v>
      </c>
      <c r="C53" t="s">
        <v>1</v>
      </c>
      <c r="D53" s="30"/>
    </row>
    <row r="54" spans="2:4" ht="15" x14ac:dyDescent="0.25">
      <c r="B54" t="s">
        <v>10</v>
      </c>
      <c r="C54" t="s">
        <v>228</v>
      </c>
      <c r="D54" s="30"/>
    </row>
    <row r="55" spans="2:4" ht="15" x14ac:dyDescent="0.25">
      <c r="B55" t="s">
        <v>9</v>
      </c>
      <c r="C55" t="s">
        <v>3</v>
      </c>
      <c r="D55" s="30"/>
    </row>
    <row r="56" spans="2:4" ht="15" x14ac:dyDescent="0.25">
      <c r="B56" t="s">
        <v>8</v>
      </c>
      <c r="C56" t="s">
        <v>2</v>
      </c>
      <c r="D56" s="30"/>
    </row>
    <row r="57" spans="2:4" ht="15" x14ac:dyDescent="0.25">
      <c r="B57" t="s">
        <v>11</v>
      </c>
      <c r="C57" t="s">
        <v>229</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230</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1001</v>
      </c>
      <c r="C1" s="169"/>
      <c r="D1" s="169"/>
      <c r="E1" s="169"/>
    </row>
    <row r="2" spans="1:12" ht="12" thickTop="1" x14ac:dyDescent="0.2"/>
    <row r="3" spans="1:12" ht="15" x14ac:dyDescent="0.25">
      <c r="B3" s="383" t="s">
        <v>592</v>
      </c>
      <c r="C3" s="384"/>
      <c r="D3" s="384"/>
      <c r="E3" s="384"/>
      <c r="F3" s="384"/>
      <c r="G3" s="384"/>
      <c r="H3" s="172"/>
      <c r="I3" s="172"/>
    </row>
    <row r="4" spans="1:12" ht="15" x14ac:dyDescent="0.25">
      <c r="B4" s="385" t="s">
        <v>335</v>
      </c>
      <c r="C4" s="385" t="s">
        <v>334</v>
      </c>
      <c r="D4" s="385" t="s">
        <v>603</v>
      </c>
      <c r="E4" s="385" t="s">
        <v>604</v>
      </c>
      <c r="F4" s="385" t="s">
        <v>605</v>
      </c>
      <c r="G4" s="385" t="s">
        <v>606</v>
      </c>
      <c r="H4" s="172"/>
      <c r="I4" s="172"/>
    </row>
    <row r="5" spans="1:12" x14ac:dyDescent="0.2">
      <c r="A5" s="380" t="s">
        <v>355</v>
      </c>
      <c r="B5" s="291" t="s">
        <v>974</v>
      </c>
      <c r="C5" s="291"/>
      <c r="D5" s="291"/>
      <c r="E5" s="291"/>
      <c r="F5" s="291"/>
      <c r="H5" s="172"/>
    </row>
    <row r="6" spans="1:12" ht="15" x14ac:dyDescent="0.25">
      <c r="B6" s="380" t="s">
        <v>976</v>
      </c>
      <c r="C6" s="380" t="s">
        <v>975</v>
      </c>
      <c r="D6" t="s">
        <v>240</v>
      </c>
      <c r="E6" t="s">
        <v>967</v>
      </c>
      <c r="F6" s="172" t="s">
        <v>609</v>
      </c>
      <c r="G6" s="172" t="s">
        <v>991</v>
      </c>
      <c r="H6" s="172"/>
      <c r="K6" s="381"/>
      <c r="L6" s="381"/>
    </row>
    <row r="7" spans="1:12" ht="15" x14ac:dyDescent="0.25">
      <c r="A7" s="380" t="s">
        <v>355</v>
      </c>
      <c r="B7" s="291" t="s">
        <v>974</v>
      </c>
      <c r="C7" s="291"/>
      <c r="D7" t="str">
        <f>LEFT(L7,2)</f>
        <v/>
      </c>
      <c r="E7" t="str">
        <f>RIGHT(L7,2)</f>
        <v/>
      </c>
      <c r="F7" s="172"/>
      <c r="G7" s="172"/>
      <c r="H7" s="172"/>
      <c r="K7" s="291"/>
      <c r="L7" s="291"/>
    </row>
    <row r="8" spans="1:12" ht="15" x14ac:dyDescent="0.25">
      <c r="B8" s="380" t="s">
        <v>973</v>
      </c>
      <c r="C8" s="380" t="s">
        <v>972</v>
      </c>
      <c r="D8" t="str">
        <f>LEFT(L8,2)</f>
        <v/>
      </c>
      <c r="E8" t="s">
        <v>429</v>
      </c>
      <c r="F8" s="172" t="s">
        <v>358</v>
      </c>
      <c r="G8" s="172" t="s">
        <v>991</v>
      </c>
      <c r="H8" s="172"/>
      <c r="K8" s="381"/>
      <c r="L8" s="381"/>
    </row>
    <row r="9" spans="1:12" ht="15" x14ac:dyDescent="0.25">
      <c r="A9" s="380" t="s">
        <v>355</v>
      </c>
      <c r="B9" s="291" t="str">
        <f>SUP!A59</f>
        <v>* Indegenous Production of Primary Energy - Fossil</v>
      </c>
      <c r="C9" s="291"/>
      <c r="D9" t="str">
        <f>LEFT(L9,2)</f>
        <v/>
      </c>
      <c r="E9" t="str">
        <f>RIGHT(L9,2)</f>
        <v/>
      </c>
      <c r="F9" s="172"/>
      <c r="G9" s="172"/>
      <c r="H9" s="172"/>
      <c r="K9" s="291"/>
      <c r="L9" s="291"/>
    </row>
    <row r="10" spans="1:12" ht="15" x14ac:dyDescent="0.25">
      <c r="B10" s="380" t="s">
        <v>971</v>
      </c>
      <c r="C10" s="380" t="s">
        <v>970</v>
      </c>
      <c r="D10" t="s">
        <v>240</v>
      </c>
      <c r="E10" t="s">
        <v>429</v>
      </c>
      <c r="F10" s="172" t="s">
        <v>358</v>
      </c>
      <c r="G10" s="172" t="s">
        <v>991</v>
      </c>
      <c r="H10" s="172"/>
      <c r="K10" s="381"/>
      <c r="L10" s="381"/>
    </row>
    <row r="11" spans="1:12" ht="15" x14ac:dyDescent="0.25">
      <c r="B11" s="380" t="s">
        <v>969</v>
      </c>
      <c r="C11" s="380" t="s">
        <v>968</v>
      </c>
      <c r="D11" t="s">
        <v>240</v>
      </c>
      <c r="E11" t="s">
        <v>429</v>
      </c>
      <c r="F11" s="172" t="s">
        <v>358</v>
      </c>
      <c r="G11" s="172" t="s">
        <v>991</v>
      </c>
      <c r="H11" s="172"/>
      <c r="K11" s="381"/>
      <c r="L11" s="381"/>
    </row>
    <row r="12" spans="1:12" ht="15" x14ac:dyDescent="0.25">
      <c r="A12" s="380" t="str">
        <f>IF(LEFT(SUP!A60,2)="\I","*","")</f>
        <v/>
      </c>
      <c r="B12" s="380" t="str">
        <f>IF(A12="*","",SUP!B60)</f>
        <v>MINCOA</v>
      </c>
      <c r="C12" s="380" t="str">
        <f>IF(A12="*","",SUP!A60)</f>
        <v>Extraction of Coal</v>
      </c>
      <c r="D12" t="s">
        <v>240</v>
      </c>
      <c r="E12" t="s">
        <v>429</v>
      </c>
      <c r="F12" s="172" t="s">
        <v>358</v>
      </c>
      <c r="G12" s="172" t="s">
        <v>991</v>
      </c>
      <c r="H12" s="172"/>
      <c r="K12" s="381"/>
      <c r="L12" s="381"/>
    </row>
    <row r="13" spans="1:12" ht="15" x14ac:dyDescent="0.25">
      <c r="A13" s="380" t="str">
        <f>IF(LEFT(SUP!A61,2)="\I","*","")</f>
        <v/>
      </c>
      <c r="B13" s="380" t="str">
        <f>IF(A13="*","",SUP!B61)</f>
        <v>MINCLE</v>
      </c>
      <c r="C13" s="380" t="str">
        <f>IF(A13="*","",SUP!A61)</f>
        <v>Extraction of Coal low grade</v>
      </c>
      <c r="D13" t="s">
        <v>240</v>
      </c>
      <c r="E13" t="s">
        <v>429</v>
      </c>
      <c r="F13" s="172" t="s">
        <v>358</v>
      </c>
      <c r="G13" s="172" t="s">
        <v>991</v>
      </c>
      <c r="H13" s="172"/>
      <c r="K13" s="381"/>
      <c r="L13" s="381"/>
    </row>
    <row r="14" spans="1:12" ht="15" x14ac:dyDescent="0.25">
      <c r="A14" s="380" t="str">
        <f>IF(LEFT(SUP!A62,2)="\I","*","")</f>
        <v/>
      </c>
      <c r="B14" s="380" t="str">
        <f>IF(A14="*","",SUP!B62)</f>
        <v>MINCLD</v>
      </c>
      <c r="C14" s="380" t="str">
        <f>IF(A14="*","",SUP!A62)</f>
        <v>Extraction of Coal Discard</v>
      </c>
      <c r="D14" t="s">
        <v>240</v>
      </c>
      <c r="E14" t="s">
        <v>429</v>
      </c>
      <c r="F14" s="172" t="s">
        <v>358</v>
      </c>
      <c r="G14" s="172" t="s">
        <v>991</v>
      </c>
      <c r="H14" s="172"/>
      <c r="K14" s="381"/>
      <c r="L14" s="381"/>
    </row>
    <row r="15" spans="1:12" ht="15" x14ac:dyDescent="0.25">
      <c r="A15" s="380" t="str">
        <f>IF(LEFT(SUP!A63,2)="\I","*","")</f>
        <v/>
      </c>
      <c r="B15" s="380" t="str">
        <f>IF(A15="*","",SUP!B63)</f>
        <v>MINOCR</v>
      </c>
      <c r="C15" s="380" t="str">
        <f>IF(A15="*","",SUP!A63)</f>
        <v>Extraction of Oil Crude</v>
      </c>
      <c r="D15" t="s">
        <v>240</v>
      </c>
      <c r="E15" t="s">
        <v>429</v>
      </c>
      <c r="F15" s="172" t="s">
        <v>358</v>
      </c>
      <c r="G15" s="172" t="s">
        <v>991</v>
      </c>
      <c r="H15" s="172"/>
      <c r="K15" s="381"/>
      <c r="L15" s="381"/>
    </row>
    <row r="16" spans="1:12" ht="15" x14ac:dyDescent="0.25">
      <c r="A16" s="380" t="s">
        <v>253</v>
      </c>
      <c r="B16" s="380" t="str">
        <f>IF(A16="*","",SUP!B64)</f>
        <v>MINGIC</v>
      </c>
      <c r="C16" s="380" t="str">
        <f>IF(A16="*","",SUP!A64)</f>
        <v>Extraction of Coastal Gas</v>
      </c>
      <c r="D16" t="s">
        <v>240</v>
      </c>
      <c r="E16" t="s">
        <v>429</v>
      </c>
      <c r="F16" s="172" t="s">
        <v>358</v>
      </c>
      <c r="G16" s="172" t="s">
        <v>991</v>
      </c>
      <c r="H16" s="172"/>
      <c r="K16" s="381"/>
      <c r="L16" s="381"/>
    </row>
    <row r="17" spans="1:12" ht="15" x14ac:dyDescent="0.25">
      <c r="A17" s="380" t="s">
        <v>253</v>
      </c>
      <c r="B17" s="380" t="str">
        <f>IF(A17="*","",SUP!B65)</f>
        <v>MINGIB</v>
      </c>
      <c r="C17" s="380" t="str">
        <f>IF(A17="*","",SUP!A65)</f>
        <v>Extraction of Gas Indigenous Ibhubezi</v>
      </c>
      <c r="D17" t="s">
        <v>240</v>
      </c>
      <c r="E17" t="s">
        <v>429</v>
      </c>
      <c r="F17" s="172" t="s">
        <v>358</v>
      </c>
      <c r="G17" s="172" t="s">
        <v>991</v>
      </c>
      <c r="H17" s="172"/>
      <c r="K17" s="381"/>
      <c r="L17" s="381"/>
    </row>
    <row r="18" spans="1:12" ht="15" x14ac:dyDescent="0.25">
      <c r="A18" s="380" t="s">
        <v>253</v>
      </c>
      <c r="B18" s="380" t="str">
        <f>IF(A18="*","",SUP!B66)</f>
        <v>MINGAS</v>
      </c>
      <c r="C18" s="380" t="str">
        <f>IF(A18="*","",SUP!A66)</f>
        <v>Extraction of Gas Indigenous Coal Bed Methane</v>
      </c>
      <c r="D18" t="s">
        <v>240</v>
      </c>
      <c r="E18" t="s">
        <v>429</v>
      </c>
      <c r="F18" s="172" t="s">
        <v>358</v>
      </c>
      <c r="G18" s="172" t="s">
        <v>991</v>
      </c>
      <c r="H18" s="172"/>
      <c r="K18" s="381"/>
      <c r="L18" s="381"/>
    </row>
    <row r="19" spans="1:12" ht="15" x14ac:dyDescent="0.25">
      <c r="A19" s="380" t="s">
        <v>253</v>
      </c>
      <c r="B19" s="380" t="str">
        <f>IF(A19="*","",SUP!B67)</f>
        <v>MINGIH</v>
      </c>
      <c r="C19" s="380" t="str">
        <f>IF(A19="*","",SUP!A67)</f>
        <v>Extraction of Gas Indigenous Shale</v>
      </c>
      <c r="D19" t="s">
        <v>240</v>
      </c>
      <c r="E19" t="s">
        <v>429</v>
      </c>
      <c r="F19" s="172" t="s">
        <v>358</v>
      </c>
      <c r="G19" s="172" t="s">
        <v>991</v>
      </c>
      <c r="H19" s="172"/>
      <c r="K19" s="381"/>
      <c r="L19" s="381"/>
    </row>
    <row r="20" spans="1:12" ht="15" x14ac:dyDescent="0.25">
      <c r="A20" s="380" t="s">
        <v>355</v>
      </c>
      <c r="B20" s="380" t="str">
        <f>IF(A20="*","",SUP!B68)</f>
        <v/>
      </c>
      <c r="C20" s="380" t="str">
        <f>IF(A20="*","",SUP!A68)</f>
        <v/>
      </c>
      <c r="D20"/>
      <c r="E20"/>
      <c r="F20" s="172"/>
      <c r="G20" s="172"/>
      <c r="H20" s="172"/>
      <c r="K20" s="381"/>
      <c r="L20" s="381"/>
    </row>
    <row r="21" spans="1:12" ht="15" x14ac:dyDescent="0.25">
      <c r="A21" s="380" t="s">
        <v>253</v>
      </c>
      <c r="B21" s="380" t="str">
        <f>IF(A21="*","",SUP!B69)</f>
        <v>MINBIG</v>
      </c>
      <c r="C21" s="380" t="str">
        <f>IF(A21="*","",SUP!A69)</f>
        <v>Extraction of Biogas</v>
      </c>
      <c r="D21" t="s">
        <v>240</v>
      </c>
      <c r="E21" t="s">
        <v>429</v>
      </c>
      <c r="F21" s="172" t="s">
        <v>358</v>
      </c>
      <c r="G21" s="172" t="s">
        <v>991</v>
      </c>
      <c r="H21" s="172"/>
      <c r="K21" s="381"/>
      <c r="L21" s="381"/>
    </row>
    <row r="22" spans="1:12" ht="15" x14ac:dyDescent="0.25">
      <c r="A22" s="380" t="s">
        <v>253</v>
      </c>
      <c r="B22" s="380" t="str">
        <f>IF(A22="*","",SUP!B70)</f>
        <v>MINBIB</v>
      </c>
      <c r="C22" s="380" t="str">
        <f>IF(A22="*","",SUP!A70)</f>
        <v>Extraction of Biomass bagasse</v>
      </c>
      <c r="D22" t="s">
        <v>240</v>
      </c>
      <c r="E22" t="s">
        <v>429</v>
      </c>
      <c r="F22" s="172" t="s">
        <v>358</v>
      </c>
      <c r="G22" s="172" t="s">
        <v>991</v>
      </c>
      <c r="H22" s="172"/>
      <c r="K22" s="381"/>
      <c r="L22" s="381"/>
    </row>
    <row r="23" spans="1:12" ht="15" x14ac:dyDescent="0.25">
      <c r="A23" s="380" t="s">
        <v>253</v>
      </c>
      <c r="B23" s="380" t="str">
        <f>IF(A23="*","",SUP!B71)</f>
        <v>MINBIO</v>
      </c>
      <c r="C23" s="380" t="str">
        <f>IF(A23="*","",SUP!A71)</f>
        <v>Extraction of Biomass Other</v>
      </c>
      <c r="D23" t="s">
        <v>240</v>
      </c>
      <c r="E23" t="s">
        <v>429</v>
      </c>
      <c r="F23" s="172" t="s">
        <v>358</v>
      </c>
      <c r="G23" s="172" t="s">
        <v>991</v>
      </c>
      <c r="H23" s="172"/>
      <c r="K23" s="381"/>
      <c r="L23" s="381"/>
    </row>
    <row r="24" spans="1:12" ht="15" x14ac:dyDescent="0.25">
      <c r="A24" s="380" t="s">
        <v>253</v>
      </c>
      <c r="B24" s="380" t="str">
        <f>IF(A24="*","",SUP!B72)</f>
        <v>MINBIW</v>
      </c>
      <c r="C24" s="380" t="str">
        <f>IF(A24="*","",SUP!A72)</f>
        <v>Extraction of Biomass Wood</v>
      </c>
      <c r="D24" t="s">
        <v>240</v>
      </c>
      <c r="E24" t="s">
        <v>429</v>
      </c>
      <c r="F24" s="172" t="s">
        <v>358</v>
      </c>
      <c r="G24" s="172" t="s">
        <v>991</v>
      </c>
      <c r="H24" s="172"/>
      <c r="K24" s="381"/>
      <c r="L24" s="381"/>
    </row>
    <row r="25" spans="1:12" ht="15" x14ac:dyDescent="0.25">
      <c r="A25" s="380" t="s">
        <v>253</v>
      </c>
      <c r="B25" s="380" t="str">
        <f>IF(A25="*","",SUP!B73)</f>
        <v>MINWAS</v>
      </c>
      <c r="C25" s="380" t="str">
        <f>IF(A25="*","",SUP!A73)</f>
        <v>Extraction of Waste</v>
      </c>
      <c r="D25" t="s">
        <v>240</v>
      </c>
      <c r="E25" t="s">
        <v>429</v>
      </c>
      <c r="F25" s="172" t="s">
        <v>358</v>
      </c>
      <c r="G25" s="172" t="s">
        <v>991</v>
      </c>
      <c r="H25" s="172"/>
      <c r="K25" s="381"/>
      <c r="L25" s="381"/>
    </row>
    <row r="26" spans="1:12" ht="15" x14ac:dyDescent="0.25">
      <c r="A26" s="380" t="s">
        <v>253</v>
      </c>
      <c r="B26" s="380" t="str">
        <f>IF(A26="*","",SUP!B74)</f>
        <v>MINHYD</v>
      </c>
      <c r="C26" s="380" t="str">
        <f>IF(A26="*","",SUP!A74)</f>
        <v>Extraction of Hydro</v>
      </c>
      <c r="D26" t="s">
        <v>240</v>
      </c>
      <c r="E26" t="s">
        <v>429</v>
      </c>
      <c r="F26" s="172" t="s">
        <v>358</v>
      </c>
      <c r="G26" s="172" t="s">
        <v>991</v>
      </c>
      <c r="H26" s="172"/>
      <c r="K26" s="381"/>
      <c r="L26" s="381"/>
    </row>
    <row r="27" spans="1:12" ht="15" x14ac:dyDescent="0.25">
      <c r="A27" s="380" t="s">
        <v>253</v>
      </c>
      <c r="B27" s="380" t="str">
        <f>IF(A27="*","",SUP!B75)</f>
        <v>MINSOL</v>
      </c>
      <c r="C27" s="380" t="str">
        <f>IF(A27="*","",SUP!A75)</f>
        <v>Extraction of Solar</v>
      </c>
      <c r="D27" t="s">
        <v>240</v>
      </c>
      <c r="E27" t="s">
        <v>429</v>
      </c>
      <c r="F27" s="172" t="s">
        <v>358</v>
      </c>
      <c r="G27" s="172" t="s">
        <v>991</v>
      </c>
      <c r="H27" s="172"/>
      <c r="K27" s="381"/>
      <c r="L27" s="381"/>
    </row>
    <row r="28" spans="1:12" ht="15" x14ac:dyDescent="0.25">
      <c r="A28" s="380" t="s">
        <v>253</v>
      </c>
      <c r="B28" s="380" t="str">
        <f>IF(A28="*","",SUP!B76)</f>
        <v>MINWND</v>
      </c>
      <c r="C28" s="380" t="str">
        <f>IF(A28="*","",SUP!A76)</f>
        <v>Extraction of Wind</v>
      </c>
      <c r="D28" t="s">
        <v>240</v>
      </c>
      <c r="E28" t="s">
        <v>429</v>
      </c>
      <c r="F28" s="172" t="s">
        <v>358</v>
      </c>
      <c r="G28" s="172" t="s">
        <v>991</v>
      </c>
      <c r="H28" s="172"/>
      <c r="K28" s="381"/>
      <c r="L28" s="381"/>
    </row>
    <row r="29" spans="1:12" ht="15" x14ac:dyDescent="0.25">
      <c r="A29" s="380" t="s">
        <v>355</v>
      </c>
      <c r="B29" s="291" t="s">
        <v>1036</v>
      </c>
      <c r="C29" s="380" t="str">
        <f>IF(A29="*","",SUP!A77)</f>
        <v/>
      </c>
      <c r="D29"/>
      <c r="E29"/>
      <c r="F29" s="172"/>
      <c r="G29" s="172"/>
      <c r="H29" s="172"/>
      <c r="K29" s="381"/>
      <c r="L29" s="381"/>
    </row>
    <row r="30" spans="1:12" ht="15" x14ac:dyDescent="0.25">
      <c r="A30" s="380" t="s">
        <v>253</v>
      </c>
      <c r="B30" s="380" t="str">
        <f>IF(A30="*","",SUP!B78)</f>
        <v>IMPCOK</v>
      </c>
      <c r="C30" s="380" t="str">
        <f>IF(A30="*","",SUP!A78)</f>
        <v>Imports of Coal Coking</v>
      </c>
      <c r="D30" t="s">
        <v>240</v>
      </c>
      <c r="E30" t="s">
        <v>429</v>
      </c>
      <c r="F30" s="172" t="s">
        <v>358</v>
      </c>
      <c r="G30" s="172" t="s">
        <v>317</v>
      </c>
      <c r="H30" s="172"/>
      <c r="K30" s="381"/>
      <c r="L30" s="381"/>
    </row>
    <row r="31" spans="1:12" ht="15" x14ac:dyDescent="0.25">
      <c r="A31" s="380" t="s">
        <v>253</v>
      </c>
      <c r="B31" s="380" t="str">
        <f>IF(A31="*","",SUP!B80)</f>
        <v>IMPGRL</v>
      </c>
      <c r="C31" s="380" t="str">
        <f>IF(A31="*","",SUP!A80)</f>
        <v>Imports of Gas Regional LNG</v>
      </c>
      <c r="D31" t="s">
        <v>240</v>
      </c>
      <c r="E31" t="s">
        <v>429</v>
      </c>
      <c r="F31" s="172" t="s">
        <v>358</v>
      </c>
      <c r="G31" s="172" t="s">
        <v>317</v>
      </c>
      <c r="H31" s="172"/>
      <c r="K31" s="381"/>
      <c r="L31" s="381"/>
    </row>
    <row r="32" spans="1:12" ht="15" x14ac:dyDescent="0.25">
      <c r="A32" s="380" t="s">
        <v>253</v>
      </c>
      <c r="B32" s="380" t="str">
        <f>IF(A32="*","",SUP!B81)</f>
        <v>IMPGWL</v>
      </c>
      <c r="C32" s="380" t="str">
        <f>IF(A32="*","",SUP!A81)</f>
        <v>Imports of Gas International LNG</v>
      </c>
      <c r="D32" t="s">
        <v>240</v>
      </c>
      <c r="E32" t="s">
        <v>429</v>
      </c>
      <c r="F32" s="172" t="s">
        <v>358</v>
      </c>
      <c r="G32" s="172" t="s">
        <v>317</v>
      </c>
      <c r="H32" s="172"/>
      <c r="K32" s="381"/>
      <c r="L32" s="381"/>
    </row>
    <row r="33" spans="1:12" ht="15" x14ac:dyDescent="0.25">
      <c r="A33" s="380" t="s">
        <v>253</v>
      </c>
      <c r="B33" s="380" t="str">
        <f>IF(A33="*","",SUP!B83)</f>
        <v>IMPNUC</v>
      </c>
      <c r="C33" s="380" t="str">
        <f>IF(A33="*","",SUP!A83)</f>
        <v>Imports of Nuclear</v>
      </c>
      <c r="D33" t="s">
        <v>240</v>
      </c>
      <c r="E33" t="s">
        <v>429</v>
      </c>
      <c r="F33" s="172" t="s">
        <v>358</v>
      </c>
      <c r="G33" s="172" t="s">
        <v>317</v>
      </c>
      <c r="H33" s="172"/>
      <c r="K33" s="381"/>
      <c r="L33" s="381"/>
    </row>
    <row r="34" spans="1:12" ht="15" x14ac:dyDescent="0.25">
      <c r="A34" s="380" t="s">
        <v>253</v>
      </c>
      <c r="B34" s="380" t="str">
        <f>IF(A34="*","",SUP!B84)</f>
        <v>IMPOAG</v>
      </c>
      <c r="C34" s="380" t="str">
        <f>IF(A34="*","",SUP!A84)</f>
        <v>Imports of Oil Av Gasoline</v>
      </c>
      <c r="D34" t="s">
        <v>240</v>
      </c>
      <c r="E34" t="s">
        <v>429</v>
      </c>
      <c r="F34" s="172" t="s">
        <v>358</v>
      </c>
      <c r="G34" s="172" t="s">
        <v>317</v>
      </c>
      <c r="H34" s="172"/>
      <c r="K34" s="381"/>
      <c r="L34" s="381"/>
    </row>
    <row r="35" spans="1:12" ht="15" x14ac:dyDescent="0.25">
      <c r="A35" s="380" t="s">
        <v>253</v>
      </c>
      <c r="B35" s="380" t="str">
        <f>IF(A35="*","",SUP!B85)</f>
        <v>IMPOCR</v>
      </c>
      <c r="C35" s="380" t="str">
        <f>IF(A35="*","",SUP!A85)</f>
        <v>Imports of Oil Crude</v>
      </c>
      <c r="D35" t="s">
        <v>240</v>
      </c>
      <c r="E35" t="s">
        <v>429</v>
      </c>
      <c r="F35" s="172" t="s">
        <v>358</v>
      </c>
      <c r="G35" s="172" t="s">
        <v>317</v>
      </c>
      <c r="H35" s="172"/>
      <c r="K35" s="381"/>
      <c r="L35" s="381"/>
    </row>
    <row r="36" spans="1:12" ht="15" x14ac:dyDescent="0.25">
      <c r="A36" s="380" t="s">
        <v>253</v>
      </c>
      <c r="B36" s="380" t="str">
        <f>IF(A36="*","",SUP!B86)</f>
        <v>IMPODS</v>
      </c>
      <c r="C36" s="380" t="str">
        <f>IF(A36="*","",SUP!A86)</f>
        <v>Imports of Oil Diesel</v>
      </c>
      <c r="D36" t="s">
        <v>240</v>
      </c>
      <c r="E36" t="s">
        <v>429</v>
      </c>
      <c r="F36" s="172" t="s">
        <v>358</v>
      </c>
      <c r="G36" s="172" t="s">
        <v>317</v>
      </c>
      <c r="H36" s="172"/>
      <c r="K36" s="381"/>
      <c r="L36" s="381"/>
    </row>
    <row r="37" spans="1:12" ht="15" x14ac:dyDescent="0.25">
      <c r="A37" s="380" t="s">
        <v>253</v>
      </c>
      <c r="B37" s="380" t="str">
        <f>IF(A37="*","",SUP!B87)</f>
        <v>IMPOGS</v>
      </c>
      <c r="C37" s="380" t="str">
        <f>IF(A37="*","",SUP!A87)</f>
        <v>Imports of Oil Gasoline</v>
      </c>
      <c r="D37" t="s">
        <v>240</v>
      </c>
      <c r="E37" t="s">
        <v>429</v>
      </c>
      <c r="F37" s="172" t="s">
        <v>358</v>
      </c>
      <c r="G37" s="172" t="s">
        <v>317</v>
      </c>
      <c r="H37" s="172"/>
      <c r="K37" s="381"/>
      <c r="L37" s="381"/>
    </row>
    <row r="38" spans="1:12" ht="15" x14ac:dyDescent="0.25">
      <c r="A38" s="380" t="s">
        <v>253</v>
      </c>
      <c r="B38" s="380" t="str">
        <f>IF(A38="*","",SUP!B88)</f>
        <v>IMPOHF</v>
      </c>
      <c r="C38" s="380" t="str">
        <f>IF(A38="*","",SUP!A88)</f>
        <v>Imports of Oil HFO</v>
      </c>
      <c r="D38" t="s">
        <v>240</v>
      </c>
      <c r="E38" t="s">
        <v>429</v>
      </c>
      <c r="F38" s="172" t="s">
        <v>358</v>
      </c>
      <c r="G38" s="172" t="s">
        <v>317</v>
      </c>
      <c r="H38" s="172"/>
      <c r="K38" s="381"/>
      <c r="L38" s="381"/>
    </row>
    <row r="39" spans="1:12" ht="15" x14ac:dyDescent="0.25">
      <c r="A39" s="380" t="s">
        <v>253</v>
      </c>
      <c r="B39" s="380" t="str">
        <f>IF(A39="*","",SUP!B89)</f>
        <v>IMPOLP</v>
      </c>
      <c r="C39" s="380" t="str">
        <f>IF(A39="*","",SUP!A89)</f>
        <v>Imports of Oil LPG</v>
      </c>
      <c r="D39" t="s">
        <v>240</v>
      </c>
      <c r="E39" t="s">
        <v>429</v>
      </c>
      <c r="F39" s="172" t="s">
        <v>358</v>
      </c>
      <c r="G39" s="172" t="s">
        <v>317</v>
      </c>
      <c r="H39" s="172"/>
      <c r="K39" s="381"/>
      <c r="L39" s="381"/>
    </row>
    <row r="40" spans="1:12" ht="15" x14ac:dyDescent="0.25">
      <c r="A40" s="380" t="s">
        <v>253</v>
      </c>
      <c r="B40" s="380" t="str">
        <f>IF(A40="*","",SUP!B90)</f>
        <v>IMPOKE</v>
      </c>
      <c r="C40" s="380" t="str">
        <f>IF(A40="*","",SUP!A90)</f>
        <v>Imports of Oil Kerosene</v>
      </c>
      <c r="D40" t="s">
        <v>240</v>
      </c>
      <c r="E40" t="s">
        <v>429</v>
      </c>
      <c r="F40" s="172" t="s">
        <v>358</v>
      </c>
      <c r="G40" s="172" t="s">
        <v>317</v>
      </c>
      <c r="H40" s="172"/>
      <c r="K40" s="381"/>
      <c r="L40" s="381"/>
    </row>
    <row r="41" spans="1:12" ht="15" x14ac:dyDescent="0.25">
      <c r="A41" s="380" t="s">
        <v>253</v>
      </c>
      <c r="B41" s="380" t="str">
        <f>IF(A41="*","",SUP!B91)</f>
        <v>IMPBID</v>
      </c>
      <c r="C41" s="380" t="str">
        <f>IF(A41="*","",SUP!A91)</f>
        <v>Imports of Biodiesel</v>
      </c>
      <c r="D41" t="s">
        <v>240</v>
      </c>
      <c r="E41" t="s">
        <v>429</v>
      </c>
      <c r="F41" s="172" t="s">
        <v>358</v>
      </c>
      <c r="G41" s="172" t="s">
        <v>317</v>
      </c>
      <c r="H41" s="172"/>
      <c r="K41" s="381"/>
      <c r="L41" s="381"/>
    </row>
    <row r="42" spans="1:12" ht="15" x14ac:dyDescent="0.25">
      <c r="A42" s="380" t="s">
        <v>253</v>
      </c>
      <c r="B42" s="380" t="str">
        <f>IF(A42="*","",SUP!B92)</f>
        <v>IMPBIE</v>
      </c>
      <c r="C42" s="380" t="str">
        <f>IF(A42="*","",SUP!A92)</f>
        <v>Imports of Bioethanol</v>
      </c>
      <c r="D42" t="s">
        <v>240</v>
      </c>
      <c r="E42" t="s">
        <v>429</v>
      </c>
      <c r="F42" s="172" t="s">
        <v>358</v>
      </c>
      <c r="G42" s="172" t="s">
        <v>317</v>
      </c>
      <c r="H42" s="172"/>
      <c r="K42" s="381"/>
      <c r="L42" s="381"/>
    </row>
    <row r="43" spans="1:12" ht="15" x14ac:dyDescent="0.25">
      <c r="A43" s="380" t="s">
        <v>355</v>
      </c>
      <c r="B43" s="380" t="str">
        <f>IF(A43="*","",SUP!B93)</f>
        <v/>
      </c>
      <c r="C43" s="380" t="str">
        <f>IF(A43="*","",SUP!A93)</f>
        <v/>
      </c>
      <c r="D43"/>
      <c r="E43"/>
      <c r="F43" s="172"/>
      <c r="G43" s="172"/>
      <c r="H43" s="172"/>
      <c r="K43" s="381"/>
      <c r="L43" s="381"/>
    </row>
    <row r="44" spans="1:12" ht="15" x14ac:dyDescent="0.25">
      <c r="A44" s="380" t="s">
        <v>253</v>
      </c>
      <c r="B44" s="380" t="str">
        <f>IF(A44="*","",SUP!B94)</f>
        <v>MIRGRS</v>
      </c>
      <c r="C44" s="380" t="str">
        <f>IF(A44="*","",SUP!A94)</f>
        <v>Extraction of Gas Southern Mozambique</v>
      </c>
      <c r="D44" t="s">
        <v>240</v>
      </c>
      <c r="E44" t="s">
        <v>429</v>
      </c>
      <c r="F44" s="172" t="s">
        <v>358</v>
      </c>
      <c r="G44" s="172" t="s">
        <v>991</v>
      </c>
      <c r="H44" s="172"/>
      <c r="K44" s="381"/>
      <c r="L44" s="381"/>
    </row>
    <row r="45" spans="1:12" ht="15" x14ac:dyDescent="0.25">
      <c r="A45" s="380" t="s">
        <v>253</v>
      </c>
      <c r="B45" s="380" t="str">
        <f>IF(A45="*","",SUP!B95)</f>
        <v>MIRGRM</v>
      </c>
      <c r="C45" s="380" t="str">
        <f>IF(A45="*","",SUP!A95)</f>
        <v>Extraction of Gas Northern Mozambique</v>
      </c>
      <c r="D45" t="s">
        <v>240</v>
      </c>
      <c r="E45" t="s">
        <v>429</v>
      </c>
      <c r="F45" s="172" t="s">
        <v>358</v>
      </c>
      <c r="G45" s="172" t="s">
        <v>991</v>
      </c>
      <c r="H45" s="172"/>
      <c r="K45" s="381"/>
      <c r="L45" s="381"/>
    </row>
    <row r="46" spans="1:12" ht="15" x14ac:dyDescent="0.25">
      <c r="A46" s="380" t="s">
        <v>355</v>
      </c>
      <c r="B46" s="291" t="s">
        <v>1037</v>
      </c>
      <c r="C46" s="380" t="str">
        <f>IF(A46="*","",SUP!A96)</f>
        <v/>
      </c>
      <c r="D46"/>
      <c r="E46"/>
      <c r="F46" s="172"/>
      <c r="G46" s="172"/>
      <c r="H46" s="172"/>
      <c r="K46" s="381"/>
      <c r="L46" s="381"/>
    </row>
    <row r="47" spans="1:12" ht="15" x14ac:dyDescent="0.25">
      <c r="A47" s="380" t="s">
        <v>253</v>
      </c>
      <c r="B47" s="380" t="str">
        <f>IF(A47="*","",SUP!B97)</f>
        <v>PEXCOA</v>
      </c>
      <c r="C47" s="380" t="str">
        <f>IF(A47="*","",SUP!A97)</f>
        <v>Exports of Coal</v>
      </c>
      <c r="D47" t="s">
        <v>240</v>
      </c>
      <c r="E47" t="s">
        <v>429</v>
      </c>
      <c r="F47" s="172" t="s">
        <v>358</v>
      </c>
      <c r="G47" s="172" t="s">
        <v>319</v>
      </c>
      <c r="H47" s="172"/>
      <c r="K47" s="381"/>
      <c r="L47" s="381"/>
    </row>
    <row r="48" spans="1:12" ht="15" x14ac:dyDescent="0.25">
      <c r="A48" s="380" t="s">
        <v>253</v>
      </c>
      <c r="B48" s="380" t="str">
        <f>IF(A48="*","",SUP!B98)</f>
        <v>PEXCOK</v>
      </c>
      <c r="C48" s="380" t="str">
        <f>IF(A48="*","",SUP!A98)</f>
        <v>Exports of Coal Coking</v>
      </c>
      <c r="D48" t="s">
        <v>240</v>
      </c>
      <c r="E48" t="s">
        <v>429</v>
      </c>
      <c r="F48" s="172" t="s">
        <v>358</v>
      </c>
      <c r="G48" s="172" t="s">
        <v>319</v>
      </c>
      <c r="H48" s="172"/>
      <c r="K48" s="381"/>
      <c r="L48" s="381"/>
    </row>
    <row r="49" spans="1:12" ht="15" x14ac:dyDescent="0.25">
      <c r="A49" s="380" t="s">
        <v>253</v>
      </c>
      <c r="B49" s="380" t="str">
        <f>IF(A49="*","",SUP!B99)</f>
        <v>PEXOAG</v>
      </c>
      <c r="C49" s="380" t="str">
        <f>IF(A49="*","",SUP!A99)</f>
        <v>Exports of Oil Av Gasoline</v>
      </c>
      <c r="D49" t="s">
        <v>240</v>
      </c>
      <c r="E49" t="s">
        <v>429</v>
      </c>
      <c r="F49" s="172" t="s">
        <v>358</v>
      </c>
      <c r="G49" s="172" t="s">
        <v>319</v>
      </c>
      <c r="H49" s="172"/>
      <c r="K49" s="381"/>
      <c r="L49" s="381"/>
    </row>
    <row r="50" spans="1:12" ht="15" x14ac:dyDescent="0.25">
      <c r="A50" s="380" t="s">
        <v>253</v>
      </c>
      <c r="B50" s="380" t="str">
        <f>IF(A50="*","",SUP!B100)</f>
        <v>PEXOCR</v>
      </c>
      <c r="C50" s="380" t="str">
        <f>IF(A50="*","",SUP!A100)</f>
        <v>Exports of Oil Crude</v>
      </c>
      <c r="D50" t="s">
        <v>240</v>
      </c>
      <c r="E50" t="s">
        <v>429</v>
      </c>
      <c r="F50" s="172" t="s">
        <v>358</v>
      </c>
      <c r="G50" s="172" t="s">
        <v>319</v>
      </c>
      <c r="H50" s="172"/>
      <c r="K50" s="381"/>
      <c r="L50" s="381"/>
    </row>
    <row r="51" spans="1:12" ht="15" x14ac:dyDescent="0.25">
      <c r="A51" s="380" t="s">
        <v>253</v>
      </c>
      <c r="B51" s="380" t="str">
        <f>IF(A51="*","",SUP!B101)</f>
        <v>PEXODS</v>
      </c>
      <c r="C51" s="380" t="str">
        <f>IF(A51="*","",SUP!A101)</f>
        <v>Exports of Oil Diesel</v>
      </c>
      <c r="D51" t="s">
        <v>240</v>
      </c>
      <c r="E51" t="s">
        <v>429</v>
      </c>
      <c r="F51" s="172" t="s">
        <v>358</v>
      </c>
      <c r="G51" s="172" t="s">
        <v>319</v>
      </c>
      <c r="H51" s="172"/>
      <c r="K51" s="381"/>
      <c r="L51" s="381"/>
    </row>
    <row r="52" spans="1:12" ht="15" x14ac:dyDescent="0.25">
      <c r="A52" s="380" t="s">
        <v>253</v>
      </c>
      <c r="B52" s="380" t="str">
        <f>IF(A52="*","",SUP!B102)</f>
        <v>PEXOGS</v>
      </c>
      <c r="C52" s="380" t="str">
        <f>IF(A52="*","",SUP!A102)</f>
        <v>Exports of Oil Gasoline</v>
      </c>
      <c r="D52" t="s">
        <v>240</v>
      </c>
      <c r="E52" t="s">
        <v>429</v>
      </c>
      <c r="F52" s="172" t="s">
        <v>358</v>
      </c>
      <c r="G52" s="172" t="s">
        <v>319</v>
      </c>
      <c r="H52" s="172"/>
      <c r="K52" s="381"/>
      <c r="L52" s="381"/>
    </row>
    <row r="53" spans="1:12" ht="15" x14ac:dyDescent="0.25">
      <c r="A53" s="380" t="s">
        <v>253</v>
      </c>
      <c r="B53" s="380" t="str">
        <f>IF(A53="*","",SUP!B103)</f>
        <v>PEXOHF</v>
      </c>
      <c r="C53" s="380" t="str">
        <f>IF(A53="*","",SUP!A103)</f>
        <v>Exports of Oil HFO</v>
      </c>
      <c r="D53" t="s">
        <v>240</v>
      </c>
      <c r="E53" t="s">
        <v>429</v>
      </c>
      <c r="F53" s="172" t="s">
        <v>358</v>
      </c>
      <c r="G53" s="172" t="s">
        <v>319</v>
      </c>
      <c r="H53" s="172"/>
      <c r="K53" s="381"/>
      <c r="L53" s="381"/>
    </row>
    <row r="54" spans="1:12" ht="15" x14ac:dyDescent="0.25">
      <c r="A54" s="380" t="s">
        <v>253</v>
      </c>
      <c r="B54" s="380" t="str">
        <f>IF(A54="*","",SUP!B104)</f>
        <v>PEXOKE</v>
      </c>
      <c r="C54" s="380" t="str">
        <f>IF(A54="*","",SUP!A104)</f>
        <v>Exports of Oil Kerosene</v>
      </c>
      <c r="D54" t="s">
        <v>240</v>
      </c>
      <c r="E54" t="s">
        <v>429</v>
      </c>
      <c r="F54" s="172" t="s">
        <v>358</v>
      </c>
      <c r="G54" s="172" t="s">
        <v>319</v>
      </c>
      <c r="H54" s="172"/>
      <c r="K54" s="381"/>
      <c r="L54" s="381"/>
    </row>
    <row r="55" spans="1:12" x14ac:dyDescent="0.2">
      <c r="A55" s="380" t="s">
        <v>355</v>
      </c>
      <c r="B55" s="291" t="s">
        <v>1038</v>
      </c>
      <c r="D55" s="381"/>
      <c r="E55" s="381"/>
    </row>
    <row r="56" spans="1:12" ht="15" x14ac:dyDescent="0.25">
      <c r="B56" s="380" t="s">
        <v>1030</v>
      </c>
      <c r="C56" s="380" t="s">
        <v>1029</v>
      </c>
      <c r="D56" t="s">
        <v>240</v>
      </c>
      <c r="E56" t="s">
        <v>429</v>
      </c>
      <c r="F56" s="172" t="s">
        <v>358</v>
      </c>
      <c r="G56" s="380" t="s">
        <v>608</v>
      </c>
    </row>
    <row r="57" spans="1:12" ht="15" x14ac:dyDescent="0.25">
      <c r="B57" s="380" t="s">
        <v>1032</v>
      </c>
      <c r="C57" s="380" t="s">
        <v>1031</v>
      </c>
      <c r="D57" t="s">
        <v>240</v>
      </c>
      <c r="E57" t="s">
        <v>429</v>
      </c>
      <c r="F57" s="172" t="s">
        <v>358</v>
      </c>
      <c r="G57" s="380" t="s">
        <v>608</v>
      </c>
    </row>
    <row r="58" spans="1:12" ht="15" x14ac:dyDescent="0.25">
      <c r="B58" s="380" t="s">
        <v>1022</v>
      </c>
      <c r="C58" s="380" t="s">
        <v>1021</v>
      </c>
      <c r="D58" t="s">
        <v>240</v>
      </c>
      <c r="E58" t="s">
        <v>429</v>
      </c>
      <c r="F58" s="172" t="s">
        <v>358</v>
      </c>
      <c r="G58" s="380" t="s">
        <v>608</v>
      </c>
    </row>
    <row r="59" spans="1:12" ht="15" x14ac:dyDescent="0.25">
      <c r="B59" s="380" t="s">
        <v>1024</v>
      </c>
      <c r="C59" s="380" t="s">
        <v>1023</v>
      </c>
      <c r="D59" t="s">
        <v>240</v>
      </c>
      <c r="E59" t="s">
        <v>429</v>
      </c>
      <c r="F59" s="172" t="s">
        <v>358</v>
      </c>
      <c r="G59" s="380" t="s">
        <v>608</v>
      </c>
    </row>
    <row r="60" spans="1:12" ht="15" x14ac:dyDescent="0.25">
      <c r="B60" s="380" t="s">
        <v>1026</v>
      </c>
      <c r="C60" s="380" t="s">
        <v>1025</v>
      </c>
      <c r="D60" t="s">
        <v>240</v>
      </c>
      <c r="E60" t="s">
        <v>429</v>
      </c>
      <c r="F60" s="172" t="s">
        <v>358</v>
      </c>
      <c r="G60" s="380" t="s">
        <v>608</v>
      </c>
    </row>
    <row r="61" spans="1:12" ht="15" x14ac:dyDescent="0.25">
      <c r="B61" s="380" t="s">
        <v>1027</v>
      </c>
      <c r="C61" s="380" t="s">
        <v>815</v>
      </c>
      <c r="D61" t="s">
        <v>240</v>
      </c>
      <c r="E61" t="s">
        <v>967</v>
      </c>
      <c r="F61" s="401" t="s">
        <v>609</v>
      </c>
      <c r="G61" s="401" t="s">
        <v>1039</v>
      </c>
    </row>
    <row r="62" spans="1:12" ht="15" x14ac:dyDescent="0.25">
      <c r="B62" s="380" t="s">
        <v>1028</v>
      </c>
      <c r="C62" s="380" t="s">
        <v>817</v>
      </c>
      <c r="D62" t="s">
        <v>240</v>
      </c>
      <c r="E62" t="s">
        <v>967</v>
      </c>
      <c r="F62" s="401" t="s">
        <v>609</v>
      </c>
      <c r="G62" s="401" t="s">
        <v>1039</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9" workbookViewId="0">
      <selection activeCell="C32" sqref="C32"/>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1000</v>
      </c>
      <c r="C1" s="169"/>
      <c r="D1" s="169"/>
      <c r="E1" s="169"/>
    </row>
    <row r="2" spans="1:15" ht="12" thickTop="1" x14ac:dyDescent="0.2"/>
    <row r="3" spans="1:15" ht="15" x14ac:dyDescent="0.25">
      <c r="B3" s="296" t="s">
        <v>591</v>
      </c>
      <c r="C3" s="296"/>
      <c r="D3" s="296"/>
      <c r="E3" s="296"/>
      <c r="F3" s="296"/>
      <c r="G3" s="296"/>
      <c r="H3" s="296"/>
    </row>
    <row r="4" spans="1:15" ht="15" x14ac:dyDescent="0.25">
      <c r="B4" s="296" t="s">
        <v>576</v>
      </c>
      <c r="C4" s="296" t="s">
        <v>599</v>
      </c>
      <c r="D4" s="296" t="s">
        <v>600</v>
      </c>
      <c r="E4" s="296" t="s">
        <v>601</v>
      </c>
      <c r="F4" s="296" t="s">
        <v>602</v>
      </c>
      <c r="G4" s="296" t="s">
        <v>987</v>
      </c>
      <c r="H4" s="296" t="s">
        <v>986</v>
      </c>
    </row>
    <row r="5" spans="1:15" x14ac:dyDescent="0.2">
      <c r="B5" s="380" t="s">
        <v>985</v>
      </c>
      <c r="C5" s="380" t="s">
        <v>984</v>
      </c>
      <c r="D5" s="381" t="s">
        <v>240</v>
      </c>
      <c r="E5" s="381" t="s">
        <v>977</v>
      </c>
      <c r="F5" s="380" t="s">
        <v>358</v>
      </c>
    </row>
    <row r="6" spans="1:15" x14ac:dyDescent="0.2">
      <c r="B6" s="380" t="s">
        <v>1002</v>
      </c>
      <c r="D6" s="381"/>
      <c r="E6" s="381"/>
    </row>
    <row r="7" spans="1:15" x14ac:dyDescent="0.2">
      <c r="B7" s="380" t="str">
        <f>NameConv!C5</f>
        <v>BIG</v>
      </c>
      <c r="C7" s="380" t="str">
        <f>NameConv!B5</f>
        <v>Biogas</v>
      </c>
      <c r="D7" s="381" t="s">
        <v>240</v>
      </c>
      <c r="E7" s="381" t="s">
        <v>977</v>
      </c>
      <c r="F7" s="380" t="s">
        <v>358</v>
      </c>
      <c r="K7" s="170"/>
      <c r="L7" s="170"/>
      <c r="M7" s="170"/>
      <c r="N7" s="170"/>
      <c r="O7" s="170"/>
    </row>
    <row r="8" spans="1:15" x14ac:dyDescent="0.2">
      <c r="B8" s="380" t="str">
        <f>NameConv!C6</f>
        <v>BIE</v>
      </c>
      <c r="C8" s="380" t="str">
        <f>NameConv!B6</f>
        <v>Bioethanol</v>
      </c>
      <c r="D8" s="381" t="s">
        <v>240</v>
      </c>
      <c r="E8" s="381" t="s">
        <v>977</v>
      </c>
      <c r="F8" s="380" t="s">
        <v>358</v>
      </c>
      <c r="K8" s="170"/>
      <c r="L8" s="170"/>
      <c r="M8" s="170"/>
      <c r="N8" s="170"/>
      <c r="O8" s="170"/>
    </row>
    <row r="9" spans="1:15" x14ac:dyDescent="0.2">
      <c r="B9" s="380" t="str">
        <f>NameConv!C7</f>
        <v>BID</v>
      </c>
      <c r="C9" s="380" t="str">
        <f>NameConv!B7</f>
        <v>Biodiesel</v>
      </c>
      <c r="D9" s="381" t="s">
        <v>240</v>
      </c>
      <c r="E9" s="381" t="s">
        <v>977</v>
      </c>
      <c r="F9" s="380" t="s">
        <v>358</v>
      </c>
      <c r="K9" s="170"/>
      <c r="L9" s="170"/>
      <c r="M9" s="170"/>
      <c r="N9" s="170"/>
      <c r="O9" s="170"/>
    </row>
    <row r="10" spans="1:15" x14ac:dyDescent="0.2">
      <c r="B10" s="380" t="str">
        <f>NameConv!C8</f>
        <v>BIB</v>
      </c>
      <c r="C10" s="380" t="str">
        <f>NameConv!B8</f>
        <v>Biomass bagasse</v>
      </c>
      <c r="D10" s="381" t="s">
        <v>240</v>
      </c>
      <c r="E10" s="381" t="s">
        <v>977</v>
      </c>
      <c r="F10" s="380" t="s">
        <v>358</v>
      </c>
      <c r="K10" s="170"/>
      <c r="L10" s="170"/>
      <c r="M10" s="170"/>
      <c r="N10" s="170"/>
      <c r="O10" s="170"/>
    </row>
    <row r="11" spans="1:15" x14ac:dyDescent="0.2">
      <c r="B11" s="380" t="str">
        <f>NameConv!C9</f>
        <v>BIO</v>
      </c>
      <c r="C11" s="380" t="str">
        <f>NameConv!B9</f>
        <v>Biomass Other</v>
      </c>
      <c r="D11" s="381" t="s">
        <v>240</v>
      </c>
      <c r="E11" s="381" t="s">
        <v>977</v>
      </c>
      <c r="F11" s="380" t="s">
        <v>358</v>
      </c>
      <c r="K11" s="170"/>
      <c r="L11" s="170"/>
      <c r="M11" s="170"/>
      <c r="N11" s="170"/>
      <c r="O11" s="170"/>
    </row>
    <row r="12" spans="1:15" x14ac:dyDescent="0.2">
      <c r="B12" s="380" t="str">
        <f>NameConv!C10</f>
        <v>BIW</v>
      </c>
      <c r="C12" s="380" t="str">
        <f>NameConv!B10</f>
        <v>Biomass Wood</v>
      </c>
      <c r="D12" s="381" t="s">
        <v>240</v>
      </c>
      <c r="E12" s="381" t="s">
        <v>977</v>
      </c>
      <c r="F12" s="380" t="s">
        <v>358</v>
      </c>
      <c r="K12" s="170"/>
      <c r="L12" s="170"/>
      <c r="M12" s="170"/>
      <c r="N12" s="170"/>
      <c r="O12" s="170"/>
    </row>
    <row r="13" spans="1:15" x14ac:dyDescent="0.2">
      <c r="B13" s="380" t="str">
        <f>NameConv!C11</f>
        <v>COA</v>
      </c>
      <c r="C13" s="380" t="str">
        <f>NameConv!B11</f>
        <v>Coal</v>
      </c>
      <c r="D13" s="381" t="s">
        <v>240</v>
      </c>
      <c r="E13" s="381" t="s">
        <v>977</v>
      </c>
      <c r="F13" s="380" t="s">
        <v>358</v>
      </c>
      <c r="K13" s="170"/>
      <c r="L13" s="170"/>
      <c r="M13" s="170"/>
      <c r="N13" s="170"/>
      <c r="O13" s="170"/>
    </row>
    <row r="14" spans="1:15" x14ac:dyDescent="0.2">
      <c r="B14" s="380" t="str">
        <f>NameConv!C12</f>
        <v>COK</v>
      </c>
      <c r="C14" s="380" t="str">
        <f>NameConv!B12</f>
        <v>Coal Coking</v>
      </c>
      <c r="D14" s="381" t="s">
        <v>240</v>
      </c>
      <c r="E14" s="381" t="s">
        <v>977</v>
      </c>
      <c r="F14" s="380" t="s">
        <v>358</v>
      </c>
      <c r="K14" s="170"/>
      <c r="L14" s="170"/>
      <c r="M14" s="170"/>
      <c r="N14" s="170"/>
      <c r="O14" s="170"/>
    </row>
    <row r="15" spans="1:15" x14ac:dyDescent="0.2">
      <c r="B15" s="380" t="str">
        <f>NameConv!C13</f>
        <v>CLD</v>
      </c>
      <c r="C15" s="380" t="str">
        <f>NameConv!B13</f>
        <v>Coal Discard</v>
      </c>
      <c r="D15" s="381" t="s">
        <v>240</v>
      </c>
      <c r="E15" s="381" t="s">
        <v>977</v>
      </c>
      <c r="F15" s="380" t="s">
        <v>358</v>
      </c>
      <c r="K15" s="170"/>
      <c r="L15" s="170"/>
      <c r="M15" s="170"/>
      <c r="N15" s="170"/>
      <c r="O15" s="170"/>
    </row>
    <row r="16" spans="1:15" x14ac:dyDescent="0.2">
      <c r="B16" s="380" t="str">
        <f>NameConv!C14</f>
        <v>CLE</v>
      </c>
      <c r="C16" s="380" t="str">
        <f>NameConv!B14</f>
        <v>Coal low grade</v>
      </c>
      <c r="D16" s="381" t="s">
        <v>240</v>
      </c>
      <c r="E16" s="381" t="s">
        <v>977</v>
      </c>
      <c r="F16" s="380" t="s">
        <v>358</v>
      </c>
      <c r="K16" s="170"/>
      <c r="L16" s="170"/>
      <c r="M16" s="170"/>
      <c r="N16" s="170"/>
      <c r="O16" s="170"/>
    </row>
    <row r="17" spans="2:15" x14ac:dyDescent="0.2">
      <c r="B17" s="380" t="s">
        <v>1100</v>
      </c>
      <c r="C17" s="380" t="s">
        <v>1101</v>
      </c>
      <c r="D17" s="381" t="s">
        <v>240</v>
      </c>
      <c r="E17" s="381" t="s">
        <v>977</v>
      </c>
      <c r="F17" s="380" t="s">
        <v>358</v>
      </c>
      <c r="K17" s="170"/>
      <c r="L17" s="170"/>
      <c r="M17" s="170"/>
      <c r="N17" s="170"/>
      <c r="O17" s="170"/>
    </row>
    <row r="18" spans="2:15" x14ac:dyDescent="0.2">
      <c r="B18" s="380" t="str">
        <f>NameConv!C15</f>
        <v>CRB</v>
      </c>
      <c r="C18" s="380" t="str">
        <f>NameConv!B15</f>
        <v>Coal for plants in Botswana</v>
      </c>
      <c r="D18" s="381" t="s">
        <v>240</v>
      </c>
      <c r="E18" s="381" t="s">
        <v>977</v>
      </c>
      <c r="F18" s="380" t="s">
        <v>358</v>
      </c>
      <c r="K18" s="170"/>
      <c r="L18" s="170"/>
      <c r="M18" s="170"/>
      <c r="N18" s="170"/>
      <c r="O18" s="170"/>
    </row>
    <row r="19" spans="2:15" x14ac:dyDescent="0.2">
      <c r="B19" s="380" t="str">
        <f>NameConv!C17</f>
        <v>ELC</v>
      </c>
      <c r="C19" s="380" t="str">
        <f>NameConv!B17</f>
        <v>Electricity</v>
      </c>
      <c r="D19" s="381" t="s">
        <v>240</v>
      </c>
      <c r="E19" s="381" t="s">
        <v>977</v>
      </c>
      <c r="F19" s="380" t="s">
        <v>609</v>
      </c>
      <c r="H19" s="380" t="s">
        <v>167</v>
      </c>
      <c r="K19" s="170"/>
      <c r="L19" s="170"/>
      <c r="M19" s="170"/>
      <c r="N19" s="170"/>
      <c r="O19" s="170"/>
    </row>
    <row r="20" spans="2:15" x14ac:dyDescent="0.2">
      <c r="B20" s="380" t="str">
        <f>NameConv!C18</f>
        <v>ELCC</v>
      </c>
      <c r="C20" s="380" t="str">
        <f>NameConv!B18</f>
        <v>Electricity Upstream Transmission</v>
      </c>
      <c r="D20" s="381" t="s">
        <v>240</v>
      </c>
      <c r="E20" s="381" t="s">
        <v>977</v>
      </c>
      <c r="F20" s="380" t="s">
        <v>609</v>
      </c>
      <c r="G20" s="380" t="s">
        <v>358</v>
      </c>
      <c r="H20" s="380" t="s">
        <v>167</v>
      </c>
      <c r="K20" s="170"/>
      <c r="L20" s="170"/>
      <c r="M20" s="170"/>
      <c r="N20" s="170"/>
      <c r="O20" s="170"/>
    </row>
    <row r="21" spans="2:15" x14ac:dyDescent="0.2">
      <c r="B21" s="380" t="str">
        <f>NameConv!C19</f>
        <v>GAS</v>
      </c>
      <c r="C21" s="380" t="str">
        <f>NameConv!B19</f>
        <v>Gas South Africa</v>
      </c>
      <c r="D21" s="381" t="s">
        <v>240</v>
      </c>
      <c r="E21" s="381" t="s">
        <v>977</v>
      </c>
      <c r="F21" s="380" t="s">
        <v>358</v>
      </c>
      <c r="K21" s="170"/>
      <c r="L21" s="170"/>
      <c r="M21" s="170"/>
      <c r="N21" s="170"/>
      <c r="O21" s="170"/>
    </row>
    <row r="22" spans="2:15" x14ac:dyDescent="0.2">
      <c r="B22" s="380" t="str">
        <f>NameConv!C20</f>
        <v>GRS</v>
      </c>
      <c r="C22" s="380" t="str">
        <f>NameConv!B20</f>
        <v>Gas Southern Mozambique</v>
      </c>
      <c r="D22" s="381" t="s">
        <v>240</v>
      </c>
      <c r="E22" s="381" t="s">
        <v>977</v>
      </c>
      <c r="F22" s="380" t="s">
        <v>358</v>
      </c>
      <c r="K22" s="170"/>
      <c r="L22" s="170"/>
      <c r="M22" s="170"/>
      <c r="N22" s="170"/>
      <c r="O22" s="170"/>
    </row>
    <row r="23" spans="2:15" x14ac:dyDescent="0.2">
      <c r="B23" s="380" t="str">
        <f>NameConv!C21</f>
        <v>GRN</v>
      </c>
      <c r="C23" s="380" t="str">
        <f>NameConv!B21</f>
        <v>Gas Namibia</v>
      </c>
      <c r="D23" s="381" t="s">
        <v>240</v>
      </c>
      <c r="E23" s="381" t="s">
        <v>977</v>
      </c>
      <c r="F23" s="380" t="s">
        <v>358</v>
      </c>
      <c r="K23" s="170"/>
      <c r="L23" s="170"/>
      <c r="M23" s="170"/>
      <c r="N23" s="170"/>
      <c r="O23" s="170"/>
    </row>
    <row r="24" spans="2:15" x14ac:dyDescent="0.2">
      <c r="B24" s="380" t="str">
        <f>NameConv!C22</f>
        <v>GRL</v>
      </c>
      <c r="C24" s="380" t="str">
        <f>NameConv!B22</f>
        <v>Gas Regional LNG</v>
      </c>
      <c r="D24" s="381" t="s">
        <v>240</v>
      </c>
      <c r="E24" s="381" t="s">
        <v>977</v>
      </c>
      <c r="F24" s="380" t="s">
        <v>358</v>
      </c>
      <c r="K24" s="170"/>
      <c r="L24" s="170"/>
      <c r="M24" s="170"/>
      <c r="N24" s="170"/>
      <c r="O24" s="170"/>
    </row>
    <row r="25" spans="2:15" x14ac:dyDescent="0.2">
      <c r="B25" s="380" t="str">
        <f>NameConv!C23</f>
        <v>GWL</v>
      </c>
      <c r="C25" s="380" t="str">
        <f>NameConv!B23</f>
        <v>Gas International LNG</v>
      </c>
      <c r="D25" s="381" t="s">
        <v>240</v>
      </c>
      <c r="E25" s="381" t="s">
        <v>977</v>
      </c>
      <c r="F25" s="380" t="s">
        <v>358</v>
      </c>
      <c r="K25" s="170"/>
      <c r="L25" s="170"/>
      <c r="M25" s="170"/>
      <c r="N25" s="170"/>
      <c r="O25" s="170"/>
    </row>
    <row r="26" spans="2:15" x14ac:dyDescent="0.2">
      <c r="B26" s="380" t="str">
        <f>NameConv!C24</f>
        <v>GRM</v>
      </c>
      <c r="C26" s="380" t="str">
        <f>NameConv!B24</f>
        <v>Gas Northern Mozambique</v>
      </c>
      <c r="D26" s="381" t="s">
        <v>240</v>
      </c>
      <c r="E26" s="381" t="s">
        <v>977</v>
      </c>
      <c r="F26" s="380" t="s">
        <v>358</v>
      </c>
      <c r="K26" s="170"/>
      <c r="L26" s="170"/>
      <c r="M26" s="170"/>
      <c r="N26" s="170"/>
      <c r="O26" s="170"/>
    </row>
    <row r="27" spans="2:15" x14ac:dyDescent="0.2">
      <c r="B27" s="380" t="str">
        <f>NameConv!C25</f>
        <v>GIB</v>
      </c>
      <c r="C27" s="380" t="str">
        <f>NameConv!B25</f>
        <v>Gas Indigenous Ibhubezi</v>
      </c>
      <c r="D27" s="381" t="s">
        <v>240</v>
      </c>
      <c r="E27" s="381" t="s">
        <v>977</v>
      </c>
      <c r="F27" s="380" t="s">
        <v>358</v>
      </c>
      <c r="K27" s="170"/>
      <c r="L27" s="170"/>
      <c r="M27" s="170"/>
      <c r="N27" s="170"/>
      <c r="O27" s="170"/>
    </row>
    <row r="28" spans="2:15" x14ac:dyDescent="0.2">
      <c r="B28" s="380" t="str">
        <f>NameConv!C26</f>
        <v>GIH</v>
      </c>
      <c r="C28" s="380" t="str">
        <f>NameConv!B26</f>
        <v>Gas Indigenous Shale</v>
      </c>
      <c r="D28" s="381" t="s">
        <v>240</v>
      </c>
      <c r="E28" s="381" t="s">
        <v>977</v>
      </c>
      <c r="F28" s="380" t="s">
        <v>358</v>
      </c>
      <c r="K28" s="170"/>
      <c r="L28" s="170"/>
      <c r="M28" s="170"/>
      <c r="N28" s="170"/>
      <c r="O28" s="170"/>
    </row>
    <row r="29" spans="2:15" x14ac:dyDescent="0.2">
      <c r="B29" s="380" t="str">
        <f>NameConv!C27</f>
        <v>GIC</v>
      </c>
      <c r="C29" s="380" t="str">
        <f>NameConv!B27</f>
        <v>Coastal Gas</v>
      </c>
      <c r="D29" s="381" t="s">
        <v>240</v>
      </c>
      <c r="E29" s="381" t="s">
        <v>977</v>
      </c>
      <c r="F29" s="380" t="s">
        <v>358</v>
      </c>
      <c r="K29" s="170"/>
      <c r="L29" s="170"/>
      <c r="M29" s="170"/>
      <c r="N29" s="170"/>
      <c r="O29" s="170"/>
    </row>
    <row r="30" spans="2:15" x14ac:dyDescent="0.2">
      <c r="B30" s="380" t="str">
        <f>NameConv!C29</f>
        <v>GIM</v>
      </c>
      <c r="C30" s="380" t="str">
        <f>NameConv!B29</f>
        <v>Gas Methane Rich</v>
      </c>
      <c r="D30" s="381" t="s">
        <v>240</v>
      </c>
      <c r="E30" s="381" t="s">
        <v>977</v>
      </c>
      <c r="F30" s="380" t="s">
        <v>358</v>
      </c>
      <c r="K30" s="170"/>
      <c r="L30" s="170"/>
      <c r="M30" s="170"/>
      <c r="N30" s="170"/>
      <c r="O30" s="170"/>
    </row>
    <row r="31" spans="2:15" x14ac:dyDescent="0.2">
      <c r="B31" s="380" t="s">
        <v>1102</v>
      </c>
      <c r="C31" s="380" t="s">
        <v>1103</v>
      </c>
      <c r="D31" s="381" t="s">
        <v>240</v>
      </c>
      <c r="E31" s="381" t="s">
        <v>977</v>
      </c>
      <c r="F31" s="380" t="s">
        <v>358</v>
      </c>
      <c r="K31" s="170"/>
      <c r="L31" s="170"/>
      <c r="M31" s="170"/>
      <c r="N31" s="170"/>
      <c r="O31" s="170"/>
    </row>
    <row r="32" spans="2:15" x14ac:dyDescent="0.2">
      <c r="B32" s="380" t="str">
        <f>NameConv!C30</f>
        <v>HET</v>
      </c>
      <c r="C32" s="380" t="str">
        <f>NameConv!B30</f>
        <v>Heat-Steam</v>
      </c>
      <c r="D32" s="381" t="s">
        <v>240</v>
      </c>
      <c r="E32" s="381" t="s">
        <v>977</v>
      </c>
      <c r="F32" s="380" t="s">
        <v>358</v>
      </c>
      <c r="K32" s="170"/>
      <c r="L32" s="170"/>
      <c r="M32" s="170"/>
      <c r="N32" s="170"/>
      <c r="O32" s="170"/>
    </row>
    <row r="33" spans="2:15" x14ac:dyDescent="0.2">
      <c r="B33" s="380" t="str">
        <f>NameConv!C31</f>
        <v>HEE</v>
      </c>
      <c r="C33" s="380" t="str">
        <f>NameConv!B31</f>
        <v>Heat-Steam Existing</v>
      </c>
      <c r="D33" s="381" t="s">
        <v>240</v>
      </c>
      <c r="E33" s="381" t="s">
        <v>977</v>
      </c>
      <c r="F33" s="380" t="s">
        <v>358</v>
      </c>
      <c r="K33" s="170"/>
      <c r="L33" s="170"/>
      <c r="M33" s="170"/>
      <c r="N33" s="170"/>
      <c r="O33" s="170"/>
    </row>
    <row r="34" spans="2:15" x14ac:dyDescent="0.2">
      <c r="B34" s="380" t="str">
        <f>NameConv!C32</f>
        <v>HEN</v>
      </c>
      <c r="C34" s="380" t="str">
        <f>NameConv!B32</f>
        <v>Heat-Steam New</v>
      </c>
      <c r="D34" s="381" t="s">
        <v>240</v>
      </c>
      <c r="E34" s="381" t="s">
        <v>977</v>
      </c>
      <c r="F34" s="380" t="s">
        <v>358</v>
      </c>
      <c r="K34" s="170"/>
      <c r="L34" s="170"/>
      <c r="M34" s="170"/>
      <c r="N34" s="170"/>
      <c r="O34" s="170"/>
    </row>
    <row r="35" spans="2:15" x14ac:dyDescent="0.2">
      <c r="B35" s="380" t="str">
        <f>NameConv!C33</f>
        <v>HYD</v>
      </c>
      <c r="C35" s="380" t="str">
        <f>NameConv!B33</f>
        <v>Hydro</v>
      </c>
      <c r="D35" s="381" t="s">
        <v>240</v>
      </c>
      <c r="E35" s="381" t="s">
        <v>977</v>
      </c>
      <c r="F35" s="380" t="s">
        <v>358</v>
      </c>
      <c r="K35" s="170"/>
      <c r="L35" s="170"/>
      <c r="M35" s="170"/>
      <c r="N35" s="170"/>
      <c r="O35" s="170"/>
    </row>
    <row r="36" spans="2:15" x14ac:dyDescent="0.2">
      <c r="B36" s="380" t="str">
        <f>NameConv!C34</f>
        <v>HGN</v>
      </c>
      <c r="C36" s="380" t="str">
        <f>NameConv!B34</f>
        <v>Hydrogen</v>
      </c>
      <c r="D36" s="381" t="s">
        <v>240</v>
      </c>
      <c r="E36" s="381" t="s">
        <v>977</v>
      </c>
      <c r="F36" s="380" t="s">
        <v>358</v>
      </c>
      <c r="K36" s="170"/>
      <c r="L36" s="170"/>
      <c r="M36" s="170"/>
      <c r="N36" s="170"/>
      <c r="O36" s="170"/>
    </row>
    <row r="37" spans="2:15" x14ac:dyDescent="0.2">
      <c r="B37" s="380" t="str">
        <f>NameConv!C35</f>
        <v>NUC</v>
      </c>
      <c r="C37" s="380" t="str">
        <f>NameConv!B35</f>
        <v>Nuclear</v>
      </c>
      <c r="D37" s="381" t="s">
        <v>240</v>
      </c>
      <c r="E37" s="381" t="s">
        <v>977</v>
      </c>
      <c r="F37" s="380" t="s">
        <v>358</v>
      </c>
      <c r="K37" s="170"/>
      <c r="L37" s="170"/>
      <c r="M37" s="170"/>
      <c r="N37" s="170"/>
      <c r="O37" s="170"/>
    </row>
    <row r="38" spans="2:15" x14ac:dyDescent="0.2">
      <c r="B38" s="380" t="str">
        <f>NameConv!C36</f>
        <v>OAG</v>
      </c>
      <c r="C38" s="380" t="str">
        <f>NameConv!B36</f>
        <v>Oil Av Gasoline</v>
      </c>
      <c r="D38" s="381" t="s">
        <v>240</v>
      </c>
      <c r="E38" s="381" t="s">
        <v>977</v>
      </c>
      <c r="F38" s="380" t="s">
        <v>358</v>
      </c>
      <c r="K38" s="170"/>
      <c r="L38" s="170"/>
      <c r="M38" s="170"/>
      <c r="N38" s="170"/>
      <c r="O38" s="170"/>
    </row>
    <row r="39" spans="2:15" x14ac:dyDescent="0.2">
      <c r="B39" s="380" t="str">
        <f>NameConv!C37</f>
        <v>OCR</v>
      </c>
      <c r="C39" s="380" t="str">
        <f>NameConv!B37</f>
        <v>Oil Crude</v>
      </c>
      <c r="D39" s="381" t="s">
        <v>240</v>
      </c>
      <c r="E39" s="381" t="s">
        <v>977</v>
      </c>
      <c r="F39" s="380" t="s">
        <v>358</v>
      </c>
      <c r="K39" s="170"/>
      <c r="L39" s="170"/>
      <c r="M39" s="170"/>
      <c r="N39" s="170"/>
      <c r="O39" s="170"/>
    </row>
    <row r="40" spans="2:15" x14ac:dyDescent="0.2">
      <c r="B40" s="380" t="str">
        <f>NameConv!C38</f>
        <v>ODS</v>
      </c>
      <c r="C40" s="380" t="str">
        <f>NameConv!B38</f>
        <v>Oil Diesel</v>
      </c>
      <c r="D40" s="381" t="s">
        <v>240</v>
      </c>
      <c r="E40" s="381" t="s">
        <v>977</v>
      </c>
      <c r="F40" s="380" t="s">
        <v>358</v>
      </c>
      <c r="K40" s="170"/>
      <c r="L40" s="170"/>
      <c r="M40" s="170"/>
      <c r="N40" s="170"/>
      <c r="O40" s="170"/>
    </row>
    <row r="41" spans="2:15" x14ac:dyDescent="0.2">
      <c r="B41" s="380" t="str">
        <f>NameConv!C39</f>
        <v>OGS</v>
      </c>
      <c r="C41" s="380" t="str">
        <f>NameConv!B39</f>
        <v>Oil Gasoline</v>
      </c>
      <c r="D41" s="381" t="s">
        <v>240</v>
      </c>
      <c r="E41" s="381" t="s">
        <v>977</v>
      </c>
      <c r="F41" s="380" t="s">
        <v>358</v>
      </c>
      <c r="K41" s="170"/>
      <c r="L41" s="170"/>
      <c r="M41" s="170"/>
      <c r="N41" s="170"/>
      <c r="O41" s="170"/>
    </row>
    <row r="42" spans="2:15" x14ac:dyDescent="0.2">
      <c r="B42" s="380" t="str">
        <f>NameConv!C40</f>
        <v>OHF</v>
      </c>
      <c r="C42" s="380" t="str">
        <f>NameConv!B40</f>
        <v>Oil HFO</v>
      </c>
      <c r="D42" s="381" t="s">
        <v>240</v>
      </c>
      <c r="E42" s="381" t="s">
        <v>977</v>
      </c>
      <c r="F42" s="380" t="s">
        <v>358</v>
      </c>
      <c r="K42" s="170"/>
      <c r="L42" s="170"/>
      <c r="M42" s="170"/>
      <c r="N42" s="170"/>
      <c r="O42" s="170"/>
    </row>
    <row r="43" spans="2:15" x14ac:dyDescent="0.2">
      <c r="B43" s="380" t="str">
        <f>NameConv!C41</f>
        <v>OKE</v>
      </c>
      <c r="C43" s="380" t="str">
        <f>NameConv!B41</f>
        <v>Oil Kerosene</v>
      </c>
      <c r="D43" s="381" t="s">
        <v>240</v>
      </c>
      <c r="E43" s="381" t="s">
        <v>977</v>
      </c>
      <c r="F43" s="380" t="s">
        <v>358</v>
      </c>
      <c r="K43" s="170"/>
      <c r="L43" s="170"/>
      <c r="M43" s="170"/>
      <c r="N43" s="170"/>
      <c r="O43" s="170"/>
    </row>
    <row r="44" spans="2:15" x14ac:dyDescent="0.2">
      <c r="B44" s="380" t="str">
        <f>NameConv!C42</f>
        <v>OLP</v>
      </c>
      <c r="C44" s="380" t="str">
        <f>NameConv!B42</f>
        <v>Oil LPG</v>
      </c>
      <c r="D44" s="381" t="s">
        <v>240</v>
      </c>
      <c r="E44" s="381" t="s">
        <v>977</v>
      </c>
      <c r="F44" s="380" t="s">
        <v>358</v>
      </c>
      <c r="K44" s="170"/>
      <c r="L44" s="170"/>
      <c r="M44" s="170"/>
      <c r="N44" s="170"/>
      <c r="O44" s="170"/>
    </row>
    <row r="45" spans="2:15" x14ac:dyDescent="0.2">
      <c r="B45" s="380" t="str">
        <f>NameConv!C43</f>
        <v>OTH</v>
      </c>
      <c r="C45" s="380" t="str">
        <f>NameConv!B43</f>
        <v>Oil Other</v>
      </c>
      <c r="D45" s="381" t="s">
        <v>240</v>
      </c>
      <c r="E45" s="381" t="s">
        <v>977</v>
      </c>
      <c r="F45" s="380" t="s">
        <v>358</v>
      </c>
      <c r="K45" s="170"/>
      <c r="L45" s="170"/>
      <c r="M45" s="170"/>
      <c r="N45" s="170"/>
      <c r="O45" s="170"/>
    </row>
    <row r="46" spans="2:15" x14ac:dyDescent="0.2">
      <c r="B46" s="380" t="str">
        <f>NameConv!C44</f>
        <v>SOL</v>
      </c>
      <c r="C46" s="380" t="str">
        <f>NameConv!B44</f>
        <v>Solar</v>
      </c>
      <c r="D46" s="381" t="s">
        <v>240</v>
      </c>
      <c r="E46" s="381" t="s">
        <v>977</v>
      </c>
      <c r="F46" s="380" t="s">
        <v>358</v>
      </c>
      <c r="K46" s="170"/>
      <c r="L46" s="170"/>
      <c r="M46" s="170"/>
      <c r="N46" s="170"/>
      <c r="O46" s="170"/>
    </row>
    <row r="47" spans="2:15" x14ac:dyDescent="0.2">
      <c r="B47" s="380" t="str">
        <f>NameConv!C45</f>
        <v>WND</v>
      </c>
      <c r="C47" s="380" t="str">
        <f>NameConv!B45</f>
        <v>Wind</v>
      </c>
      <c r="D47" s="381" t="s">
        <v>240</v>
      </c>
      <c r="E47" s="381" t="s">
        <v>977</v>
      </c>
      <c r="F47" s="380" t="s">
        <v>358</v>
      </c>
      <c r="K47" s="170"/>
      <c r="L47" s="170"/>
      <c r="M47" s="170"/>
      <c r="N47" s="170"/>
      <c r="O47" s="170"/>
    </row>
    <row r="48" spans="2:15" x14ac:dyDescent="0.2">
      <c r="B48" s="380" t="str">
        <f>NameConv!C46</f>
        <v>WAS</v>
      </c>
      <c r="C48" s="380" t="str">
        <f>NameConv!B46</f>
        <v>Waste</v>
      </c>
      <c r="D48" s="381" t="s">
        <v>240</v>
      </c>
      <c r="E48" s="381" t="s">
        <v>977</v>
      </c>
      <c r="F48" s="380" t="s">
        <v>358</v>
      </c>
      <c r="K48" s="170"/>
      <c r="L48" s="170"/>
      <c r="M48" s="170"/>
      <c r="N48" s="170"/>
      <c r="O48" s="170"/>
    </row>
    <row r="49" spans="2:6" x14ac:dyDescent="0.2">
      <c r="B49" s="380" t="s">
        <v>983</v>
      </c>
      <c r="C49" s="380" t="s">
        <v>982</v>
      </c>
      <c r="D49" s="381" t="s">
        <v>981</v>
      </c>
      <c r="E49" s="381" t="s">
        <v>980</v>
      </c>
      <c r="F49" s="380" t="s">
        <v>358</v>
      </c>
    </row>
    <row r="50" spans="2:6" x14ac:dyDescent="0.2">
      <c r="B50" s="380" t="s">
        <v>979</v>
      </c>
      <c r="C50" s="380" t="s">
        <v>978</v>
      </c>
      <c r="D50" s="381" t="s">
        <v>240</v>
      </c>
      <c r="E50" s="381" t="s">
        <v>977</v>
      </c>
      <c r="F50" s="380" t="s">
        <v>358</v>
      </c>
    </row>
    <row r="51" spans="2:6" x14ac:dyDescent="0.2">
      <c r="B51" s="380" t="s">
        <v>998</v>
      </c>
    </row>
    <row r="52" spans="2:6" x14ac:dyDescent="0.2">
      <c r="B52" s="380" t="s">
        <v>579</v>
      </c>
      <c r="C52" s="380" t="s">
        <v>1003</v>
      </c>
      <c r="D52" s="381" t="s">
        <v>981</v>
      </c>
      <c r="E52" s="381" t="s">
        <v>980</v>
      </c>
      <c r="F52" s="380" t="s">
        <v>358</v>
      </c>
    </row>
    <row r="53" spans="2:6" x14ac:dyDescent="0.2">
      <c r="B53" s="380" t="s">
        <v>1096</v>
      </c>
      <c r="C53" s="380" t="s">
        <v>1098</v>
      </c>
      <c r="D53" s="381" t="s">
        <v>981</v>
      </c>
      <c r="E53" s="381" t="s">
        <v>980</v>
      </c>
      <c r="F53" s="380" t="s">
        <v>358</v>
      </c>
    </row>
    <row r="54" spans="2:6" x14ac:dyDescent="0.2">
      <c r="B54" s="380" t="s">
        <v>136</v>
      </c>
      <c r="C54" s="380" t="s">
        <v>1004</v>
      </c>
      <c r="D54" s="381" t="s">
        <v>981</v>
      </c>
      <c r="E54" s="381" t="s">
        <v>980</v>
      </c>
      <c r="F54" s="380" t="s">
        <v>358</v>
      </c>
    </row>
    <row r="55" spans="2:6" x14ac:dyDescent="0.2">
      <c r="B55" s="380" t="s">
        <v>137</v>
      </c>
      <c r="C55" s="380" t="s">
        <v>1005</v>
      </c>
      <c r="D55" s="381" t="s">
        <v>981</v>
      </c>
      <c r="E55" s="381" t="s">
        <v>980</v>
      </c>
      <c r="F55" s="380" t="s">
        <v>358</v>
      </c>
    </row>
    <row r="56" spans="2:6" x14ac:dyDescent="0.2">
      <c r="B56" s="380" t="s">
        <v>1097</v>
      </c>
      <c r="C56" s="380" t="s">
        <v>1098</v>
      </c>
      <c r="D56" s="381" t="s">
        <v>981</v>
      </c>
      <c r="E56" s="381" t="s">
        <v>980</v>
      </c>
      <c r="F56" s="380" t="s">
        <v>358</v>
      </c>
    </row>
    <row r="57" spans="2:6" x14ac:dyDescent="0.2">
      <c r="B57" s="380" t="s">
        <v>138</v>
      </c>
      <c r="C57" s="380" t="s">
        <v>1006</v>
      </c>
      <c r="D57" s="381" t="s">
        <v>981</v>
      </c>
      <c r="E57" s="381" t="s">
        <v>980</v>
      </c>
      <c r="F57" s="380" t="s">
        <v>358</v>
      </c>
    </row>
    <row r="58" spans="2:6" x14ac:dyDescent="0.2">
      <c r="B58" s="380" t="s">
        <v>139</v>
      </c>
      <c r="C58" s="380" t="s">
        <v>1007</v>
      </c>
      <c r="D58" s="381" t="s">
        <v>981</v>
      </c>
      <c r="E58" s="381" t="s">
        <v>980</v>
      </c>
      <c r="F58" s="380" t="s">
        <v>358</v>
      </c>
    </row>
    <row r="59" spans="2:6" x14ac:dyDescent="0.2">
      <c r="B59" s="380" t="s">
        <v>140</v>
      </c>
      <c r="C59" s="380" t="s">
        <v>1008</v>
      </c>
      <c r="D59" s="381" t="s">
        <v>981</v>
      </c>
      <c r="E59" s="381" t="s">
        <v>980</v>
      </c>
      <c r="F59" s="380" t="s">
        <v>358</v>
      </c>
    </row>
    <row r="60" spans="2:6" x14ac:dyDescent="0.2">
      <c r="B60" s="380" t="s">
        <v>141</v>
      </c>
      <c r="C60" s="380" t="s">
        <v>1009</v>
      </c>
      <c r="D60" s="381" t="s">
        <v>981</v>
      </c>
      <c r="E60" s="381" t="s">
        <v>980</v>
      </c>
      <c r="F60" s="380" t="s">
        <v>358</v>
      </c>
    </row>
    <row r="61" spans="2:6" x14ac:dyDescent="0.2">
      <c r="B61" s="380" t="s">
        <v>142</v>
      </c>
      <c r="C61" s="380" t="s">
        <v>1010</v>
      </c>
      <c r="D61" s="381" t="s">
        <v>981</v>
      </c>
      <c r="E61" s="381" t="s">
        <v>980</v>
      </c>
      <c r="F61" s="380" t="s">
        <v>358</v>
      </c>
    </row>
    <row r="62" spans="2:6" x14ac:dyDescent="0.2">
      <c r="B62" s="380" t="s">
        <v>143</v>
      </c>
      <c r="C62" s="380" t="s">
        <v>1099</v>
      </c>
      <c r="D62" s="381" t="s">
        <v>981</v>
      </c>
      <c r="E62" s="381" t="s">
        <v>980</v>
      </c>
      <c r="F62" s="380" t="s">
        <v>358</v>
      </c>
    </row>
    <row r="63" spans="2:6" x14ac:dyDescent="0.2">
      <c r="B63" s="380" t="s">
        <v>1011</v>
      </c>
    </row>
    <row r="64" spans="2:6" x14ac:dyDescent="0.2">
      <c r="B64" s="380" t="s">
        <v>588</v>
      </c>
      <c r="C64" s="380" t="s">
        <v>993</v>
      </c>
      <c r="D64" s="381" t="s">
        <v>981</v>
      </c>
      <c r="E64" s="381" t="s">
        <v>980</v>
      </c>
      <c r="F64" s="380" t="s">
        <v>358</v>
      </c>
    </row>
    <row r="65" spans="2:6" x14ac:dyDescent="0.2">
      <c r="B65" s="380" t="s">
        <v>583</v>
      </c>
      <c r="C65" s="380" t="s">
        <v>993</v>
      </c>
      <c r="D65" s="381" t="s">
        <v>981</v>
      </c>
      <c r="E65" s="381" t="s">
        <v>980</v>
      </c>
      <c r="F65" s="380" t="s">
        <v>358</v>
      </c>
    </row>
    <row r="66" spans="2:6" x14ac:dyDescent="0.2">
      <c r="B66" s="380" t="s">
        <v>999</v>
      </c>
      <c r="D66" s="381"/>
      <c r="E66" s="381"/>
    </row>
    <row r="67" spans="2:6" x14ac:dyDescent="0.2">
      <c r="B67" s="380" t="s">
        <v>584</v>
      </c>
      <c r="C67" s="380" t="s">
        <v>994</v>
      </c>
      <c r="D67" s="381" t="s">
        <v>981</v>
      </c>
      <c r="E67" s="381" t="s">
        <v>980</v>
      </c>
      <c r="F67" s="380" t="s">
        <v>358</v>
      </c>
    </row>
    <row r="68" spans="2:6" x14ac:dyDescent="0.2">
      <c r="B68" s="380" t="s">
        <v>585</v>
      </c>
      <c r="C68" s="380" t="s">
        <v>995</v>
      </c>
      <c r="D68" s="381" t="s">
        <v>981</v>
      </c>
      <c r="E68" s="381" t="s">
        <v>980</v>
      </c>
      <c r="F68" s="380" t="s">
        <v>358</v>
      </c>
    </row>
    <row r="69" spans="2:6" x14ac:dyDescent="0.2">
      <c r="B69" s="380" t="s">
        <v>586</v>
      </c>
      <c r="C69" s="380" t="s">
        <v>996</v>
      </c>
      <c r="D69" s="381" t="s">
        <v>981</v>
      </c>
      <c r="E69" s="381" t="s">
        <v>980</v>
      </c>
      <c r="F69" s="380" t="s">
        <v>358</v>
      </c>
    </row>
    <row r="70" spans="2:6" x14ac:dyDescent="0.2">
      <c r="B70" s="380" t="s">
        <v>587</v>
      </c>
      <c r="C70" s="380" t="s">
        <v>997</v>
      </c>
      <c r="D70" s="381" t="s">
        <v>981</v>
      </c>
      <c r="E70" s="381" t="s">
        <v>980</v>
      </c>
      <c r="F70" s="380" t="s">
        <v>358</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abSelected="1" topLeftCell="A48" workbookViewId="0">
      <selection activeCell="L97" sqref="L97"/>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1013</v>
      </c>
      <c r="C1" s="169"/>
      <c r="D1" s="169"/>
      <c r="E1" s="169"/>
    </row>
    <row r="2" spans="1:53" ht="13.5" thickTop="1" x14ac:dyDescent="0.2"/>
    <row r="3" spans="1:53" ht="15.75" x14ac:dyDescent="0.25">
      <c r="A3" s="36" t="s">
        <v>231</v>
      </c>
      <c r="B3" s="412" t="s">
        <v>232</v>
      </c>
      <c r="C3" s="412"/>
      <c r="D3" s="412"/>
      <c r="E3" s="37" t="s">
        <v>233</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234</v>
      </c>
      <c r="D5" s="39"/>
    </row>
    <row r="6" spans="1:53" x14ac:dyDescent="0.2">
      <c r="A6" s="29" t="s">
        <v>235</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236</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237</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238</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239</v>
      </c>
      <c r="B10" s="45" t="s">
        <v>240</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241</v>
      </c>
      <c r="B11" s="45" t="s">
        <v>240</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242</v>
      </c>
      <c r="B12" s="45" t="s">
        <v>240</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1052</v>
      </c>
      <c r="N13" s="48"/>
      <c r="O13" s="48"/>
      <c r="P13" s="49"/>
      <c r="Q13" s="405"/>
      <c r="R13" s="47"/>
      <c r="S13" s="47"/>
      <c r="T13" s="47"/>
      <c r="U13" s="47"/>
      <c r="V13" s="47"/>
      <c r="W13" s="47"/>
      <c r="X13" s="47"/>
      <c r="Y13" s="47"/>
      <c r="Z13" s="47"/>
      <c r="AA13" s="47"/>
      <c r="AB13" s="50"/>
    </row>
    <row r="14" spans="1:53" x14ac:dyDescent="0.2">
      <c r="A14" s="51" t="s">
        <v>243</v>
      </c>
      <c r="B14" s="52"/>
      <c r="C14" s="52"/>
      <c r="D14" s="52"/>
      <c r="E14" s="52"/>
      <c r="F14" s="53">
        <v>2017</v>
      </c>
      <c r="G14" s="53">
        <v>2021</v>
      </c>
      <c r="H14" s="53">
        <v>2030</v>
      </c>
      <c r="I14" s="53">
        <v>2050</v>
      </c>
      <c r="M14" s="54"/>
      <c r="O14" s="38">
        <v>2021</v>
      </c>
      <c r="P14" s="38">
        <v>2030</v>
      </c>
      <c r="Q14" s="55">
        <f>I14</f>
        <v>2050</v>
      </c>
      <c r="S14" s="47" t="s">
        <v>1055</v>
      </c>
      <c r="T14" s="47"/>
      <c r="U14" s="47"/>
      <c r="V14" s="47"/>
    </row>
    <row r="15" spans="1:53" ht="15" x14ac:dyDescent="0.25">
      <c r="A15" s="56" t="s">
        <v>244</v>
      </c>
      <c r="B15" s="28" t="s">
        <v>1050</v>
      </c>
      <c r="F15" s="57">
        <v>16.45</v>
      </c>
      <c r="G15" s="57">
        <f>F15</f>
        <v>16.45</v>
      </c>
      <c r="H15" s="57">
        <f>G15</f>
        <v>16.45</v>
      </c>
      <c r="I15" s="57">
        <f>H15</f>
        <v>16.45</v>
      </c>
      <c r="M15" s="56"/>
      <c r="O15" s="406"/>
      <c r="P15" s="406"/>
      <c r="Q15" s="58"/>
      <c r="S15" s="402">
        <v>0.08</v>
      </c>
      <c r="T15" s="47"/>
      <c r="U15" s="47"/>
      <c r="V15" s="47"/>
    </row>
    <row r="16" spans="1:53" ht="15" x14ac:dyDescent="0.25">
      <c r="A16" s="56" t="s">
        <v>246</v>
      </c>
      <c r="B16" s="28" t="s">
        <v>1054</v>
      </c>
      <c r="C16" s="59" t="s">
        <v>247</v>
      </c>
      <c r="D16" s="60" t="s">
        <v>762</v>
      </c>
      <c r="F16" s="62">
        <f>IEA_WEO!BZ94*1.165</f>
        <v>72.23</v>
      </c>
      <c r="G16" s="63">
        <f>SUMIF($M$15:$M$24,$D$16,O$15:O$24)*(1+$S$15)</f>
        <v>74.52000000000001</v>
      </c>
      <c r="H16" s="63">
        <f>SUMIF($M$15:$M$24,$D$16,P$15:P$24)*(1+$S$15)</f>
        <v>68.400000000000006</v>
      </c>
      <c r="I16" s="63">
        <f>SUMIF($M$15:$M$24,$D$16,Q$15:Q$24)*(1+$S$15)</f>
        <v>87.11999999999999</v>
      </c>
      <c r="M16" s="64" t="s">
        <v>1053</v>
      </c>
      <c r="O16" s="407">
        <f>IEA_WEO!DK96</f>
        <v>69</v>
      </c>
      <c r="P16" s="407">
        <f>IEA_WEO!DL96</f>
        <v>35</v>
      </c>
      <c r="Q16" s="408">
        <f>IEA_WEO!DM96</f>
        <v>24</v>
      </c>
      <c r="S16" s="47"/>
      <c r="T16" s="47"/>
      <c r="U16" s="47"/>
      <c r="V16" s="47"/>
    </row>
    <row r="17" spans="1:36" ht="15" x14ac:dyDescent="0.25">
      <c r="A17" s="56" t="s">
        <v>248</v>
      </c>
      <c r="B17" s="28" t="s">
        <v>249</v>
      </c>
      <c r="F17" s="30"/>
      <c r="G17" s="30"/>
      <c r="H17" s="30"/>
      <c r="I17" s="30"/>
      <c r="M17" s="56" t="s">
        <v>764</v>
      </c>
      <c r="O17" s="407">
        <f>O16</f>
        <v>69</v>
      </c>
      <c r="P17" s="407">
        <f>IEA_WEO!CL101</f>
        <v>55.666666666666664</v>
      </c>
      <c r="Q17" s="408">
        <f>IEA_WEO!CM101</f>
        <v>50.333333333333329</v>
      </c>
      <c r="S17" s="47"/>
      <c r="T17" s="47"/>
      <c r="U17" s="47"/>
      <c r="V17" s="47"/>
      <c r="W17"/>
      <c r="X17"/>
    </row>
    <row r="18" spans="1:36" ht="15.75" thickBot="1" x14ac:dyDescent="0.3">
      <c r="A18" s="65" t="s">
        <v>156</v>
      </c>
      <c r="B18" s="66" t="s">
        <v>250</v>
      </c>
      <c r="C18" s="66"/>
      <c r="D18" s="66"/>
      <c r="E18" s="66"/>
      <c r="F18" s="67"/>
      <c r="G18" s="67"/>
      <c r="H18" s="66"/>
      <c r="I18" s="66"/>
      <c r="M18" s="68" t="s">
        <v>762</v>
      </c>
      <c r="N18" s="66"/>
      <c r="O18" s="409">
        <f>O17</f>
        <v>69</v>
      </c>
      <c r="P18" s="409">
        <f>IEA_WEO!CL102</f>
        <v>63.333333333333336</v>
      </c>
      <c r="Q18" s="410">
        <f>IEA_WEO!CM102</f>
        <v>80.666666666666657</v>
      </c>
      <c r="S18" s="47"/>
      <c r="T18" s="47"/>
      <c r="U18" s="47"/>
      <c r="V18" s="47"/>
      <c r="W18"/>
      <c r="X18"/>
      <c r="Z18" s="29" t="s">
        <v>251</v>
      </c>
      <c r="AA18"/>
      <c r="AB18"/>
      <c r="AH18" s="30"/>
      <c r="AI18" s="30"/>
    </row>
    <row r="19" spans="1:36" ht="15" x14ac:dyDescent="0.25">
      <c r="A19" s="69" t="s">
        <v>252</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253</v>
      </c>
      <c r="G20" s="30" t="s">
        <v>253</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1056</v>
      </c>
      <c r="B21" s="76" t="s">
        <v>1051</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204</v>
      </c>
      <c r="B22" s="57" t="s">
        <v>254</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255</v>
      </c>
      <c r="B23" s="57" t="s">
        <v>1057</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206</v>
      </c>
      <c r="B24" s="57" t="s">
        <v>254</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212</v>
      </c>
      <c r="B25" s="57" t="s">
        <v>254</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208</v>
      </c>
      <c r="B26" s="57" t="s">
        <v>254</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214</v>
      </c>
      <c r="B27" s="57" t="s">
        <v>254</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256</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210</v>
      </c>
      <c r="B28" s="57" t="s">
        <v>254</v>
      </c>
      <c r="C28" s="81"/>
      <c r="D28" s="81"/>
      <c r="E28" s="30" t="str">
        <f>VLOOKUP(A28,FuelNames,2,FALSE)</f>
        <v>OHF</v>
      </c>
      <c r="F28" s="77">
        <f>F22</f>
        <v>196.45298120195667</v>
      </c>
      <c r="G28" s="77">
        <f>G22</f>
        <v>202.68138113207547</v>
      </c>
      <c r="H28" s="77">
        <f>H22</f>
        <v>186.03605031446543</v>
      </c>
      <c r="I28" s="78">
        <f>I22</f>
        <v>236.95117987421381</v>
      </c>
      <c r="N28"/>
      <c r="O28" s="84"/>
      <c r="P28" s="85" t="s">
        <v>257</v>
      </c>
      <c r="Q28" s="86"/>
      <c r="S28" s="87" t="s">
        <v>258</v>
      </c>
      <c r="T28" s="88"/>
      <c r="U28" s="86"/>
      <c r="V28" s="85" t="s">
        <v>259</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260</v>
      </c>
      <c r="B29" s="57" t="s">
        <v>1057</v>
      </c>
      <c r="C29" s="57"/>
      <c r="D29"/>
      <c r="E29" s="30"/>
      <c r="F29" s="77"/>
      <c r="G29" s="403">
        <f>G30*'Liq Fuel Prices'!$AC$9/1000</f>
        <v>18.277098236852964</v>
      </c>
      <c r="H29" s="77"/>
      <c r="I29" s="78"/>
      <c r="N29"/>
      <c r="O29" s="90" t="s">
        <v>253</v>
      </c>
      <c r="P29" s="91" t="s">
        <v>261</v>
      </c>
      <c r="Q29" s="92" t="s">
        <v>262</v>
      </c>
      <c r="R29" s="92" t="s">
        <v>263</v>
      </c>
      <c r="S29" s="92" t="s">
        <v>264</v>
      </c>
      <c r="T29" s="92" t="s">
        <v>265</v>
      </c>
      <c r="U29" s="92" t="s">
        <v>266</v>
      </c>
      <c r="V29" s="92" t="s">
        <v>265</v>
      </c>
      <c r="W29" s="92" t="s">
        <v>266</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254</v>
      </c>
      <c r="C30" s="57"/>
      <c r="D30"/>
      <c r="E30" s="30" t="str">
        <f>"xxx"&amp;E24</f>
        <v>xxxODS</v>
      </c>
      <c r="F30" s="77">
        <f>F24/0.51</f>
        <v>463.8507680207336</v>
      </c>
      <c r="G30" s="77">
        <f>G24/0.51</f>
        <v>479.71386448432975</v>
      </c>
      <c r="H30" s="77">
        <f t="shared" ref="H30:I32" si="6">H24/0.51</f>
        <v>440.03859038100921</v>
      </c>
      <c r="I30" s="77">
        <f t="shared" si="6"/>
        <v>561.39825234410728</v>
      </c>
      <c r="N30"/>
      <c r="O30" s="90" t="s">
        <v>267</v>
      </c>
      <c r="P30" s="93" t="s">
        <v>268</v>
      </c>
      <c r="Q30" s="94" t="s">
        <v>269</v>
      </c>
      <c r="R30" s="94" t="s">
        <v>270</v>
      </c>
      <c r="S30" s="94" t="s">
        <v>271</v>
      </c>
      <c r="T30" s="94" t="s">
        <v>272</v>
      </c>
      <c r="U30" s="94" t="s">
        <v>272</v>
      </c>
      <c r="V30" s="94" t="s">
        <v>273</v>
      </c>
      <c r="W30" s="94" t="s">
        <v>273</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254</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274</v>
      </c>
      <c r="P31" s="93" t="s">
        <v>275</v>
      </c>
      <c r="Q31" s="94" t="s">
        <v>275</v>
      </c>
      <c r="R31" s="94" t="s">
        <v>275</v>
      </c>
      <c r="S31" s="94" t="s">
        <v>275</v>
      </c>
      <c r="T31" s="94" t="s">
        <v>276</v>
      </c>
      <c r="U31" s="94" t="s">
        <v>276</v>
      </c>
      <c r="V31" s="94" t="s">
        <v>277</v>
      </c>
      <c r="W31" s="94" t="s">
        <v>277</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254</v>
      </c>
      <c r="C32" s="57"/>
      <c r="D32"/>
      <c r="E32" s="30" t="str">
        <f>"xxx"&amp;E26</f>
        <v>xxxOGS</v>
      </c>
      <c r="F32" s="77">
        <f>F26/0.51</f>
        <v>484.38050469006419</v>
      </c>
      <c r="G32" s="77">
        <f>G26/0.51</f>
        <v>496.20830658516496</v>
      </c>
      <c r="H32" s="77">
        <f t="shared" si="6"/>
        <v>456.30631037935552</v>
      </c>
      <c r="I32" s="77">
        <f t="shared" si="6"/>
        <v>578.35947524418441</v>
      </c>
      <c r="N32"/>
      <c r="O32" s="90" t="s">
        <v>278</v>
      </c>
      <c r="P32" s="93" t="s">
        <v>279</v>
      </c>
      <c r="Q32" s="94" t="s">
        <v>280</v>
      </c>
      <c r="R32" s="94" t="s">
        <v>281</v>
      </c>
      <c r="S32" s="94" t="s">
        <v>271</v>
      </c>
      <c r="T32" s="94" t="s">
        <v>282</v>
      </c>
      <c r="U32" s="94" t="s">
        <v>283</v>
      </c>
      <c r="V32" s="94" t="s">
        <v>282</v>
      </c>
      <c r="W32" s="94" t="s">
        <v>283</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254</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284</v>
      </c>
      <c r="P33" s="93" t="s">
        <v>285</v>
      </c>
      <c r="Q33" s="94" t="s">
        <v>286</v>
      </c>
      <c r="R33" s="94" t="s">
        <v>287</v>
      </c>
      <c r="S33" s="94" t="s">
        <v>288</v>
      </c>
      <c r="T33" s="94" t="s">
        <v>289</v>
      </c>
      <c r="U33" s="94" t="s">
        <v>290</v>
      </c>
      <c r="V33" s="94" t="s">
        <v>291</v>
      </c>
      <c r="W33" s="94" t="s">
        <v>292</v>
      </c>
      <c r="Z33" s="79"/>
      <c r="AA33" s="28" t="str">
        <f>[8]Export!D19</f>
        <v>Shale(2015$/MMBTU)</v>
      </c>
      <c r="AH33" s="30"/>
      <c r="AI33" s="30"/>
    </row>
    <row r="34" spans="1:43" ht="13.5" customHeight="1" thickBot="1" x14ac:dyDescent="0.3">
      <c r="A34" s="65" t="str">
        <f>A28</f>
        <v>Oil HFO</v>
      </c>
      <c r="B34" s="95" t="s">
        <v>254</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293</v>
      </c>
      <c r="O35" s="100" t="s">
        <v>294</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295</v>
      </c>
      <c r="C36" s="30"/>
      <c r="D36" s="60" t="str">
        <f>D16</f>
        <v>Stated Policies</v>
      </c>
      <c r="F36" s="30"/>
      <c r="G36" s="30"/>
      <c r="J36" s="28" t="s">
        <v>297</v>
      </c>
      <c r="O36" s="104" t="s">
        <v>298</v>
      </c>
      <c r="P36" s="52" t="s">
        <v>299</v>
      </c>
      <c r="Q36" s="52" t="s">
        <v>300</v>
      </c>
      <c r="R36" s="105" t="str">
        <f>M16</f>
        <v>Net Zero</v>
      </c>
      <c r="S36" s="52" t="str">
        <f>M17</f>
        <v>Announced Pledges</v>
      </c>
      <c r="T36" s="52" t="str">
        <f>M18</f>
        <v>Stated Policies</v>
      </c>
      <c r="U36" s="28" t="s">
        <v>296</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301</v>
      </c>
      <c r="C38" s="30" t="str">
        <f>B66</f>
        <v>MINGAS</v>
      </c>
      <c r="D38" s="30" t="s">
        <v>171</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302</v>
      </c>
    </row>
    <row r="43" spans="1:43" ht="13.5" customHeight="1" x14ac:dyDescent="0.25">
      <c r="C43" s="30"/>
      <c r="D43" s="30"/>
      <c r="E43" s="30"/>
      <c r="F43" s="30"/>
      <c r="G43" s="30"/>
      <c r="H43" s="30"/>
      <c r="I43" s="30"/>
      <c r="J43" s="125"/>
      <c r="K43" s="125"/>
      <c r="L43" s="125"/>
      <c r="N43"/>
      <c r="Y43" s="126"/>
      <c r="Z43" s="127"/>
      <c r="AA43" s="127" t="s">
        <v>303</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304</v>
      </c>
      <c r="AA44" s="24" t="s">
        <v>305</v>
      </c>
      <c r="AB44" s="129">
        <v>78</v>
      </c>
      <c r="AC44" s="129">
        <v>118</v>
      </c>
      <c r="AD44" s="129">
        <v>127</v>
      </c>
      <c r="AE44" s="129">
        <v>134</v>
      </c>
      <c r="AF44" s="129">
        <v>140</v>
      </c>
      <c r="AG44" s="129">
        <v>143</v>
      </c>
      <c r="AH44" s="129">
        <v>146</v>
      </c>
      <c r="AI44" s="129">
        <v>149</v>
      </c>
    </row>
    <row r="45" spans="1:43" ht="15" x14ac:dyDescent="0.25">
      <c r="A45" s="130" t="s">
        <v>306</v>
      </c>
      <c r="B45" s="131" t="s">
        <v>307</v>
      </c>
      <c r="C45" s="132"/>
      <c r="D45" s="133" t="s">
        <v>308</v>
      </c>
      <c r="E45" s="134"/>
      <c r="F45" s="134"/>
      <c r="G45" s="134"/>
      <c r="H45" s="134"/>
      <c r="I45" s="134"/>
      <c r="N45"/>
      <c r="P45"/>
      <c r="Y45"/>
      <c r="Z45" s="127" t="s">
        <v>309</v>
      </c>
      <c r="AA45" s="127" t="s">
        <v>310</v>
      </c>
      <c r="AB45" s="135">
        <v>78</v>
      </c>
      <c r="AC45" s="135">
        <v>97</v>
      </c>
      <c r="AD45" s="135">
        <v>97</v>
      </c>
      <c r="AE45" s="135">
        <v>97</v>
      </c>
      <c r="AF45" s="135">
        <v>97</v>
      </c>
      <c r="AG45" s="135">
        <v>92</v>
      </c>
      <c r="AH45" s="135">
        <v>89</v>
      </c>
      <c r="AI45" s="135">
        <v>87</v>
      </c>
    </row>
    <row r="46" spans="1:43" ht="15" x14ac:dyDescent="0.25">
      <c r="A46" s="136" t="s">
        <v>239</v>
      </c>
      <c r="B46" s="30" t="s">
        <v>311</v>
      </c>
      <c r="C46" s="45" t="s">
        <v>312</v>
      </c>
      <c r="D46" s="45" t="s">
        <v>313</v>
      </c>
      <c r="E46" s="45" t="s">
        <v>314</v>
      </c>
      <c r="F46" s="45" t="s">
        <v>315</v>
      </c>
      <c r="G46" s="45"/>
      <c r="H46" s="45"/>
      <c r="I46" s="45"/>
      <c r="K46" s="50"/>
      <c r="L46" s="50"/>
      <c r="M46" s="38"/>
      <c r="N46"/>
      <c r="P46"/>
      <c r="Y46" s="128" t="s">
        <v>316</v>
      </c>
      <c r="AA46" s="24" t="s">
        <v>305</v>
      </c>
      <c r="AB46" s="129">
        <v>99</v>
      </c>
      <c r="AC46" s="129">
        <v>109</v>
      </c>
      <c r="AD46" s="129">
        <v>113</v>
      </c>
      <c r="AE46" s="129">
        <v>116</v>
      </c>
      <c r="AF46" s="129">
        <v>118</v>
      </c>
      <c r="AG46" s="129">
        <v>121</v>
      </c>
      <c r="AH46" s="129">
        <v>123</v>
      </c>
      <c r="AI46" s="129">
        <v>126</v>
      </c>
    </row>
    <row r="47" spans="1:43" ht="15" x14ac:dyDescent="0.25">
      <c r="A47" s="28" t="s">
        <v>241</v>
      </c>
      <c r="B47" s="30" t="s">
        <v>317</v>
      </c>
      <c r="C47" s="45"/>
      <c r="D47" s="45"/>
      <c r="E47" s="45"/>
      <c r="F47" s="45"/>
      <c r="G47" s="45"/>
      <c r="H47" s="50"/>
      <c r="I47" s="50"/>
      <c r="K47" s="50"/>
      <c r="L47" s="50"/>
      <c r="M47" s="38"/>
      <c r="N47"/>
      <c r="P47"/>
      <c r="Y47"/>
      <c r="Z47" s="127" t="s">
        <v>318</v>
      </c>
      <c r="AA47" s="127" t="s">
        <v>310</v>
      </c>
      <c r="AB47" s="135">
        <v>99</v>
      </c>
      <c r="AC47" s="135">
        <v>93</v>
      </c>
      <c r="AD47" s="135">
        <v>83</v>
      </c>
      <c r="AE47" s="135">
        <v>74</v>
      </c>
      <c r="AF47" s="135">
        <v>68</v>
      </c>
      <c r="AG47" s="135">
        <v>64</v>
      </c>
      <c r="AH47" s="135">
        <v>62</v>
      </c>
      <c r="AI47" s="135">
        <v>60</v>
      </c>
    </row>
    <row r="48" spans="1:43" ht="15" x14ac:dyDescent="0.25">
      <c r="A48" s="28" t="s">
        <v>242</v>
      </c>
      <c r="B48" s="30" t="s">
        <v>319</v>
      </c>
      <c r="C48" s="45"/>
      <c r="D48" s="45"/>
      <c r="E48" s="45"/>
      <c r="F48" s="45"/>
      <c r="G48" s="45"/>
      <c r="H48" s="50"/>
      <c r="I48" s="50"/>
      <c r="K48" s="50"/>
      <c r="L48" s="50"/>
      <c r="M48" s="38"/>
      <c r="N48"/>
      <c r="P48"/>
      <c r="Y48" s="127" t="s">
        <v>320</v>
      </c>
      <c r="Z48"/>
      <c r="AA48" s="24" t="s">
        <v>305</v>
      </c>
      <c r="AB48" s="129">
        <v>4</v>
      </c>
      <c r="AC48" s="129">
        <v>7</v>
      </c>
      <c r="AD48" s="129">
        <v>8</v>
      </c>
      <c r="AE48" s="129">
        <v>8</v>
      </c>
      <c r="AF48" s="129">
        <v>9</v>
      </c>
      <c r="AG48" s="129">
        <v>9</v>
      </c>
      <c r="AH48" s="129">
        <v>9</v>
      </c>
      <c r="AI48" s="129">
        <v>10</v>
      </c>
    </row>
    <row r="49" spans="1:53" ht="15" x14ac:dyDescent="0.25">
      <c r="A49" s="28" t="s">
        <v>321</v>
      </c>
      <c r="B49" s="30" t="s">
        <v>322</v>
      </c>
      <c r="C49" s="45"/>
      <c r="D49" s="45"/>
      <c r="E49" s="45"/>
      <c r="F49" s="45"/>
      <c r="G49" s="45"/>
      <c r="H49" s="50"/>
      <c r="I49" s="50"/>
      <c r="K49" s="50"/>
      <c r="L49" s="50"/>
      <c r="M49" s="38"/>
      <c r="N49"/>
      <c r="P49"/>
      <c r="Y49"/>
      <c r="Z49" s="127" t="s">
        <v>323</v>
      </c>
      <c r="AA49" s="127" t="s">
        <v>310</v>
      </c>
      <c r="AB49" s="135">
        <v>4</v>
      </c>
      <c r="AC49" s="135">
        <v>7</v>
      </c>
      <c r="AD49" s="135">
        <v>8</v>
      </c>
      <c r="AE49" s="135">
        <v>8</v>
      </c>
      <c r="AF49" s="135">
        <v>8</v>
      </c>
      <c r="AG49" s="135">
        <v>7</v>
      </c>
      <c r="AH49" s="135">
        <v>7</v>
      </c>
      <c r="AI49" s="135">
        <v>7</v>
      </c>
    </row>
    <row r="50" spans="1:53" ht="15" x14ac:dyDescent="0.25">
      <c r="A50" s="130" t="s">
        <v>324</v>
      </c>
      <c r="B50" s="131" t="s">
        <v>307</v>
      </c>
      <c r="C50" s="45"/>
      <c r="D50" s="45"/>
      <c r="E50" s="45"/>
      <c r="F50" s="45"/>
      <c r="G50" s="45"/>
      <c r="H50" s="50"/>
      <c r="I50" s="50"/>
      <c r="K50" s="50"/>
      <c r="L50" s="50"/>
      <c r="M50" s="38"/>
      <c r="N50" s="38"/>
      <c r="Y50" s="127" t="s">
        <v>325</v>
      </c>
      <c r="Z50"/>
      <c r="AA50" s="24" t="s">
        <v>305</v>
      </c>
      <c r="AB50" s="129">
        <v>7</v>
      </c>
      <c r="AC50" s="129">
        <v>11</v>
      </c>
      <c r="AD50" s="129">
        <v>12</v>
      </c>
      <c r="AE50" s="129">
        <v>13</v>
      </c>
      <c r="AF50" s="129">
        <v>13</v>
      </c>
      <c r="AG50" s="129">
        <v>13</v>
      </c>
      <c r="AH50" s="129">
        <v>14</v>
      </c>
      <c r="AI50" s="129">
        <v>14</v>
      </c>
    </row>
    <row r="51" spans="1:53" ht="15" x14ac:dyDescent="0.25">
      <c r="A51" s="29" t="s">
        <v>326</v>
      </c>
      <c r="B51" s="30" t="s">
        <v>169</v>
      </c>
      <c r="C51" s="45"/>
      <c r="D51" s="45"/>
      <c r="E51" s="45"/>
      <c r="F51" s="45"/>
      <c r="G51" s="45"/>
      <c r="H51" s="50"/>
      <c r="I51" s="50"/>
      <c r="K51" s="50"/>
      <c r="L51" s="50"/>
      <c r="M51" s="38"/>
      <c r="N51" s="38"/>
      <c r="W51" t="s">
        <v>327</v>
      </c>
      <c r="X51">
        <v>0.5</v>
      </c>
      <c r="Z51" s="127" t="s">
        <v>323</v>
      </c>
      <c r="AA51" s="127" t="s">
        <v>310</v>
      </c>
      <c r="AB51" s="135">
        <v>7</v>
      </c>
      <c r="AC51" s="135">
        <v>10</v>
      </c>
      <c r="AD51" s="135">
        <v>10</v>
      </c>
      <c r="AE51" s="135">
        <v>10</v>
      </c>
      <c r="AF51" s="135">
        <v>9</v>
      </c>
      <c r="AG51" s="135">
        <v>9</v>
      </c>
      <c r="AH51" s="135">
        <v>9</v>
      </c>
      <c r="AI51" s="135">
        <v>8</v>
      </c>
    </row>
    <row r="52" spans="1:53" ht="15" x14ac:dyDescent="0.2">
      <c r="A52" s="29" t="s">
        <v>328</v>
      </c>
      <c r="B52" s="30" t="s">
        <v>167</v>
      </c>
      <c r="C52" s="45"/>
      <c r="D52" s="45"/>
      <c r="E52" s="45" t="s">
        <v>329</v>
      </c>
      <c r="F52" s="45"/>
      <c r="G52" s="45"/>
      <c r="H52" s="50"/>
      <c r="I52" s="50"/>
      <c r="K52" s="50"/>
      <c r="L52" s="50"/>
      <c r="M52" s="38"/>
      <c r="N52" s="38"/>
      <c r="Y52" s="127" t="s">
        <v>330</v>
      </c>
      <c r="AA52" s="24" t="s">
        <v>305</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323</v>
      </c>
      <c r="AA53" s="127" t="s">
        <v>310</v>
      </c>
      <c r="AB53" s="135">
        <v>11</v>
      </c>
      <c r="AC53" s="135">
        <v>12</v>
      </c>
      <c r="AD53" s="135">
        <v>12</v>
      </c>
      <c r="AE53" s="135">
        <v>12</v>
      </c>
      <c r="AF53" s="135">
        <v>12</v>
      </c>
      <c r="AG53" s="135">
        <v>12</v>
      </c>
      <c r="AH53" s="135">
        <v>11</v>
      </c>
      <c r="AI53" s="135">
        <v>11</v>
      </c>
    </row>
    <row r="54" spans="1:53" ht="15" x14ac:dyDescent="0.25">
      <c r="C54" s="39"/>
      <c r="D54" s="139" t="s">
        <v>331</v>
      </c>
      <c r="E54" s="141">
        <v>1</v>
      </c>
      <c r="H54" s="39"/>
      <c r="I54" s="39"/>
      <c r="J54" s="39"/>
      <c r="K54" s="38"/>
      <c r="Y54" t="s">
        <v>231</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332</v>
      </c>
      <c r="B55" s="296"/>
      <c r="C55" s="296"/>
      <c r="D55" s="296" t="s">
        <v>333</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334</v>
      </c>
      <c r="B56" s="386" t="s">
        <v>335</v>
      </c>
      <c r="C56" s="386" t="s">
        <v>336</v>
      </c>
      <c r="D56" s="386" t="s">
        <v>337</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
        <v>338</v>
      </c>
      <c r="Q56" s="386" t="s">
        <v>339</v>
      </c>
      <c r="R56" s="387" t="s">
        <v>1094</v>
      </c>
      <c r="S56" s="387" t="s">
        <v>1095</v>
      </c>
      <c r="T56" s="145" t="s">
        <v>340</v>
      </c>
      <c r="U56" s="145" t="s">
        <v>341</v>
      </c>
      <c r="V56" s="145"/>
      <c r="W56" s="145"/>
      <c r="X56" s="145"/>
      <c r="Y56" s="145" t="s">
        <v>342</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343</v>
      </c>
      <c r="B57" s="147" t="s">
        <v>344</v>
      </c>
      <c r="C57" s="147" t="s">
        <v>345</v>
      </c>
      <c r="D57" s="145" t="s">
        <v>346</v>
      </c>
      <c r="E57" s="145">
        <v>0</v>
      </c>
      <c r="F57" s="148">
        <v>2017</v>
      </c>
      <c r="G57" s="148">
        <v>2021</v>
      </c>
      <c r="H57" s="148">
        <v>2030</v>
      </c>
      <c r="I57" s="148">
        <v>2050</v>
      </c>
      <c r="J57" s="148">
        <v>0</v>
      </c>
      <c r="K57" s="148">
        <v>2017</v>
      </c>
      <c r="L57" s="148">
        <v>2019</v>
      </c>
      <c r="M57" s="148">
        <v>2021</v>
      </c>
      <c r="N57" s="148">
        <f>H57</f>
        <v>2030</v>
      </c>
      <c r="O57" s="148">
        <f>I57</f>
        <v>2050</v>
      </c>
      <c r="P57" s="148"/>
      <c r="Q57" s="148" t="s">
        <v>240</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347</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348</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111.49620902079818</v>
      </c>
      <c r="I65" s="82">
        <f t="shared" si="22"/>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349</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350</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351</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1059</v>
      </c>
      <c r="B79" s="30"/>
      <c r="D79" s="159" t="str">
        <f>D80</f>
        <v>GRL</v>
      </c>
      <c r="E79" s="30"/>
      <c r="F79" s="82">
        <f>F80/F15</f>
        <v>8.7491242874264614</v>
      </c>
      <c r="G79" s="82">
        <f t="shared" ref="G79:I79" si="33">G80/G15</f>
        <v>9.0144883767620421</v>
      </c>
      <c r="H79" s="82">
        <f t="shared" si="33"/>
        <v>8.3053057450005809</v>
      </c>
      <c r="I79" s="82">
        <f t="shared" si="33"/>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143.92309452816528</v>
      </c>
      <c r="G80" s="82">
        <f t="shared" si="34"/>
        <v>148.28833379773559</v>
      </c>
      <c r="H80" s="82">
        <f t="shared" si="34"/>
        <v>136.62227950525954</v>
      </c>
      <c r="I80" s="82">
        <f t="shared" si="34"/>
        <v>172.30668087048045</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150.16006135280986</v>
      </c>
      <c r="G81" s="82">
        <f t="shared" si="34"/>
        <v>154.52530062238017</v>
      </c>
      <c r="H81" s="82">
        <f t="shared" si="34"/>
        <v>142.85924632990407</v>
      </c>
      <c r="I81" s="82">
        <f t="shared" si="34"/>
        <v>178.543647695125</v>
      </c>
      <c r="J81" s="82" t="s">
        <v>253</v>
      </c>
      <c r="K81" s="82" t="s">
        <v>253</v>
      </c>
      <c r="L81" s="82" t="s">
        <v>253</v>
      </c>
      <c r="M81"/>
      <c r="N81" t="s">
        <v>253</v>
      </c>
      <c r="O81" t="s">
        <v>253</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1059</v>
      </c>
      <c r="B82" s="30"/>
      <c r="D82" s="159" t="str">
        <f>D81</f>
        <v>GWL</v>
      </c>
      <c r="E82" s="30"/>
      <c r="F82" s="82">
        <f>F81/F15</f>
        <v>9.1282712068577432</v>
      </c>
      <c r="G82" s="82">
        <f t="shared" ref="G82:I82" si="35">G81/G15</f>
        <v>9.3936352961933238</v>
      </c>
      <c r="H82" s="82">
        <f t="shared" si="35"/>
        <v>8.6844526644318591</v>
      </c>
      <c r="I82" s="82">
        <f t="shared" si="35"/>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7">SUMIF($C$8:$AZ$8,D83,$C$11:$AZ$11)</f>
        <v>170.374545454545</v>
      </c>
      <c r="L83" s="82"/>
      <c r="M83"/>
      <c r="N83"/>
      <c r="O83"/>
      <c r="P83"/>
      <c r="Q83" t="str">
        <f t="shared" si="32"/>
        <v/>
      </c>
      <c r="T83" s="161" t="s">
        <v>352</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232.71621829347131</v>
      </c>
      <c r="I84" s="82">
        <f t="shared" si="38"/>
        <v>294.96333237453405</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186.03605031446543</v>
      </c>
      <c r="I85" s="82">
        <f t="shared" si="39"/>
        <v>236.95117987421381</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224.41968109431471</v>
      </c>
      <c r="I86" s="82">
        <f t="shared" si="39"/>
        <v>286.31310869549469</v>
      </c>
      <c r="J86" s="82">
        <v>0</v>
      </c>
      <c r="K86" s="82">
        <v>162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232.71621829347131</v>
      </c>
      <c r="I87" s="82">
        <f t="shared" si="39"/>
        <v>294.96333237453405</v>
      </c>
      <c r="J87" s="82">
        <v>0</v>
      </c>
      <c r="K87" s="82">
        <v>35.299999999999997</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186.03605031446543</v>
      </c>
      <c r="I88" s="82">
        <f t="shared" si="39"/>
        <v>236.95117987421381</v>
      </c>
      <c r="J88" s="82">
        <v>0</v>
      </c>
      <c r="K88" s="82">
        <v>0</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366.03930314149977</v>
      </c>
      <c r="I89" s="82">
        <f t="shared" si="39"/>
        <v>417.76583187285604</v>
      </c>
      <c r="J89" s="82">
        <v>0</v>
      </c>
      <c r="K89" s="82">
        <v>2.1</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231.22467020790273</v>
      </c>
      <c r="I90" s="82">
        <f t="shared" si="39"/>
        <v>291.00244139042559</v>
      </c>
      <c r="J90" s="82">
        <v>0</v>
      </c>
      <c r="K90" s="82">
        <v>15</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235.64066514903047</v>
      </c>
      <c r="I91" s="82">
        <f t="shared" si="40"/>
        <v>300.62876413026942</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244.3520292081449</v>
      </c>
      <c r="I92" s="82">
        <f t="shared" si="40"/>
        <v>309.71149899326076</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353</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1">G81-(1.5*G15)</f>
        <v>129.85030062238019</v>
      </c>
      <c r="H95" s="82">
        <f t="shared" si="41"/>
        <v>118.18424632990407</v>
      </c>
      <c r="I95" s="82">
        <f t="shared" si="41"/>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354</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-221.08040737879773</v>
      </c>
      <c r="I99" s="82">
        <f t="shared" si="45"/>
        <v>-280.21516575580733</v>
      </c>
      <c r="J99" s="82">
        <v>0</v>
      </c>
      <c r="K99" s="393">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-176.73424779874216</v>
      </c>
      <c r="I100" s="82">
        <f t="shared" si="46"/>
        <v>-225.10362088050312</v>
      </c>
      <c r="J100" s="82">
        <v>0</v>
      </c>
      <c r="K100" s="393">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-213.19869703959895</v>
      </c>
      <c r="I101" s="82">
        <f t="shared" si="46"/>
        <v>-271.99745326071996</v>
      </c>
      <c r="J101" s="82">
        <v>0</v>
      </c>
      <c r="K101" s="393">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-221.08040737879773</v>
      </c>
      <c r="I102" s="82">
        <f t="shared" si="46"/>
        <v>-280.21516575580733</v>
      </c>
      <c r="J102" s="82">
        <v>0</v>
      </c>
      <c r="K102" s="393">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-176.73424779874216</v>
      </c>
      <c r="I103" s="82">
        <f t="shared" si="46"/>
        <v>-225.10362088050312</v>
      </c>
      <c r="J103" s="82">
        <v>0</v>
      </c>
      <c r="K103" s="393"/>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-219.66343669750759</v>
      </c>
      <c r="I104" s="82">
        <f t="shared" si="46"/>
        <v>-276.45231932090428</v>
      </c>
      <c r="J104" s="82">
        <v>0</v>
      </c>
      <c r="K104" s="393">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356</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1092</v>
      </c>
      <c r="C1" s="398"/>
      <c r="D1" s="37"/>
      <c r="E1" s="37"/>
      <c r="F1" s="29"/>
      <c r="G1" s="36"/>
      <c r="H1" s="36"/>
      <c r="I1" s="36"/>
    </row>
    <row r="2" spans="1:17" ht="13.5" thickTop="1" x14ac:dyDescent="0.2">
      <c r="A2" s="30"/>
      <c r="B2" s="38"/>
      <c r="C2" s="38"/>
      <c r="D2" s="38"/>
      <c r="E2" s="38"/>
      <c r="F2" s="30"/>
      <c r="G2" s="38"/>
      <c r="H2" s="38"/>
      <c r="I2" s="38"/>
      <c r="J2" s="30" t="s">
        <v>1084</v>
      </c>
      <c r="K2" s="38">
        <f>SUP!F15</f>
        <v>16.45</v>
      </c>
      <c r="L2" s="38"/>
    </row>
    <row r="3" spans="1:17" ht="15" x14ac:dyDescent="0.25">
      <c r="A3" s="296"/>
      <c r="B3" s="296"/>
      <c r="C3" s="296"/>
      <c r="D3" s="296" t="s">
        <v>333</v>
      </c>
      <c r="E3" s="296"/>
      <c r="F3" s="296"/>
      <c r="G3" s="296"/>
      <c r="H3" s="296"/>
      <c r="I3" s="296"/>
      <c r="J3" s="296"/>
      <c r="K3" s="296"/>
      <c r="L3" s="296"/>
      <c r="M3" s="296"/>
      <c r="N3" s="296"/>
      <c r="O3" s="296"/>
      <c r="P3" s="296"/>
    </row>
    <row r="4" spans="1:17" ht="42.75" customHeight="1" x14ac:dyDescent="0.25">
      <c r="A4" s="388" t="s">
        <v>334</v>
      </c>
      <c r="B4" s="386" t="s">
        <v>335</v>
      </c>
      <c r="C4" s="386" t="s">
        <v>336</v>
      </c>
      <c r="D4" s="386" t="s">
        <v>337</v>
      </c>
      <c r="E4" s="386" t="s">
        <v>131</v>
      </c>
      <c r="F4" s="386" t="s">
        <v>594</v>
      </c>
      <c r="G4" s="388" t="s">
        <v>1033</v>
      </c>
      <c r="H4" s="388" t="s">
        <v>1034</v>
      </c>
      <c r="I4" s="386" t="s">
        <v>1040</v>
      </c>
      <c r="J4" s="386" t="s">
        <v>1019</v>
      </c>
      <c r="K4" s="386" t="s">
        <v>595</v>
      </c>
      <c r="L4" s="386" t="s">
        <v>1041</v>
      </c>
      <c r="M4" s="386" t="s">
        <v>1018</v>
      </c>
      <c r="N4" s="386" t="s">
        <v>1020</v>
      </c>
      <c r="O4" s="296" t="s">
        <v>1090</v>
      </c>
      <c r="P4" s="296" t="s">
        <v>1091</v>
      </c>
      <c r="Q4" s="28" t="s">
        <v>1035</v>
      </c>
    </row>
    <row r="5" spans="1:17" ht="26.25" thickBot="1" x14ac:dyDescent="0.25">
      <c r="A5" s="66" t="s">
        <v>347</v>
      </c>
      <c r="B5" s="150"/>
      <c r="C5" s="150"/>
      <c r="D5" s="150"/>
      <c r="E5" s="399" t="s">
        <v>816</v>
      </c>
      <c r="F5" s="399" t="s">
        <v>1016</v>
      </c>
      <c r="G5" s="140" t="s">
        <v>1015</v>
      </c>
      <c r="H5" s="140" t="s">
        <v>1015</v>
      </c>
      <c r="I5" s="140"/>
      <c r="J5" s="140"/>
      <c r="K5" s="140" t="s">
        <v>1083</v>
      </c>
      <c r="L5" s="140"/>
      <c r="M5" s="140" t="s">
        <v>816</v>
      </c>
      <c r="N5" s="151"/>
      <c r="O5" s="151"/>
      <c r="P5" s="151"/>
    </row>
    <row r="6" spans="1:17" x14ac:dyDescent="0.2">
      <c r="A6" s="163" t="s">
        <v>817</v>
      </c>
      <c r="B6" s="157" t="s">
        <v>1028</v>
      </c>
      <c r="C6" s="28" t="s">
        <v>177</v>
      </c>
      <c r="D6" s="28" t="s">
        <v>187</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815</v>
      </c>
      <c r="B7" s="157" t="s">
        <v>1027</v>
      </c>
      <c r="C7" s="28" t="s">
        <v>177</v>
      </c>
      <c r="D7" s="28" t="s">
        <v>187</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1072</v>
      </c>
      <c r="C17"/>
      <c r="D17"/>
      <c r="E17" t="s">
        <v>1076</v>
      </c>
      <c r="F17"/>
      <c r="G17"/>
      <c r="H17"/>
      <c r="I17" t="s">
        <v>613</v>
      </c>
      <c r="J17" t="s">
        <v>1078</v>
      </c>
      <c r="K17" t="s">
        <v>851</v>
      </c>
      <c r="L17" t="s">
        <v>1049</v>
      </c>
      <c r="M17" t="s">
        <v>1079</v>
      </c>
      <c r="O17" t="s">
        <v>880</v>
      </c>
      <c r="Q17" t="s">
        <v>1082</v>
      </c>
      <c r="R17" t="s">
        <v>131</v>
      </c>
      <c r="S17" s="28" t="s">
        <v>1060</v>
      </c>
      <c r="T17" s="28" t="s">
        <v>1086</v>
      </c>
      <c r="U17" t="s">
        <v>1046</v>
      </c>
    </row>
    <row r="18" spans="1:22" ht="15" x14ac:dyDescent="0.25">
      <c r="A18"/>
      <c r="B18" t="s">
        <v>1073</v>
      </c>
      <c r="C18" t="s">
        <v>240</v>
      </c>
      <c r="D18" t="s">
        <v>654</v>
      </c>
      <c r="E18" t="s">
        <v>1075</v>
      </c>
      <c r="F18" t="s">
        <v>1071</v>
      </c>
      <c r="G18" t="s">
        <v>1042</v>
      </c>
      <c r="H18" t="s">
        <v>1080</v>
      </c>
      <c r="I18" t="s">
        <v>1077</v>
      </c>
      <c r="J18"/>
      <c r="K18" t="s">
        <v>967</v>
      </c>
      <c r="L18"/>
      <c r="M18" t="s">
        <v>1044</v>
      </c>
      <c r="N18" s="28" t="s">
        <v>1048</v>
      </c>
      <c r="O18" t="s">
        <v>1081</v>
      </c>
      <c r="P18" s="28" t="s">
        <v>1085</v>
      </c>
      <c r="Q18"/>
      <c r="T18" s="28" t="s">
        <v>1044</v>
      </c>
      <c r="U18" t="s">
        <v>1043</v>
      </c>
      <c r="V18" s="28" t="s">
        <v>813</v>
      </c>
    </row>
    <row r="19" spans="1:22" ht="15" x14ac:dyDescent="0.25">
      <c r="A19" t="s">
        <v>266</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265</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1074</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1087</v>
      </c>
      <c r="B28" s="28" t="s">
        <v>1047</v>
      </c>
      <c r="L28" s="28" t="s">
        <v>1089</v>
      </c>
    </row>
    <row r="30" spans="1:22" x14ac:dyDescent="0.2">
      <c r="C30" s="125"/>
    </row>
    <row r="43" spans="2:2" x14ac:dyDescent="0.2">
      <c r="B43" s="28" t="s">
        <v>1088</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1093</v>
      </c>
      <c r="C1" s="398"/>
      <c r="D1" s="37"/>
      <c r="E1" s="37"/>
      <c r="F1" s="29"/>
      <c r="G1" s="36"/>
      <c r="H1" s="36"/>
    </row>
    <row r="2" spans="1:18" ht="13.5" thickTop="1" x14ac:dyDescent="0.2">
      <c r="A2" s="30"/>
      <c r="B2" s="38"/>
      <c r="C2" s="38"/>
      <c r="D2" s="38"/>
      <c r="E2" s="38"/>
      <c r="F2" s="30"/>
      <c r="G2" s="38"/>
      <c r="H2" s="38"/>
      <c r="I2" s="30" t="s">
        <v>1084</v>
      </c>
      <c r="J2" s="38">
        <f>SUP!F15</f>
        <v>16.45</v>
      </c>
      <c r="K2" s="38"/>
    </row>
    <row r="3" spans="1:18" ht="15" x14ac:dyDescent="0.25">
      <c r="A3" s="296"/>
      <c r="B3" s="296"/>
      <c r="C3" s="296"/>
      <c r="D3" s="296" t="s">
        <v>333</v>
      </c>
      <c r="E3" s="296"/>
      <c r="F3" s="296"/>
      <c r="G3" s="296"/>
      <c r="H3" s="296"/>
      <c r="I3" s="296"/>
      <c r="J3" s="296"/>
      <c r="K3" s="296"/>
      <c r="L3" s="296"/>
      <c r="M3" s="296"/>
      <c r="N3" s="296"/>
      <c r="O3" s="296"/>
      <c r="P3" s="296"/>
      <c r="Q3" s="296"/>
    </row>
    <row r="4" spans="1:18" ht="42.75" customHeight="1" x14ac:dyDescent="0.25">
      <c r="A4" s="388" t="s">
        <v>334</v>
      </c>
      <c r="B4" s="386" t="s">
        <v>335</v>
      </c>
      <c r="C4" s="386" t="s">
        <v>336</v>
      </c>
      <c r="D4" s="386" t="s">
        <v>337</v>
      </c>
      <c r="E4" s="386" t="s">
        <v>131</v>
      </c>
      <c r="F4" s="386" t="s">
        <v>594</v>
      </c>
      <c r="G4" s="388" t="s">
        <v>1033</v>
      </c>
      <c r="H4" s="388" t="s">
        <v>1034</v>
      </c>
      <c r="I4" s="386" t="s">
        <v>1019</v>
      </c>
      <c r="J4" s="386" t="s">
        <v>595</v>
      </c>
      <c r="K4" s="386" t="s">
        <v>1041</v>
      </c>
      <c r="L4" s="386" t="s">
        <v>1018</v>
      </c>
      <c r="M4" s="386" t="s">
        <v>1020</v>
      </c>
      <c r="N4" s="296" t="str">
        <f>"NCAP_BND~"&amp;N5</f>
        <v>NCAP_BND~0</v>
      </c>
      <c r="O4" s="296" t="s">
        <v>1017</v>
      </c>
      <c r="P4" s="296" t="s">
        <v>1090</v>
      </c>
      <c r="Q4" s="296" t="s">
        <v>1091</v>
      </c>
      <c r="R4" s="28" t="s">
        <v>1035</v>
      </c>
    </row>
    <row r="5" spans="1:18" ht="26.25" thickBot="1" x14ac:dyDescent="0.25">
      <c r="A5" s="66" t="s">
        <v>347</v>
      </c>
      <c r="B5" s="150"/>
      <c r="C5" s="150"/>
      <c r="D5" s="150"/>
      <c r="E5" s="399" t="s">
        <v>816</v>
      </c>
      <c r="F5" s="399" t="s">
        <v>1016</v>
      </c>
      <c r="G5" s="140" t="s">
        <v>1015</v>
      </c>
      <c r="H5" s="140" t="s">
        <v>1015</v>
      </c>
      <c r="I5" s="140"/>
      <c r="J5" s="140" t="s">
        <v>1014</v>
      </c>
      <c r="K5" s="140"/>
      <c r="L5" s="140" t="s">
        <v>816</v>
      </c>
      <c r="M5" s="151"/>
      <c r="N5" s="151">
        <v>0</v>
      </c>
      <c r="O5" s="151">
        <v>0</v>
      </c>
      <c r="P5" s="151"/>
      <c r="Q5" s="151"/>
    </row>
    <row r="6" spans="1:18" ht="15" x14ac:dyDescent="0.25">
      <c r="A6" s="163" t="s">
        <v>1029</v>
      </c>
      <c r="B6" s="157" t="s">
        <v>1030</v>
      </c>
      <c r="C6" s="28" t="s">
        <v>187</v>
      </c>
      <c r="D6" s="28" t="s">
        <v>171</v>
      </c>
      <c r="E6" s="394">
        <v>80</v>
      </c>
      <c r="F6" s="397">
        <v>0.99</v>
      </c>
      <c r="G6" s="396">
        <v>1</v>
      </c>
      <c r="H6" s="396"/>
      <c r="I6" s="394">
        <v>2027</v>
      </c>
      <c r="J6" s="400">
        <f>785*1.16*J2/160</f>
        <v>93.621062499999979</v>
      </c>
      <c r="K6" s="400"/>
      <c r="L6" s="394">
        <v>-4</v>
      </c>
      <c r="M6" s="160"/>
      <c r="P6" s="28">
        <v>160</v>
      </c>
    </row>
    <row r="7" spans="1:18" x14ac:dyDescent="0.2">
      <c r="A7" s="163" t="s">
        <v>1031</v>
      </c>
      <c r="B7" s="157" t="s">
        <v>1032</v>
      </c>
      <c r="C7" s="28" t="s">
        <v>183</v>
      </c>
      <c r="D7" s="28" t="s">
        <v>187</v>
      </c>
      <c r="E7" s="394">
        <v>80</v>
      </c>
      <c r="F7" s="397">
        <v>0.99</v>
      </c>
      <c r="G7" s="396">
        <v>1</v>
      </c>
      <c r="H7" s="396"/>
      <c r="I7" s="394">
        <v>2027</v>
      </c>
      <c r="J7" s="396" t="str">
        <f>IFERROR(HLOOKUP(B7,#REF!,#REF!,FALSE),"")</f>
        <v/>
      </c>
      <c r="K7" s="396"/>
      <c r="L7" s="394">
        <v>-4</v>
      </c>
      <c r="M7" s="160"/>
    </row>
    <row r="8" spans="1:18" x14ac:dyDescent="0.2">
      <c r="A8" s="163" t="s">
        <v>1021</v>
      </c>
      <c r="B8" s="157" t="s">
        <v>1022</v>
      </c>
      <c r="C8" s="28" t="s">
        <v>181</v>
      </c>
      <c r="D8" s="28" t="s">
        <v>171</v>
      </c>
      <c r="E8" s="394">
        <v>80</v>
      </c>
      <c r="F8" s="167">
        <v>0.99</v>
      </c>
      <c r="G8" s="396">
        <v>1</v>
      </c>
      <c r="H8" s="396"/>
      <c r="I8" s="395">
        <v>2030</v>
      </c>
      <c r="J8" s="396">
        <f>5000*J2/500</f>
        <v>164.5</v>
      </c>
      <c r="K8" s="396"/>
      <c r="L8" s="394">
        <v>-4</v>
      </c>
      <c r="M8" s="160"/>
      <c r="N8" s="28">
        <v>5</v>
      </c>
      <c r="O8" s="28">
        <v>0</v>
      </c>
      <c r="P8" s="28">
        <v>500</v>
      </c>
    </row>
    <row r="9" spans="1:18" x14ac:dyDescent="0.2">
      <c r="A9" s="163" t="s">
        <v>1023</v>
      </c>
      <c r="B9" s="157" t="s">
        <v>1024</v>
      </c>
      <c r="C9" s="28" t="s">
        <v>173</v>
      </c>
      <c r="D9" s="28" t="s">
        <v>171</v>
      </c>
      <c r="E9" s="394">
        <v>80</v>
      </c>
      <c r="F9" s="167">
        <v>0.99</v>
      </c>
      <c r="G9" s="396">
        <v>1</v>
      </c>
      <c r="H9" s="396"/>
      <c r="I9" s="394"/>
      <c r="J9" s="396">
        <f>C38</f>
        <v>12.530380337750408</v>
      </c>
      <c r="K9" s="396"/>
      <c r="L9" s="394">
        <v>-4</v>
      </c>
      <c r="M9" s="160">
        <v>160</v>
      </c>
      <c r="N9" s="28">
        <v>5</v>
      </c>
      <c r="O9" s="28">
        <v>0</v>
      </c>
    </row>
    <row r="10" spans="1:18" x14ac:dyDescent="0.2">
      <c r="A10" s="163" t="s">
        <v>1025</v>
      </c>
      <c r="B10" s="157" t="s">
        <v>1026</v>
      </c>
      <c r="C10" s="28" t="s">
        <v>185</v>
      </c>
      <c r="D10" s="28" t="s">
        <v>171</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1066</v>
      </c>
    </row>
    <row r="29" spans="1:3" x14ac:dyDescent="0.2">
      <c r="A29" s="28" t="s">
        <v>1065</v>
      </c>
    </row>
    <row r="30" spans="1:3" x14ac:dyDescent="0.2">
      <c r="A30" s="28" t="s">
        <v>1061</v>
      </c>
      <c r="B30" s="28" t="s">
        <v>1044</v>
      </c>
      <c r="C30" s="28">
        <v>300</v>
      </c>
    </row>
    <row r="31" spans="1:3" x14ac:dyDescent="0.2">
      <c r="B31" s="28" t="s">
        <v>1060</v>
      </c>
      <c r="C31" s="411">
        <f>-PMT(10%,5,1)</f>
        <v>0.26379748079474541</v>
      </c>
    </row>
    <row r="32" spans="1:3" x14ac:dyDescent="0.2">
      <c r="A32" s="28" t="s">
        <v>1045</v>
      </c>
      <c r="B32" s="28" t="s">
        <v>1044</v>
      </c>
      <c r="C32" s="28">
        <f>C31*C30</f>
        <v>79.139244238423629</v>
      </c>
    </row>
    <row r="33" spans="1:5" x14ac:dyDescent="0.2">
      <c r="B33" s="28" t="s">
        <v>1063</v>
      </c>
      <c r="C33" s="28">
        <f>C32*19</f>
        <v>1503.6456405300489</v>
      </c>
    </row>
    <row r="34" spans="1:5" x14ac:dyDescent="0.2">
      <c r="A34" s="28" t="s">
        <v>1062</v>
      </c>
      <c r="B34" s="28" t="s">
        <v>240</v>
      </c>
      <c r="C34" s="28">
        <v>120</v>
      </c>
      <c r="D34" s="28" t="s">
        <v>1069</v>
      </c>
      <c r="E34" s="28" t="s">
        <v>1070</v>
      </c>
    </row>
    <row r="35" spans="1:5" x14ac:dyDescent="0.2">
      <c r="A35" s="28" t="s">
        <v>1064</v>
      </c>
      <c r="B35" s="28" t="s">
        <v>254</v>
      </c>
      <c r="C35" s="125">
        <f>C33/C34</f>
        <v>12.530380337750408</v>
      </c>
    </row>
    <row r="36" spans="1:5" x14ac:dyDescent="0.2">
      <c r="A36" s="28" t="s">
        <v>1067</v>
      </c>
      <c r="B36" s="28" t="s">
        <v>254</v>
      </c>
      <c r="C36" s="28">
        <v>70</v>
      </c>
    </row>
    <row r="37" spans="1:5" x14ac:dyDescent="0.2">
      <c r="A37" s="28" t="s">
        <v>1068</v>
      </c>
      <c r="B37" s="28" t="s">
        <v>254</v>
      </c>
      <c r="C37" s="28">
        <v>120</v>
      </c>
    </row>
    <row r="38" spans="1:5" x14ac:dyDescent="0.2">
      <c r="A38" s="28" t="s">
        <v>814</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988</v>
      </c>
      <c r="C2" s="169"/>
      <c r="D2" s="169"/>
      <c r="E2" s="169"/>
    </row>
    <row r="3" spans="1:31" ht="15.75" thickTop="1" x14ac:dyDescent="0.25"/>
    <row r="6" spans="1:31" ht="15" customHeight="1" x14ac:dyDescent="0.25">
      <c r="A6" t="s">
        <v>360</v>
      </c>
      <c r="U6" s="173" t="s">
        <v>361</v>
      </c>
      <c r="V6" s="174">
        <v>15.3</v>
      </c>
      <c r="W6" s="175" t="s">
        <v>362</v>
      </c>
      <c r="AC6" s="416" t="s">
        <v>363</v>
      </c>
      <c r="AD6" s="416"/>
      <c r="AE6" s="416"/>
    </row>
    <row r="7" spans="1:31" ht="15.75" customHeight="1" x14ac:dyDescent="0.25">
      <c r="A7" s="417" t="s">
        <v>364</v>
      </c>
      <c r="B7" s="419" t="s">
        <v>365</v>
      </c>
      <c r="C7" s="421" t="s">
        <v>366</v>
      </c>
      <c r="D7" s="422"/>
      <c r="E7" s="423"/>
      <c r="F7" s="426" t="s">
        <v>367</v>
      </c>
      <c r="G7" s="176"/>
      <c r="H7" s="176"/>
      <c r="I7" s="176"/>
      <c r="J7" s="176"/>
      <c r="U7" s="173" t="s">
        <v>368</v>
      </c>
      <c r="V7" s="174">
        <v>18.235131074122162</v>
      </c>
      <c r="W7" s="175" t="s">
        <v>369</v>
      </c>
      <c r="AC7" s="177" t="s">
        <v>370</v>
      </c>
      <c r="AD7" s="178">
        <f>AD8*AD9/10^3</f>
        <v>5.4839199999999998E-2</v>
      </c>
      <c r="AE7" s="179" t="s">
        <v>240</v>
      </c>
    </row>
    <row r="8" spans="1:31" x14ac:dyDescent="0.25">
      <c r="A8" s="418"/>
      <c r="B8" s="420"/>
      <c r="C8" s="424"/>
      <c r="D8" s="425"/>
      <c r="E8" s="425"/>
      <c r="F8" s="427"/>
      <c r="G8" s="176"/>
      <c r="H8" s="176"/>
      <c r="I8" s="176"/>
      <c r="J8" s="176"/>
      <c r="V8" t="s">
        <v>371</v>
      </c>
      <c r="W8" t="s">
        <v>371</v>
      </c>
      <c r="X8" t="s">
        <v>371</v>
      </c>
      <c r="Y8" t="s">
        <v>372</v>
      </c>
      <c r="Z8" t="s">
        <v>372</v>
      </c>
      <c r="AA8" t="s">
        <v>372</v>
      </c>
      <c r="AC8" s="180" t="s">
        <v>373</v>
      </c>
      <c r="AD8" s="178">
        <v>52</v>
      </c>
      <c r="AE8" s="179" t="s">
        <v>374</v>
      </c>
    </row>
    <row r="9" spans="1:31" x14ac:dyDescent="0.25">
      <c r="A9" s="181"/>
      <c r="B9" s="182"/>
      <c r="C9" s="183" t="s">
        <v>375</v>
      </c>
      <c r="D9" s="184" t="s">
        <v>376</v>
      </c>
      <c r="E9" s="184" t="s">
        <v>377</v>
      </c>
      <c r="F9" s="185"/>
      <c r="G9" t="s">
        <v>378</v>
      </c>
      <c r="H9" s="186" t="s">
        <v>379</v>
      </c>
      <c r="I9" s="176"/>
      <c r="J9" s="176"/>
      <c r="O9" t="s">
        <v>380</v>
      </c>
      <c r="R9" s="187" t="s">
        <v>381</v>
      </c>
      <c r="S9" t="s">
        <v>382</v>
      </c>
      <c r="T9" t="s">
        <v>383</v>
      </c>
      <c r="U9" t="s">
        <v>384</v>
      </c>
      <c r="V9" s="188">
        <v>7.0000000000000001E-3</v>
      </c>
      <c r="W9" s="188">
        <v>0.02</v>
      </c>
      <c r="X9" s="189">
        <v>0.05</v>
      </c>
      <c r="Y9" s="190">
        <v>0.02</v>
      </c>
      <c r="Z9" s="190">
        <v>0.04</v>
      </c>
      <c r="AA9" s="190">
        <v>0.05</v>
      </c>
      <c r="AC9" s="180" t="s">
        <v>385</v>
      </c>
      <c r="AD9" s="178">
        <v>1.0546</v>
      </c>
      <c r="AE9" s="179" t="s">
        <v>240</v>
      </c>
    </row>
    <row r="10" spans="1:31" x14ac:dyDescent="0.25">
      <c r="A10" s="191" t="s">
        <v>386</v>
      </c>
      <c r="B10" s="10" t="s">
        <v>387</v>
      </c>
      <c r="C10" s="192">
        <v>7</v>
      </c>
      <c r="D10" s="193">
        <v>9</v>
      </c>
      <c r="E10" s="193">
        <f>(C10+D10)/2</f>
        <v>8</v>
      </c>
      <c r="F10" s="194"/>
      <c r="G10" t="s">
        <v>388</v>
      </c>
      <c r="H10" s="186" t="s">
        <v>379</v>
      </c>
      <c r="I10" s="57"/>
      <c r="J10" s="57"/>
      <c r="O10" s="5" t="s">
        <v>389</v>
      </c>
      <c r="Q10" s="10" t="s">
        <v>311</v>
      </c>
      <c r="R10" s="15" t="s">
        <v>390</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373</v>
      </c>
      <c r="AD10" s="178">
        <v>5.7272999999999996</v>
      </c>
      <c r="AE10" s="179" t="s">
        <v>391</v>
      </c>
    </row>
    <row r="11" spans="1:31" x14ac:dyDescent="0.25">
      <c r="A11" s="73" t="s">
        <v>392</v>
      </c>
      <c r="B11" s="10" t="s">
        <v>387</v>
      </c>
      <c r="C11" s="61">
        <v>4.8</v>
      </c>
      <c r="D11" s="57">
        <v>13.9</v>
      </c>
      <c r="E11" s="57">
        <f>(C11+D11)/2</f>
        <v>9.35</v>
      </c>
      <c r="F11" s="200">
        <v>65.3</v>
      </c>
      <c r="G11" t="s">
        <v>393</v>
      </c>
      <c r="H11" s="186" t="s">
        <v>379</v>
      </c>
      <c r="I11" s="57"/>
      <c r="J11" s="57"/>
      <c r="O11" s="201">
        <f>Index!C5</f>
        <v>0</v>
      </c>
      <c r="Q11" s="16" t="s">
        <v>311</v>
      </c>
      <c r="R11" s="11" t="s">
        <v>394</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395</v>
      </c>
      <c r="AD11" s="178">
        <v>11</v>
      </c>
      <c r="AE11" s="179" t="s">
        <v>240</v>
      </c>
    </row>
    <row r="12" spans="1:31" x14ac:dyDescent="0.25">
      <c r="A12" s="73" t="s">
        <v>396</v>
      </c>
      <c r="B12" s="10" t="s">
        <v>387</v>
      </c>
      <c r="C12" s="61">
        <v>9.4</v>
      </c>
      <c r="D12" s="57">
        <v>9.4</v>
      </c>
      <c r="E12" s="57">
        <f>(C12+D12)/2</f>
        <v>9.4</v>
      </c>
      <c r="F12" s="200"/>
      <c r="G12" t="s">
        <v>397</v>
      </c>
      <c r="H12" s="186" t="s">
        <v>379</v>
      </c>
      <c r="I12" s="57"/>
      <c r="J12" s="57"/>
      <c r="N12" t="s">
        <v>398</v>
      </c>
      <c r="O12" s="1">
        <f>IF($O$11=1,(1-V19),IF($O$11=2,(1-W19),1))</f>
        <v>1</v>
      </c>
      <c r="Q12" s="16" t="s">
        <v>311</v>
      </c>
      <c r="R12" s="11" t="s">
        <v>399</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400</v>
      </c>
      <c r="AD12" s="178">
        <v>37</v>
      </c>
      <c r="AE12" s="179" t="s">
        <v>401</v>
      </c>
    </row>
    <row r="13" spans="1:31" x14ac:dyDescent="0.25">
      <c r="A13" s="73" t="s">
        <v>402</v>
      </c>
      <c r="B13" s="10" t="s">
        <v>387</v>
      </c>
      <c r="C13" s="61">
        <v>13</v>
      </c>
      <c r="D13" s="57">
        <v>15</v>
      </c>
      <c r="E13" s="57">
        <f>(C13+D13)/2</f>
        <v>14</v>
      </c>
      <c r="F13" s="200">
        <v>71.7</v>
      </c>
      <c r="G13" t="s">
        <v>403</v>
      </c>
      <c r="H13" s="186" t="s">
        <v>379</v>
      </c>
      <c r="I13" s="57"/>
      <c r="J13" s="57"/>
      <c r="N13" t="s">
        <v>404</v>
      </c>
      <c r="O13" s="1">
        <f>IF($O$11=1,(0.96-V19),IF($O$11=2,(0.96-W19),0.96))</f>
        <v>0.96</v>
      </c>
      <c r="Q13" s="208" t="s">
        <v>311</v>
      </c>
      <c r="R13" s="14" t="s">
        <v>405</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406</v>
      </c>
      <c r="AD13" s="209">
        <f>AD10/AD8/AD9</f>
        <v>0.10443806620081986</v>
      </c>
      <c r="AE13" s="179" t="s">
        <v>407</v>
      </c>
    </row>
    <row r="14" spans="1:31" ht="15" customHeight="1" x14ac:dyDescent="0.25">
      <c r="A14" s="73" t="s">
        <v>408</v>
      </c>
      <c r="B14" s="10" t="s">
        <v>387</v>
      </c>
      <c r="C14" s="61">
        <v>41.7</v>
      </c>
      <c r="D14" s="57">
        <v>41.7</v>
      </c>
      <c r="E14" s="57">
        <f>(C14+D14)/2</f>
        <v>41.7</v>
      </c>
      <c r="F14" s="200">
        <v>99.6</v>
      </c>
      <c r="G14" t="s">
        <v>409</v>
      </c>
      <c r="H14" s="186" t="s">
        <v>379</v>
      </c>
      <c r="I14" s="57"/>
      <c r="J14" s="57"/>
      <c r="V14" s="188">
        <v>2E-3</v>
      </c>
      <c r="W14" s="188">
        <v>7.0000000000000001E-3</v>
      </c>
      <c r="X14" s="189">
        <v>0.02</v>
      </c>
      <c r="Y14" s="190">
        <v>5.0000000000000001E-3</v>
      </c>
      <c r="Z14" s="190">
        <v>0.01</v>
      </c>
      <c r="AA14" s="190">
        <v>0.02</v>
      </c>
      <c r="AC14" s="180" t="s">
        <v>410</v>
      </c>
      <c r="AD14" s="178">
        <v>21</v>
      </c>
      <c r="AE14" s="179" t="s">
        <v>411</v>
      </c>
    </row>
    <row r="15" spans="1:31" x14ac:dyDescent="0.25">
      <c r="A15" s="73" t="s">
        <v>412</v>
      </c>
      <c r="B15" s="10" t="s">
        <v>387</v>
      </c>
      <c r="C15" s="61"/>
      <c r="D15" s="57"/>
      <c r="F15" s="200">
        <v>72</v>
      </c>
      <c r="G15" t="s">
        <v>413</v>
      </c>
      <c r="H15" s="186" t="s">
        <v>379</v>
      </c>
      <c r="I15" s="57"/>
      <c r="J15" s="57"/>
      <c r="Q15" s="10" t="s">
        <v>414</v>
      </c>
      <c r="R15" s="10" t="s">
        <v>390</v>
      </c>
      <c r="S15" s="205">
        <v>1</v>
      </c>
      <c r="T15" s="206">
        <v>0</v>
      </c>
      <c r="U15" s="207">
        <v>0</v>
      </c>
      <c r="V15" s="198">
        <f>$V$7*V$14*$S$15+0.001*$V$7</f>
        <v>5.4705393222366484E-2</v>
      </c>
      <c r="W15" s="198">
        <f>$V$7*W$14*$S$15+0.001*$V$7</f>
        <v>0.14588104859297729</v>
      </c>
      <c r="X15" s="198">
        <f>$V$7*X$14*$S$15+0.001*$V$7</f>
        <v>0.38293775255656542</v>
      </c>
      <c r="Y15">
        <v>0</v>
      </c>
      <c r="Z15">
        <v>0</v>
      </c>
      <c r="AA15">
        <v>0</v>
      </c>
      <c r="AC15" s="180" t="s">
        <v>415</v>
      </c>
      <c r="AD15" s="178"/>
      <c r="AE15" s="179" t="s">
        <v>416</v>
      </c>
    </row>
    <row r="16" spans="1:31" x14ac:dyDescent="0.25">
      <c r="A16" s="73" t="s">
        <v>417</v>
      </c>
      <c r="B16" s="10" t="s">
        <v>387</v>
      </c>
      <c r="C16" s="61"/>
      <c r="D16" s="57"/>
      <c r="F16" s="200">
        <v>66</v>
      </c>
      <c r="G16" t="s">
        <v>418</v>
      </c>
      <c r="H16" s="186" t="s">
        <v>379</v>
      </c>
      <c r="I16" s="57"/>
      <c r="J16" s="57"/>
      <c r="Q16" s="16"/>
      <c r="R16" s="16" t="s">
        <v>394</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419</v>
      </c>
      <c r="AD16" s="178">
        <v>20</v>
      </c>
      <c r="AE16" s="179" t="s">
        <v>420</v>
      </c>
    </row>
    <row r="17" spans="1:31" x14ac:dyDescent="0.25">
      <c r="A17" s="210" t="s">
        <v>421</v>
      </c>
      <c r="B17" s="8" t="s">
        <v>387</v>
      </c>
      <c r="C17" s="211"/>
      <c r="D17" s="212"/>
      <c r="E17" s="13"/>
      <c r="F17" s="213">
        <v>61</v>
      </c>
      <c r="G17" t="s">
        <v>422</v>
      </c>
      <c r="H17" s="186" t="s">
        <v>379</v>
      </c>
      <c r="I17" s="57"/>
      <c r="J17" s="57"/>
      <c r="Q17" s="16"/>
      <c r="R17" s="16" t="s">
        <v>399</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423</v>
      </c>
      <c r="AD17" s="178">
        <f>AD16*1055*10^-3</f>
        <v>21.1</v>
      </c>
      <c r="AE17" s="179" t="s">
        <v>240</v>
      </c>
    </row>
    <row r="18" spans="1:31" x14ac:dyDescent="0.25">
      <c r="C18" s="57"/>
      <c r="D18" s="57"/>
      <c r="F18" s="57"/>
      <c r="H18" s="186"/>
      <c r="I18" s="57"/>
      <c r="J18" s="57"/>
      <c r="Q18" s="208"/>
      <c r="R18" s="208" t="s">
        <v>405</v>
      </c>
      <c r="S18" s="214">
        <v>0</v>
      </c>
      <c r="T18" s="215">
        <v>0</v>
      </c>
      <c r="U18" s="216">
        <v>1</v>
      </c>
      <c r="V18" s="198">
        <f>$V$7*V$14*$S$18+0.001*$V$7</f>
        <v>1.8235131074122161E-2</v>
      </c>
      <c r="W18" s="198">
        <f>$V$7*W$14*$S$18+0.001*$V$7</f>
        <v>1.8235131074122161E-2</v>
      </c>
      <c r="X18" s="198">
        <f>$V$7*X$14*$S$18+0.001*$V$7</f>
        <v>1.8235131074122161E-2</v>
      </c>
      <c r="Y18">
        <v>0</v>
      </c>
      <c r="Z18">
        <v>0</v>
      </c>
      <c r="AA18">
        <v>0</v>
      </c>
      <c r="AC18" s="180" t="s">
        <v>424</v>
      </c>
      <c r="AD18" s="178">
        <f>1/(AD8*AD17)</f>
        <v>9.1141086401749902E-4</v>
      </c>
      <c r="AE18" s="179" t="s">
        <v>425</v>
      </c>
    </row>
    <row r="19" spans="1:31" x14ac:dyDescent="0.25">
      <c r="C19" s="57"/>
      <c r="D19" s="57"/>
      <c r="F19" s="57"/>
      <c r="H19" s="186"/>
      <c r="I19" s="57"/>
      <c r="J19" s="57"/>
      <c r="V19" s="188">
        <v>1E-3</v>
      </c>
      <c r="W19" s="188">
        <v>3.0000000000000001E-3</v>
      </c>
      <c r="X19" s="188">
        <v>5.0000000000000001E-3</v>
      </c>
      <c r="AC19" s="180" t="s">
        <v>400</v>
      </c>
      <c r="AD19" s="178">
        <v>0.66200000000000003</v>
      </c>
      <c r="AE19" s="179" t="s">
        <v>426</v>
      </c>
    </row>
    <row r="20" spans="1:31" x14ac:dyDescent="0.25">
      <c r="C20" s="57"/>
      <c r="D20" s="57"/>
      <c r="F20" s="57"/>
      <c r="H20" s="186"/>
      <c r="I20" s="57"/>
      <c r="J20" s="57"/>
      <c r="Q20" t="s">
        <v>427</v>
      </c>
      <c r="V20">
        <f>R47</f>
        <v>6.9986433062480854E-2</v>
      </c>
      <c r="W20">
        <f>R48</f>
        <v>9.9454404878262279E-2</v>
      </c>
      <c r="X20">
        <f>W20</f>
        <v>9.9454404878262279E-2</v>
      </c>
      <c r="AC20" s="180" t="s">
        <v>428</v>
      </c>
      <c r="AD20" s="178">
        <v>31.536000000000001</v>
      </c>
      <c r="AE20" s="179" t="s">
        <v>429</v>
      </c>
    </row>
    <row r="21" spans="1:31" x14ac:dyDescent="0.25">
      <c r="C21" s="57"/>
      <c r="D21" s="57"/>
      <c r="F21" s="57"/>
      <c r="H21" s="186"/>
      <c r="I21" s="57"/>
      <c r="J21" s="57"/>
      <c r="Q21" t="s">
        <v>398</v>
      </c>
      <c r="V21">
        <f>V20</f>
        <v>6.9986433062480854E-2</v>
      </c>
      <c r="W21">
        <f>W20</f>
        <v>9.9454404878262279E-2</v>
      </c>
      <c r="X21">
        <f>W21</f>
        <v>9.9454404878262279E-2</v>
      </c>
      <c r="AC21" s="180" t="s">
        <v>430</v>
      </c>
      <c r="AD21" s="178">
        <f>AD11/'[9]MSW Source'!E62</f>
        <v>66.094195755779722</v>
      </c>
      <c r="AE21" s="179" t="s">
        <v>431</v>
      </c>
    </row>
    <row r="22" spans="1:31" x14ac:dyDescent="0.25">
      <c r="C22" s="57"/>
      <c r="D22" s="57"/>
      <c r="F22" s="57"/>
      <c r="H22" s="186"/>
      <c r="I22" s="57"/>
      <c r="J22" s="57"/>
      <c r="AC22" s="180" t="s">
        <v>432</v>
      </c>
      <c r="AD22" s="178">
        <v>5.8</v>
      </c>
      <c r="AE22" s="179" t="s">
        <v>240</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15" t="s">
        <v>433</v>
      </c>
      <c r="AD25" s="415"/>
      <c r="AE25" s="415"/>
    </row>
    <row r="26" spans="1:31" x14ac:dyDescent="0.25">
      <c r="C26" s="57"/>
      <c r="D26" s="57"/>
      <c r="F26" s="57"/>
      <c r="H26" s="186"/>
      <c r="I26" s="57"/>
      <c r="J26" s="57"/>
      <c r="AC26" s="173" t="s">
        <v>368</v>
      </c>
      <c r="AD26" s="174">
        <f>1/AD7</f>
        <v>18.235131074122162</v>
      </c>
      <c r="AE26" s="218" t="s">
        <v>369</v>
      </c>
    </row>
    <row r="27" spans="1:31" x14ac:dyDescent="0.25">
      <c r="C27" s="57"/>
      <c r="D27" s="57"/>
      <c r="F27" s="57"/>
      <c r="H27" s="186"/>
      <c r="I27" s="57"/>
      <c r="J27" s="57"/>
      <c r="AC27" s="173" t="s">
        <v>361</v>
      </c>
      <c r="AD27" s="218">
        <f>15.3*0.001*1000</f>
        <v>15.3</v>
      </c>
      <c r="AE27" s="218" t="s">
        <v>362</v>
      </c>
    </row>
    <row r="28" spans="1:31" x14ac:dyDescent="0.25">
      <c r="C28" s="57"/>
      <c r="D28" s="57"/>
      <c r="F28" s="57"/>
      <c r="H28" s="186"/>
      <c r="I28" s="57"/>
      <c r="J28" s="57"/>
      <c r="AC28" s="173" t="s">
        <v>434</v>
      </c>
      <c r="AD28" s="219">
        <f>20*0.001</f>
        <v>0.02</v>
      </c>
      <c r="AE28" s="218" t="s">
        <v>435</v>
      </c>
    </row>
    <row r="29" spans="1:31" x14ac:dyDescent="0.25">
      <c r="C29" s="57"/>
      <c r="D29" s="57"/>
      <c r="F29" s="57"/>
      <c r="H29" s="186"/>
      <c r="I29" s="57"/>
      <c r="J29" s="57"/>
      <c r="AC29" s="173" t="s">
        <v>436</v>
      </c>
      <c r="AD29" s="218">
        <f>12/16</f>
        <v>0.75</v>
      </c>
      <c r="AE29" s="218" t="s">
        <v>362</v>
      </c>
    </row>
    <row r="30" spans="1:31" x14ac:dyDescent="0.25">
      <c r="C30" s="57"/>
      <c r="D30" s="57"/>
    </row>
    <row r="31" spans="1:31" ht="18.75" customHeight="1" thickBot="1" x14ac:dyDescent="0.3">
      <c r="H31" s="435"/>
      <c r="I31" s="435"/>
      <c r="R31" t="s">
        <v>371</v>
      </c>
      <c r="S31" t="s">
        <v>371</v>
      </c>
      <c r="T31" t="s">
        <v>371</v>
      </c>
      <c r="U31" t="s">
        <v>372</v>
      </c>
      <c r="V31" t="s">
        <v>372</v>
      </c>
      <c r="W31" t="s">
        <v>372</v>
      </c>
    </row>
    <row r="32" spans="1:31" ht="17.25" customHeight="1" x14ac:dyDescent="0.25">
      <c r="L32" s="428" t="s">
        <v>437</v>
      </c>
      <c r="M32" s="436" t="s">
        <v>438</v>
      </c>
      <c r="N32" s="220" t="s">
        <v>439</v>
      </c>
      <c r="O32" s="221" t="s">
        <v>440</v>
      </c>
      <c r="P32" s="222" t="s">
        <v>439</v>
      </c>
      <c r="Q32" s="223" t="s">
        <v>440</v>
      </c>
      <c r="R32" s="428" t="s">
        <v>390</v>
      </c>
      <c r="S32" s="428" t="s">
        <v>394</v>
      </c>
      <c r="T32" s="428" t="s">
        <v>441</v>
      </c>
      <c r="U32" s="428" t="s">
        <v>390</v>
      </c>
      <c r="V32" s="428" t="s">
        <v>394</v>
      </c>
      <c r="W32" s="428" t="s">
        <v>441</v>
      </c>
    </row>
    <row r="33" spans="1:24" x14ac:dyDescent="0.25">
      <c r="A33" t="s">
        <v>442</v>
      </c>
      <c r="C33" t="s">
        <v>443</v>
      </c>
      <c r="D33" t="s">
        <v>443</v>
      </c>
      <c r="E33" t="s">
        <v>443</v>
      </c>
      <c r="F33" s="142" t="s">
        <v>444</v>
      </c>
      <c r="G33" s="142" t="s">
        <v>445</v>
      </c>
      <c r="H33" s="431" t="s">
        <v>446</v>
      </c>
      <c r="I33" s="431"/>
      <c r="J33" s="142" t="s">
        <v>444</v>
      </c>
      <c r="K33" t="s">
        <v>445</v>
      </c>
      <c r="L33" s="429"/>
      <c r="M33" s="437"/>
      <c r="N33" s="16"/>
      <c r="O33" s="73"/>
      <c r="P33" s="73"/>
      <c r="Q33" s="224"/>
      <c r="R33" s="429"/>
      <c r="S33" s="429"/>
      <c r="T33" s="429"/>
      <c r="U33" s="429"/>
      <c r="V33" s="429"/>
      <c r="W33" s="429"/>
    </row>
    <row r="34" spans="1:24" ht="15.75" thickBot="1" x14ac:dyDescent="0.3">
      <c r="A34" t="s">
        <v>447</v>
      </c>
      <c r="F34" s="142" t="s">
        <v>448</v>
      </c>
      <c r="G34" s="142" t="s">
        <v>449</v>
      </c>
      <c r="H34" s="142"/>
      <c r="I34" s="142"/>
      <c r="J34" s="142" t="s">
        <v>448</v>
      </c>
      <c r="K34" t="s">
        <v>448</v>
      </c>
      <c r="L34" s="430"/>
      <c r="M34" s="438"/>
      <c r="N34" s="225" t="s">
        <v>450</v>
      </c>
      <c r="O34" s="226" t="s">
        <v>450</v>
      </c>
      <c r="P34" s="95" t="s">
        <v>450</v>
      </c>
      <c r="Q34" s="227" t="s">
        <v>450</v>
      </c>
      <c r="R34" s="430"/>
      <c r="S34" s="430"/>
      <c r="T34" s="430"/>
      <c r="U34" s="430"/>
      <c r="V34" s="430"/>
      <c r="W34" s="430"/>
    </row>
    <row r="35" spans="1:24" ht="15.75" thickBot="1" x14ac:dyDescent="0.3">
      <c r="A35" s="228" t="s">
        <v>451</v>
      </c>
      <c r="B35" s="229" t="s">
        <v>340</v>
      </c>
      <c r="C35" s="230" t="s">
        <v>375</v>
      </c>
      <c r="D35" s="231" t="s">
        <v>376</v>
      </c>
      <c r="E35" s="8" t="s">
        <v>377</v>
      </c>
      <c r="F35" s="232">
        <v>0.9</v>
      </c>
      <c r="G35" s="232">
        <v>0.1</v>
      </c>
      <c r="H35" s="142"/>
      <c r="I35" s="142"/>
      <c r="J35" s="142"/>
      <c r="L35" s="233"/>
      <c r="M35" s="176"/>
      <c r="R35" s="234"/>
      <c r="S35" s="235"/>
      <c r="T35" s="236"/>
      <c r="U35" s="233"/>
      <c r="V35" s="233"/>
      <c r="W35" s="233"/>
    </row>
    <row r="36" spans="1:24" x14ac:dyDescent="0.25">
      <c r="A36" s="191" t="s">
        <v>452</v>
      </c>
      <c r="B36" s="107" t="s">
        <v>386</v>
      </c>
      <c r="C36" s="107">
        <v>0.9</v>
      </c>
      <c r="D36" s="15">
        <v>2.9</v>
      </c>
      <c r="E36" s="8">
        <f>AVERAGE(C36:D36)</f>
        <v>1.9</v>
      </c>
      <c r="F36">
        <f>D36*$F$35/25</f>
        <v>0.10439999999999999</v>
      </c>
      <c r="G36">
        <f>D36*$G$35</f>
        <v>0.28999999999999998</v>
      </c>
      <c r="H36" s="237">
        <f>F36*25+G36</f>
        <v>2.9</v>
      </c>
      <c r="I36" s="237"/>
      <c r="L36" s="432"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453</v>
      </c>
    </row>
    <row r="37" spans="1:24" ht="15" customHeight="1" x14ac:dyDescent="0.25">
      <c r="A37" s="73"/>
      <c r="B37" t="s">
        <v>454</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3"/>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396</v>
      </c>
      <c r="D38" s="11">
        <v>7.8</v>
      </c>
      <c r="E38" s="8">
        <f t="shared" si="2"/>
        <v>7.8</v>
      </c>
      <c r="F38">
        <f>D38*90%/25</f>
        <v>0.28079999999999999</v>
      </c>
      <c r="G38">
        <f t="shared" si="4"/>
        <v>0.78</v>
      </c>
      <c r="H38" s="237">
        <f t="shared" ref="H38:H49" si="12">F38*25+G38</f>
        <v>7.8</v>
      </c>
      <c r="I38" s="237"/>
      <c r="L38" s="433"/>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455</v>
      </c>
      <c r="B39" s="237" t="s">
        <v>408</v>
      </c>
      <c r="C39" s="237"/>
      <c r="D39" s="244">
        <v>23.4</v>
      </c>
      <c r="E39" s="245">
        <f t="shared" si="2"/>
        <v>23.4</v>
      </c>
      <c r="F39">
        <f t="shared" si="3"/>
        <v>0.84239999999999993</v>
      </c>
      <c r="G39">
        <f t="shared" si="4"/>
        <v>2.34</v>
      </c>
      <c r="H39" s="237">
        <f t="shared" si="12"/>
        <v>23.4</v>
      </c>
      <c r="I39" s="237"/>
      <c r="K39" s="237"/>
      <c r="L39" s="433"/>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456</v>
      </c>
      <c r="D40" s="11">
        <v>17.899999999999999</v>
      </c>
      <c r="E40" s="8">
        <f t="shared" si="2"/>
        <v>17.899999999999999</v>
      </c>
      <c r="F40">
        <f t="shared" si="3"/>
        <v>0.64439999999999997</v>
      </c>
      <c r="G40">
        <f t="shared" si="4"/>
        <v>1.79</v>
      </c>
      <c r="H40" s="237">
        <f t="shared" si="12"/>
        <v>17.899999999999999</v>
      </c>
      <c r="I40" s="237"/>
      <c r="L40" s="433"/>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457</v>
      </c>
      <c r="C41" s="13">
        <v>3</v>
      </c>
      <c r="D41" s="14">
        <v>16.899999999999999</v>
      </c>
      <c r="E41" s="8">
        <f t="shared" si="2"/>
        <v>9.9499999999999993</v>
      </c>
      <c r="F41">
        <f>D41*90%/25</f>
        <v>0.60839999999999994</v>
      </c>
      <c r="G41">
        <f t="shared" si="4"/>
        <v>1.69</v>
      </c>
      <c r="H41" s="237">
        <f t="shared" si="12"/>
        <v>16.899999999999999</v>
      </c>
      <c r="I41" s="237"/>
      <c r="L41" s="434"/>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458</v>
      </c>
      <c r="B42" s="107" t="s">
        <v>386</v>
      </c>
      <c r="C42" s="107"/>
      <c r="D42" s="15">
        <v>4.2</v>
      </c>
      <c r="E42" s="8">
        <f t="shared" si="2"/>
        <v>4.2</v>
      </c>
      <c r="F42">
        <f t="shared" si="3"/>
        <v>0.1512</v>
      </c>
      <c r="G42">
        <f t="shared" si="4"/>
        <v>0.42000000000000004</v>
      </c>
      <c r="H42" s="237">
        <f t="shared" si="12"/>
        <v>4.2</v>
      </c>
      <c r="I42" s="237"/>
      <c r="L42" s="432" t="s">
        <v>414</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396</v>
      </c>
      <c r="D43" s="11">
        <v>3.5</v>
      </c>
      <c r="E43" s="8">
        <f t="shared" si="2"/>
        <v>3.5</v>
      </c>
      <c r="F43">
        <f t="shared" si="3"/>
        <v>0.126</v>
      </c>
      <c r="G43">
        <f t="shared" si="4"/>
        <v>0.35000000000000003</v>
      </c>
      <c r="H43" s="237">
        <f t="shared" si="12"/>
        <v>3.5</v>
      </c>
      <c r="I43" s="237"/>
      <c r="L43" s="433"/>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408</v>
      </c>
      <c r="C44" s="237"/>
      <c r="D44" s="244">
        <v>2.2000000000000002</v>
      </c>
      <c r="E44" s="245">
        <f t="shared" si="2"/>
        <v>2.2000000000000002</v>
      </c>
      <c r="F44">
        <f t="shared" si="3"/>
        <v>7.9200000000000007E-2</v>
      </c>
      <c r="G44">
        <f t="shared" si="4"/>
        <v>0.22000000000000003</v>
      </c>
      <c r="H44" s="237">
        <f t="shared" si="12"/>
        <v>2.2000000000000002</v>
      </c>
      <c r="I44" s="237"/>
      <c r="K44" s="237"/>
      <c r="L44" s="433"/>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456</v>
      </c>
      <c r="C45" s="13"/>
      <c r="D45" s="14">
        <v>8.9</v>
      </c>
      <c r="E45" s="8">
        <f t="shared" si="2"/>
        <v>8.9</v>
      </c>
      <c r="F45">
        <f t="shared" si="3"/>
        <v>0.32040000000000002</v>
      </c>
      <c r="G45">
        <f t="shared" si="4"/>
        <v>0.89000000000000012</v>
      </c>
      <c r="H45" s="237">
        <f t="shared" si="12"/>
        <v>8.9</v>
      </c>
      <c r="I45" s="237"/>
      <c r="L45" s="434"/>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459</v>
      </c>
      <c r="B46" s="249" t="s">
        <v>460</v>
      </c>
      <c r="C46" s="249"/>
      <c r="D46" s="250"/>
      <c r="E46" s="8"/>
      <c r="F46">
        <f t="shared" si="3"/>
        <v>0</v>
      </c>
      <c r="G46">
        <f t="shared" si="4"/>
        <v>0</v>
      </c>
      <c r="H46" s="237">
        <f t="shared" si="12"/>
        <v>0</v>
      </c>
      <c r="I46" s="237"/>
      <c r="L46" s="432"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461</v>
      </c>
      <c r="B47" t="s">
        <v>386</v>
      </c>
      <c r="D47" s="11">
        <v>1.9</v>
      </c>
      <c r="E47" s="8">
        <f t="shared" si="2"/>
        <v>1.9</v>
      </c>
      <c r="F47">
        <f t="shared" si="3"/>
        <v>6.8400000000000002E-2</v>
      </c>
      <c r="G47">
        <f t="shared" si="4"/>
        <v>0.19</v>
      </c>
      <c r="H47" s="237">
        <f t="shared" si="12"/>
        <v>1.9</v>
      </c>
      <c r="I47" s="237"/>
      <c r="L47" s="433"/>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396</v>
      </c>
      <c r="D48" s="11">
        <v>2.7</v>
      </c>
      <c r="E48" s="8">
        <f t="shared" si="2"/>
        <v>2.7</v>
      </c>
      <c r="F48">
        <f t="shared" si="3"/>
        <v>9.7200000000000009E-2</v>
      </c>
      <c r="G48">
        <f t="shared" si="4"/>
        <v>0.27</v>
      </c>
      <c r="H48" s="237">
        <f t="shared" si="12"/>
        <v>2.7</v>
      </c>
      <c r="I48" s="237"/>
      <c r="L48" s="434"/>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455</v>
      </c>
      <c r="B49" s="252" t="s">
        <v>408</v>
      </c>
      <c r="C49" s="252"/>
      <c r="D49" s="253">
        <v>16.2</v>
      </c>
      <c r="E49" s="245">
        <f t="shared" si="2"/>
        <v>16.2</v>
      </c>
      <c r="F49">
        <f t="shared" si="3"/>
        <v>0.58320000000000005</v>
      </c>
      <c r="G49">
        <f t="shared" si="4"/>
        <v>1.62</v>
      </c>
      <c r="H49" s="237">
        <f t="shared" si="12"/>
        <v>16.200000000000003</v>
      </c>
      <c r="I49" s="237"/>
      <c r="K49" s="237"/>
    </row>
    <row r="50" spans="1:18" x14ac:dyDescent="0.25">
      <c r="A50" t="s">
        <v>462</v>
      </c>
      <c r="O50" s="237"/>
      <c r="P50" s="237"/>
      <c r="R50" s="237"/>
    </row>
    <row r="52" spans="1:18" x14ac:dyDescent="0.25">
      <c r="A52" t="s">
        <v>463</v>
      </c>
    </row>
    <row r="53" spans="1:18" x14ac:dyDescent="0.25">
      <c r="A53" t="s">
        <v>464</v>
      </c>
      <c r="F53" t="s">
        <v>465</v>
      </c>
      <c r="G53" t="s">
        <v>466</v>
      </c>
      <c r="H53" t="s">
        <v>467</v>
      </c>
    </row>
    <row r="54" spans="1:18" x14ac:dyDescent="0.25">
      <c r="A54" t="s">
        <v>357</v>
      </c>
      <c r="B54" t="s">
        <v>468</v>
      </c>
      <c r="C54" s="254">
        <v>0.8</v>
      </c>
      <c r="F54" t="s">
        <v>469</v>
      </c>
      <c r="G54">
        <v>56</v>
      </c>
      <c r="H54">
        <f t="shared" ref="H54:H59" si="15">G54*10^9/10^9</f>
        <v>56</v>
      </c>
    </row>
    <row r="55" spans="1:18" x14ac:dyDescent="0.25">
      <c r="A55" t="s">
        <v>470</v>
      </c>
      <c r="B55" t="s">
        <v>372</v>
      </c>
      <c r="F55" t="s">
        <v>471</v>
      </c>
      <c r="G55">
        <v>77</v>
      </c>
      <c r="H55">
        <f t="shared" si="15"/>
        <v>77</v>
      </c>
    </row>
    <row r="56" spans="1:18" x14ac:dyDescent="0.25">
      <c r="A56" t="s">
        <v>472</v>
      </c>
      <c r="B56" t="s">
        <v>473</v>
      </c>
      <c r="F56" t="s">
        <v>474</v>
      </c>
      <c r="G56">
        <v>69</v>
      </c>
      <c r="H56">
        <f t="shared" si="15"/>
        <v>69</v>
      </c>
    </row>
    <row r="57" spans="1:18" x14ac:dyDescent="0.25">
      <c r="A57" t="s">
        <v>475</v>
      </c>
      <c r="B57" t="s">
        <v>476</v>
      </c>
      <c r="F57" t="s">
        <v>477</v>
      </c>
      <c r="G57">
        <v>74</v>
      </c>
      <c r="H57">
        <f t="shared" si="15"/>
        <v>74</v>
      </c>
    </row>
    <row r="58" spans="1:18" x14ac:dyDescent="0.25">
      <c r="A58" t="s">
        <v>478</v>
      </c>
      <c r="B58" t="s">
        <v>479</v>
      </c>
      <c r="F58" t="s">
        <v>480</v>
      </c>
      <c r="G58">
        <v>63</v>
      </c>
      <c r="H58">
        <f t="shared" si="15"/>
        <v>63</v>
      </c>
    </row>
    <row r="59" spans="1:18" x14ac:dyDescent="0.25">
      <c r="A59" t="s">
        <v>481</v>
      </c>
      <c r="B59" t="s">
        <v>482</v>
      </c>
      <c r="F59" t="s">
        <v>156</v>
      </c>
      <c r="G59">
        <v>96</v>
      </c>
      <c r="H59">
        <f t="shared" si="15"/>
        <v>96</v>
      </c>
    </row>
    <row r="60" spans="1:18" x14ac:dyDescent="0.25">
      <c r="A60" t="s">
        <v>483</v>
      </c>
      <c r="B60" t="s">
        <v>484</v>
      </c>
    </row>
    <row r="63" spans="1:18" x14ac:dyDescent="0.25">
      <c r="A63" t="s">
        <v>485</v>
      </c>
    </row>
    <row r="66" spans="1:7" x14ac:dyDescent="0.25">
      <c r="A66" s="255" t="s">
        <v>486</v>
      </c>
    </row>
    <row r="67" spans="1:7" x14ac:dyDescent="0.25">
      <c r="A67" t="s">
        <v>487</v>
      </c>
      <c r="D67" t="str">
        <f>AC12</f>
        <v>1 m3 CH4 =</v>
      </c>
      <c r="E67" s="256">
        <f>AD19</f>
        <v>0.66200000000000003</v>
      </c>
      <c r="F67" s="256" t="str">
        <f>AE19</f>
        <v>kg CH4</v>
      </c>
    </row>
    <row r="68" spans="1:7" x14ac:dyDescent="0.25">
      <c r="A68" s="257" t="s">
        <v>488</v>
      </c>
      <c r="B68" s="57">
        <v>1333</v>
      </c>
      <c r="C68" t="s">
        <v>489</v>
      </c>
      <c r="D68" t="s">
        <v>490</v>
      </c>
      <c r="E68">
        <f>0.77*0.662</f>
        <v>0.50974000000000008</v>
      </c>
      <c r="F68" s="256" t="s">
        <v>491</v>
      </c>
    </row>
    <row r="69" spans="1:7" x14ac:dyDescent="0.25">
      <c r="A69">
        <f>B69/$B$68</f>
        <v>5.7764441110277572E-4</v>
      </c>
      <c r="B69">
        <v>0.77</v>
      </c>
      <c r="C69" t="s">
        <v>489</v>
      </c>
      <c r="D69" t="str">
        <f>D67</f>
        <v>1 m3 CH4 =</v>
      </c>
      <c r="E69" s="256">
        <f>AD12</f>
        <v>37</v>
      </c>
      <c r="F69" t="s">
        <v>401</v>
      </c>
      <c r="G69">
        <f>1/37</f>
        <v>2.7027027027027029E-2</v>
      </c>
    </row>
    <row r="70" spans="1:7" x14ac:dyDescent="0.25">
      <c r="A70">
        <f>B70/$B$68</f>
        <v>1.350337584396099E-4</v>
      </c>
      <c r="B70">
        <v>0.18</v>
      </c>
      <c r="C70" t="s">
        <v>489</v>
      </c>
      <c r="D70" t="str">
        <f>D68</f>
        <v xml:space="preserve">0.77 m3 CH4 = </v>
      </c>
      <c r="E70">
        <f>E68/(1000*1000)</f>
        <v>5.0974000000000012E-7</v>
      </c>
      <c r="F70" t="s">
        <v>492</v>
      </c>
    </row>
    <row r="71" spans="1:7" x14ac:dyDescent="0.25">
      <c r="D71" t="str">
        <f>D69</f>
        <v>1 m3 CH4 =</v>
      </c>
      <c r="E71">
        <f>E70/(0.0243/1000)</f>
        <v>2.0976954732510295E-2</v>
      </c>
      <c r="G71">
        <f>E70/(0.0243/1000)</f>
        <v>2.0976954732510295E-2</v>
      </c>
    </row>
    <row r="72" spans="1:7" x14ac:dyDescent="0.25">
      <c r="A72" t="s">
        <v>493</v>
      </c>
    </row>
    <row r="73" spans="1:7" x14ac:dyDescent="0.25">
      <c r="A73">
        <f>A69*1000/(0.0243*1000)</f>
        <v>2.3771374942501061E-2</v>
      </c>
      <c r="B73" t="s">
        <v>450</v>
      </c>
      <c r="F73">
        <v>24.3</v>
      </c>
      <c r="G73" t="s">
        <v>494</v>
      </c>
    </row>
    <row r="78" spans="1:7" x14ac:dyDescent="0.25">
      <c r="A78" s="26" t="s">
        <v>495</v>
      </c>
    </row>
    <row r="79" spans="1:7" x14ac:dyDescent="0.25">
      <c r="A79" s="8" t="s">
        <v>496</v>
      </c>
      <c r="B79" s="8" t="s">
        <v>497</v>
      </c>
      <c r="C79" s="8" t="s">
        <v>498</v>
      </c>
      <c r="D79" s="444" t="s">
        <v>499</v>
      </c>
      <c r="E79" s="444"/>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433</v>
      </c>
      <c r="B98" s="261" t="s">
        <v>500</v>
      </c>
    </row>
    <row r="99" spans="1:11" x14ac:dyDescent="0.25">
      <c r="A99" s="262" t="s">
        <v>501</v>
      </c>
      <c r="C99" s="261"/>
    </row>
    <row r="100" spans="1:11" x14ac:dyDescent="0.25">
      <c r="A100" s="261"/>
    </row>
    <row r="101" spans="1:11" ht="15.75" thickBot="1" x14ac:dyDescent="0.3">
      <c r="A101" s="263" t="s">
        <v>502</v>
      </c>
      <c r="F101" t="s">
        <v>503</v>
      </c>
    </row>
    <row r="102" spans="1:11" ht="36" thickBot="1" x14ac:dyDescent="0.3">
      <c r="A102" s="264" t="s">
        <v>504</v>
      </c>
      <c r="B102" s="265" t="s">
        <v>505</v>
      </c>
      <c r="C102" s="265" t="s">
        <v>506</v>
      </c>
      <c r="D102" s="265" t="s">
        <v>507</v>
      </c>
      <c r="E102" s="265" t="s">
        <v>508</v>
      </c>
    </row>
    <row r="103" spans="1:11" ht="15.75" thickBot="1" x14ac:dyDescent="0.3">
      <c r="A103" s="439" t="s">
        <v>509</v>
      </c>
      <c r="B103" s="266" t="s">
        <v>510</v>
      </c>
      <c r="C103" s="441" t="s">
        <v>511</v>
      </c>
      <c r="D103" s="266">
        <v>0.77</v>
      </c>
      <c r="E103" s="266">
        <v>18</v>
      </c>
    </row>
    <row r="104" spans="1:11" ht="23.25" thickBot="1" x14ac:dyDescent="0.3">
      <c r="A104" s="440"/>
      <c r="B104" s="266" t="s">
        <v>512</v>
      </c>
      <c r="C104" s="442"/>
      <c r="D104" s="266">
        <v>0.18</v>
      </c>
      <c r="E104" s="266">
        <v>2.5</v>
      </c>
      <c r="K104">
        <f>0.77/0.0243</f>
        <v>31.68724279835391</v>
      </c>
    </row>
    <row r="105" spans="1:11" ht="15.75" thickBot="1" x14ac:dyDescent="0.3">
      <c r="A105" s="439" t="s">
        <v>513</v>
      </c>
      <c r="B105" s="266" t="s">
        <v>514</v>
      </c>
      <c r="C105" s="442"/>
      <c r="D105" s="266">
        <v>0</v>
      </c>
      <c r="E105" s="266">
        <v>1.2</v>
      </c>
    </row>
    <row r="106" spans="1:11" ht="15.75" thickBot="1" x14ac:dyDescent="0.3">
      <c r="A106" s="440"/>
      <c r="B106" s="266" t="s">
        <v>515</v>
      </c>
      <c r="C106" s="443"/>
      <c r="D106" s="266">
        <v>0</v>
      </c>
      <c r="E106" s="266">
        <v>0.1</v>
      </c>
    </row>
    <row r="107" spans="1:11" ht="15.75" thickBot="1" x14ac:dyDescent="0.3">
      <c r="A107" s="439" t="s">
        <v>509</v>
      </c>
      <c r="B107" s="266" t="s">
        <v>514</v>
      </c>
      <c r="C107" s="441" t="s">
        <v>516</v>
      </c>
      <c r="D107" s="266">
        <v>7.6999999999999999E-2</v>
      </c>
      <c r="E107" s="266" t="s">
        <v>517</v>
      </c>
    </row>
    <row r="108" spans="1:11" ht="15.75" thickBot="1" x14ac:dyDescent="0.3">
      <c r="A108" s="440"/>
      <c r="B108" s="266" t="s">
        <v>515</v>
      </c>
      <c r="C108" s="442"/>
      <c r="D108" s="266">
        <v>1.7999999999999999E-2</v>
      </c>
      <c r="E108" s="266" t="s">
        <v>517</v>
      </c>
    </row>
    <row r="109" spans="1:11" ht="15.75" thickBot="1" x14ac:dyDescent="0.3">
      <c r="A109" s="439" t="s">
        <v>513</v>
      </c>
      <c r="B109" s="266" t="s">
        <v>514</v>
      </c>
      <c r="C109" s="442"/>
      <c r="D109" s="266">
        <v>0</v>
      </c>
      <c r="E109" s="266" t="s">
        <v>517</v>
      </c>
    </row>
    <row r="110" spans="1:11" ht="15.75" thickBot="1" x14ac:dyDescent="0.3">
      <c r="A110" s="440"/>
      <c r="B110" s="266" t="s">
        <v>515</v>
      </c>
      <c r="C110" s="443"/>
      <c r="D110" s="266">
        <v>0</v>
      </c>
      <c r="E110" s="266" t="s">
        <v>517</v>
      </c>
    </row>
    <row r="112" spans="1:11" x14ac:dyDescent="0.25">
      <c r="A112" s="262" t="s">
        <v>501</v>
      </c>
    </row>
    <row r="113" spans="1:22" x14ac:dyDescent="0.25">
      <c r="A113" s="261" t="s">
        <v>518</v>
      </c>
    </row>
    <row r="116" spans="1:22" x14ac:dyDescent="0.25">
      <c r="A116" s="261" t="s">
        <v>500</v>
      </c>
      <c r="R116" s="261" t="s">
        <v>519</v>
      </c>
    </row>
    <row r="117" spans="1:22" ht="15.75" thickBot="1" x14ac:dyDescent="0.3">
      <c r="A117" t="s">
        <v>520</v>
      </c>
      <c r="H117" t="s">
        <v>521</v>
      </c>
      <c r="N117">
        <f>0.0243/1000</f>
        <v>2.4299999999999998E-5</v>
      </c>
    </row>
    <row r="118" spans="1:22" x14ac:dyDescent="0.25">
      <c r="A118" s="267" t="s">
        <v>522</v>
      </c>
      <c r="B118" s="268" t="s">
        <v>523</v>
      </c>
      <c r="C118" s="268" t="s">
        <v>524</v>
      </c>
      <c r="D118" s="268" t="s">
        <v>525</v>
      </c>
      <c r="E118" s="268" t="s">
        <v>526</v>
      </c>
      <c r="F118" s="267" t="s">
        <v>527</v>
      </c>
      <c r="G118" s="268" t="s">
        <v>528</v>
      </c>
      <c r="H118" s="269" t="s">
        <v>529</v>
      </c>
      <c r="I118" s="269" t="s">
        <v>530</v>
      </c>
      <c r="J118" s="269" t="s">
        <v>531</v>
      </c>
      <c r="K118" s="269" t="s">
        <v>532</v>
      </c>
      <c r="L118" s="269" t="s">
        <v>533</v>
      </c>
      <c r="M118" s="269" t="s">
        <v>534</v>
      </c>
      <c r="N118" s="269" t="s">
        <v>535</v>
      </c>
      <c r="O118" s="269" t="s">
        <v>536</v>
      </c>
      <c r="Q118">
        <f>0.77*10%</f>
        <v>7.7000000000000013E-2</v>
      </c>
      <c r="R118" s="26" t="s">
        <v>537</v>
      </c>
      <c r="S118" s="26" t="s">
        <v>538</v>
      </c>
      <c r="T118" s="26" t="s">
        <v>539</v>
      </c>
      <c r="U118" s="26" t="s">
        <v>540</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541</v>
      </c>
      <c r="H119">
        <v>24</v>
      </c>
      <c r="I119">
        <f>1979</f>
        <v>1979</v>
      </c>
      <c r="J119">
        <f>H119+I119</f>
        <v>2003</v>
      </c>
      <c r="K119">
        <f>I119/25</f>
        <v>79.16</v>
      </c>
      <c r="L119">
        <f>H119/F119</f>
        <v>8.3447944739185486E-8</v>
      </c>
      <c r="M119">
        <f>L119/0.0000243</f>
        <v>3.4340717999664806E-3</v>
      </c>
      <c r="N119">
        <f>(K119/F119)/$N$117</f>
        <v>1.1326713486889442E-2</v>
      </c>
      <c r="R119" t="s">
        <v>542</v>
      </c>
      <c r="S119" t="s">
        <v>543</v>
      </c>
      <c r="U119" t="s">
        <v>544</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545</v>
      </c>
      <c r="S120" t="s">
        <v>543</v>
      </c>
      <c r="U120" t="s">
        <v>544</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546</v>
      </c>
      <c r="U121" t="s">
        <v>547</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548</v>
      </c>
      <c r="S122" t="s">
        <v>549</v>
      </c>
      <c r="T122" t="s">
        <v>372</v>
      </c>
      <c r="U122" t="s">
        <v>550</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551</v>
      </c>
      <c r="S123" t="s">
        <v>549</v>
      </c>
      <c r="T123" t="s">
        <v>372</v>
      </c>
      <c r="U123" t="s">
        <v>550</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548</v>
      </c>
      <c r="S124" t="s">
        <v>552</v>
      </c>
      <c r="T124" t="s">
        <v>371</v>
      </c>
      <c r="U124" t="s">
        <v>553</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551</v>
      </c>
      <c r="S125" t="s">
        <v>552</v>
      </c>
      <c r="T125" t="s">
        <v>371</v>
      </c>
      <c r="U125" t="s">
        <v>553</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554</v>
      </c>
      <c r="U127" t="s">
        <v>555</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556</v>
      </c>
      <c r="U128" t="s">
        <v>555</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557</v>
      </c>
      <c r="M130" s="21">
        <f>SUM(M119:M129)/11</f>
        <v>3.3705740480575387E-3</v>
      </c>
      <c r="N130" s="21">
        <f>SUM(N119:N129)/11</f>
        <v>1.1325309940408588E-2</v>
      </c>
      <c r="P130" s="281">
        <f>M130*0.1</f>
        <v>3.3705740480575389E-4</v>
      </c>
      <c r="Q130">
        <f>N130*0.1</f>
        <v>1.1325309940408588E-3</v>
      </c>
      <c r="R130" t="s">
        <v>372</v>
      </c>
      <c r="U130" t="s">
        <v>558</v>
      </c>
      <c r="V130" s="282">
        <f>V127/V121</f>
        <v>8.2037515451125517E-2</v>
      </c>
    </row>
    <row r="131" spans="1:22" x14ac:dyDescent="0.25">
      <c r="C131" t="s">
        <v>559</v>
      </c>
      <c r="D131" t="s">
        <v>559</v>
      </c>
      <c r="R131" t="s">
        <v>371</v>
      </c>
      <c r="U131" t="s">
        <v>558</v>
      </c>
      <c r="V131" s="282">
        <f>V128/V121</f>
        <v>0.25727313452786532</v>
      </c>
    </row>
    <row r="132" spans="1:22" x14ac:dyDescent="0.25">
      <c r="C132" s="283" t="s">
        <v>560</v>
      </c>
      <c r="D132" t="s">
        <v>561</v>
      </c>
      <c r="E132" s="283" t="s">
        <v>562</v>
      </c>
      <c r="F132" s="284" t="s">
        <v>563</v>
      </c>
      <c r="G132" t="s">
        <v>564</v>
      </c>
      <c r="H132" t="s">
        <v>565</v>
      </c>
      <c r="I132" t="s">
        <v>534</v>
      </c>
      <c r="J132" t="s">
        <v>566</v>
      </c>
      <c r="K132" s="284" t="s">
        <v>567</v>
      </c>
      <c r="L132" t="s">
        <v>568</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569</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570</v>
      </c>
      <c r="U134" t="s">
        <v>571</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372</v>
      </c>
      <c r="U135" t="s">
        <v>450</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371</v>
      </c>
      <c r="U136" t="s">
        <v>450</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572</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570</v>
      </c>
      <c r="U139" t="s">
        <v>571</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372</v>
      </c>
      <c r="U140" t="s">
        <v>450</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468</v>
      </c>
      <c r="U141" t="s">
        <v>450</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573</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17" sqref="B17:I3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574</v>
      </c>
      <c r="C1" s="169"/>
      <c r="D1" s="169"/>
      <c r="E1" s="169"/>
    </row>
    <row r="2" spans="1:11" ht="15.75" thickTop="1" x14ac:dyDescent="0.25"/>
    <row r="5" spans="1:11" x14ac:dyDescent="0.25">
      <c r="B5" s="296" t="s">
        <v>575</v>
      </c>
    </row>
    <row r="6" spans="1:11" x14ac:dyDescent="0.25">
      <c r="B6" s="296" t="s">
        <v>576</v>
      </c>
      <c r="C6" t="s">
        <v>136</v>
      </c>
      <c r="D6" t="s">
        <v>137</v>
      </c>
      <c r="E6" t="s">
        <v>138</v>
      </c>
      <c r="F6" t="s">
        <v>577</v>
      </c>
      <c r="G6" t="s">
        <v>578</v>
      </c>
    </row>
    <row r="7" spans="1:11" x14ac:dyDescent="0.25">
      <c r="B7" t="s">
        <v>579</v>
      </c>
      <c r="C7">
        <v>1</v>
      </c>
      <c r="D7">
        <v>28</v>
      </c>
      <c r="E7">
        <v>265</v>
      </c>
      <c r="F7">
        <v>6630</v>
      </c>
      <c r="G7">
        <v>11000</v>
      </c>
    </row>
    <row r="9" spans="1:11" x14ac:dyDescent="0.25">
      <c r="B9" s="296" t="s">
        <v>575</v>
      </c>
      <c r="C9" s="26" t="s">
        <v>580</v>
      </c>
      <c r="D9" s="26" t="s">
        <v>581</v>
      </c>
      <c r="E9" s="26" t="s">
        <v>582</v>
      </c>
      <c r="J9" s="26"/>
      <c r="K9" s="26"/>
    </row>
    <row r="10" spans="1:11" x14ac:dyDescent="0.25">
      <c r="B10" s="296" t="s">
        <v>576</v>
      </c>
      <c r="C10" t="s">
        <v>1096</v>
      </c>
      <c r="D10" t="s">
        <v>583</v>
      </c>
      <c r="E10" t="s">
        <v>584</v>
      </c>
      <c r="F10" t="s">
        <v>585</v>
      </c>
      <c r="G10" t="s">
        <v>586</v>
      </c>
      <c r="H10" t="s">
        <v>587</v>
      </c>
    </row>
    <row r="11" spans="1:11" x14ac:dyDescent="0.25">
      <c r="B11" t="s">
        <v>136</v>
      </c>
      <c r="C11">
        <v>1</v>
      </c>
      <c r="D11">
        <v>1</v>
      </c>
      <c r="E11">
        <v>1</v>
      </c>
      <c r="F11">
        <v>1</v>
      </c>
      <c r="G11">
        <v>1</v>
      </c>
      <c r="H11">
        <v>1</v>
      </c>
    </row>
    <row r="13" spans="1:11" x14ac:dyDescent="0.25">
      <c r="B13" s="296" t="s">
        <v>575</v>
      </c>
      <c r="C13" s="26" t="s">
        <v>580</v>
      </c>
      <c r="D13" t="s">
        <v>581</v>
      </c>
    </row>
    <row r="14" spans="1:11" x14ac:dyDescent="0.25">
      <c r="B14" s="296" t="s">
        <v>576</v>
      </c>
      <c r="C14" t="s">
        <v>1097</v>
      </c>
      <c r="D14" t="s">
        <v>588</v>
      </c>
    </row>
    <row r="15" spans="1:11" x14ac:dyDescent="0.25">
      <c r="B15" t="s">
        <v>137</v>
      </c>
      <c r="C15">
        <v>1</v>
      </c>
      <c r="D15">
        <v>28</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7"/>
  <sheetViews>
    <sheetView topLeftCell="A16" workbookViewId="0">
      <selection activeCell="C29" sqref="C29"/>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589</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992</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333</v>
      </c>
      <c r="V6" s="390"/>
      <c r="W6" s="390"/>
      <c r="X6" t="s">
        <v>590</v>
      </c>
      <c r="Y6" s="390"/>
      <c r="Z6" s="296"/>
      <c r="AA6" s="293"/>
    </row>
    <row r="7" spans="1:27" ht="15" x14ac:dyDescent="0.25">
      <c r="A7" s="171"/>
      <c r="D7" s="382" t="s">
        <v>591</v>
      </c>
      <c r="E7" s="296"/>
      <c r="F7" s="296"/>
      <c r="G7" s="296"/>
      <c r="H7" s="296"/>
      <c r="I7" s="172"/>
      <c r="J7" s="172"/>
      <c r="K7" s="382" t="s">
        <v>592</v>
      </c>
      <c r="L7" s="296"/>
      <c r="M7" s="296"/>
      <c r="N7" s="296"/>
      <c r="O7" s="296"/>
      <c r="P7" s="296"/>
      <c r="Q7" s="172"/>
      <c r="R7" s="391" t="s">
        <v>593</v>
      </c>
      <c r="S7" s="391" t="s">
        <v>335</v>
      </c>
      <c r="T7" s="391" t="s">
        <v>336</v>
      </c>
      <c r="U7" s="391" t="s">
        <v>359</v>
      </c>
      <c r="V7" s="392" t="s">
        <v>594</v>
      </c>
      <c r="W7" s="392" t="s">
        <v>131</v>
      </c>
      <c r="X7" s="392" t="s">
        <v>130</v>
      </c>
      <c r="Y7" s="392" t="s">
        <v>595</v>
      </c>
      <c r="Z7" s="392" t="s">
        <v>596</v>
      </c>
      <c r="AA7" s="293"/>
    </row>
    <row r="8" spans="1:27" ht="15.75" thickBot="1" x14ac:dyDescent="0.3">
      <c r="A8" s="171"/>
      <c r="B8" s="292" t="s">
        <v>597</v>
      </c>
      <c r="C8" s="292" t="s">
        <v>598</v>
      </c>
      <c r="D8" s="385" t="s">
        <v>576</v>
      </c>
      <c r="E8" s="385" t="s">
        <v>599</v>
      </c>
      <c r="F8" s="385" t="s">
        <v>600</v>
      </c>
      <c r="G8" s="385" t="s">
        <v>601</v>
      </c>
      <c r="H8" s="385" t="s">
        <v>602</v>
      </c>
      <c r="I8" s="172"/>
      <c r="J8" s="172"/>
      <c r="K8" s="385" t="s">
        <v>335</v>
      </c>
      <c r="L8" s="385" t="s">
        <v>334</v>
      </c>
      <c r="M8" s="385" t="s">
        <v>603</v>
      </c>
      <c r="N8" s="385" t="s">
        <v>604</v>
      </c>
      <c r="O8" s="385" t="s">
        <v>605</v>
      </c>
      <c r="P8" s="385" t="s">
        <v>606</v>
      </c>
      <c r="Q8" s="172"/>
      <c r="R8" s="389" t="s">
        <v>355</v>
      </c>
      <c r="S8" s="389"/>
      <c r="T8" s="389"/>
      <c r="U8" s="389"/>
      <c r="V8" s="389"/>
      <c r="W8" s="389"/>
      <c r="X8" s="389" t="s">
        <v>429</v>
      </c>
      <c r="Y8" s="389" t="s">
        <v>607</v>
      </c>
      <c r="Z8" s="389"/>
      <c r="AA8" s="293"/>
    </row>
    <row r="9" spans="1:27" ht="15" x14ac:dyDescent="0.25">
      <c r="B9" t="s">
        <v>7</v>
      </c>
      <c r="C9" t="s">
        <v>151</v>
      </c>
      <c r="D9" t="str">
        <f>B9&amp;C9</f>
        <v>INDBIB</v>
      </c>
      <c r="E9" t="str">
        <f t="shared" ref="E9:E63" si="0">INDEX(SectorNamesLong,MATCH(B9,SectorNamesShort,0))&amp;" "&amp;INDEX(FuelNamesLong,MATCH(C9,FuelNamesShort,0))</f>
        <v>Industry Biomass bagasse</v>
      </c>
      <c r="F9" t="s">
        <v>240</v>
      </c>
      <c r="G9"/>
      <c r="H9"/>
      <c r="I9"/>
      <c r="J9"/>
      <c r="K9" t="str">
        <f>"X"&amp;D9</f>
        <v>XINDBIB</v>
      </c>
      <c r="L9" t="str">
        <f>E9</f>
        <v>Industry Biomass bagasse</v>
      </c>
      <c r="M9" t="s">
        <v>240</v>
      </c>
      <c r="N9" t="s">
        <v>429</v>
      </c>
      <c r="O9" t="s">
        <v>358</v>
      </c>
      <c r="P9" t="s">
        <v>608</v>
      </c>
      <c r="Q9"/>
      <c r="R9"/>
      <c r="S9" t="str">
        <f>K9</f>
        <v>XINDBIB</v>
      </c>
      <c r="T9" t="str">
        <f>C9</f>
        <v>BIB</v>
      </c>
      <c r="U9" t="str">
        <f>D9</f>
        <v>INDBIB</v>
      </c>
      <c r="V9">
        <v>1</v>
      </c>
      <c r="W9">
        <v>60</v>
      </c>
      <c r="X9"/>
      <c r="Y9">
        <v>1</v>
      </c>
      <c r="Z9">
        <v>1</v>
      </c>
      <c r="AA9" s="293"/>
    </row>
    <row r="10" spans="1:27" ht="15" x14ac:dyDescent="0.25">
      <c r="B10" t="s">
        <v>11</v>
      </c>
      <c r="C10" t="s">
        <v>149</v>
      </c>
      <c r="D10" t="str">
        <f t="shared" ref="D10:D63" si="1">B10&amp;C10</f>
        <v>UPSBID</v>
      </c>
      <c r="E10" t="str">
        <f t="shared" si="0"/>
        <v>Upstream Biodiesel</v>
      </c>
      <c r="F10" t="s">
        <v>240</v>
      </c>
      <c r="G10"/>
      <c r="H10"/>
      <c r="I10"/>
      <c r="J10"/>
      <c r="K10" t="str">
        <f t="shared" ref="K10:K63" si="2">"X"&amp;D10</f>
        <v>XUPSBID</v>
      </c>
      <c r="L10" t="str">
        <f t="shared" ref="L10:L63" si="3">E10</f>
        <v>Upstream Biodiesel</v>
      </c>
      <c r="M10" t="s">
        <v>240</v>
      </c>
      <c r="N10" t="s">
        <v>429</v>
      </c>
      <c r="O10" t="s">
        <v>358</v>
      </c>
      <c r="P10" t="s">
        <v>608</v>
      </c>
      <c r="Q10"/>
      <c r="R10"/>
      <c r="S10" t="str">
        <f t="shared" ref="S10:S63" si="4">K10</f>
        <v>XUPSBID</v>
      </c>
      <c r="T10" t="str">
        <f t="shared" ref="T10:U63" si="5">C10</f>
        <v>BID</v>
      </c>
      <c r="U10" t="str">
        <f t="shared" si="5"/>
        <v>UPSBID</v>
      </c>
      <c r="V10">
        <v>1</v>
      </c>
      <c r="W10">
        <v>60</v>
      </c>
      <c r="X10"/>
      <c r="Y10">
        <v>1</v>
      </c>
      <c r="Z10">
        <v>1</v>
      </c>
      <c r="AA10" s="24"/>
    </row>
    <row r="11" spans="1:27" ht="15" x14ac:dyDescent="0.25">
      <c r="B11" t="s">
        <v>11</v>
      </c>
      <c r="C11" t="s">
        <v>147</v>
      </c>
      <c r="D11" t="str">
        <f t="shared" si="1"/>
        <v>UPSBIE</v>
      </c>
      <c r="E11" t="str">
        <f t="shared" si="0"/>
        <v>Upstream Bioethanol</v>
      </c>
      <c r="F11" t="s">
        <v>240</v>
      </c>
      <c r="G11"/>
      <c r="H11"/>
      <c r="I11"/>
      <c r="J11"/>
      <c r="K11" t="str">
        <f t="shared" si="2"/>
        <v>XUPSBIE</v>
      </c>
      <c r="L11" t="str">
        <f t="shared" si="3"/>
        <v>Upstream Bioethanol</v>
      </c>
      <c r="M11" t="s">
        <v>240</v>
      </c>
      <c r="N11" t="s">
        <v>429</v>
      </c>
      <c r="O11" t="s">
        <v>358</v>
      </c>
      <c r="P11" t="s">
        <v>608</v>
      </c>
      <c r="Q11"/>
      <c r="R11"/>
      <c r="S11" t="str">
        <f t="shared" si="4"/>
        <v>XUPSBIE</v>
      </c>
      <c r="T11" t="str">
        <f t="shared" si="5"/>
        <v>BIE</v>
      </c>
      <c r="U11" t="str">
        <f t="shared" si="5"/>
        <v>UPSBIE</v>
      </c>
      <c r="V11">
        <v>1</v>
      </c>
      <c r="W11">
        <v>60</v>
      </c>
      <c r="X11"/>
      <c r="Y11">
        <v>1</v>
      </c>
      <c r="Z11">
        <v>1</v>
      </c>
      <c r="AA11" s="24"/>
    </row>
    <row r="12" spans="1:27" ht="15" x14ac:dyDescent="0.25">
      <c r="B12" t="s">
        <v>7</v>
      </c>
      <c r="C12" t="s">
        <v>155</v>
      </c>
      <c r="D12" t="str">
        <f t="shared" si="1"/>
        <v>INDBIW</v>
      </c>
      <c r="E12" t="str">
        <f t="shared" si="0"/>
        <v>Industry Biomass Wood</v>
      </c>
      <c r="F12" t="s">
        <v>240</v>
      </c>
      <c r="G12"/>
      <c r="H12"/>
      <c r="I12"/>
      <c r="J12"/>
      <c r="K12" t="str">
        <f t="shared" si="2"/>
        <v>XINDBIW</v>
      </c>
      <c r="L12" t="str">
        <f t="shared" si="3"/>
        <v>Industry Biomass Wood</v>
      </c>
      <c r="M12" t="s">
        <v>240</v>
      </c>
      <c r="N12" t="s">
        <v>429</v>
      </c>
      <c r="O12" t="s">
        <v>358</v>
      </c>
      <c r="P12" t="s">
        <v>608</v>
      </c>
      <c r="Q12"/>
      <c r="R12"/>
      <c r="S12" t="str">
        <f t="shared" si="4"/>
        <v>XINDBIW</v>
      </c>
      <c r="T12" t="str">
        <f t="shared" si="5"/>
        <v>BIW</v>
      </c>
      <c r="U12" t="str">
        <f t="shared" si="5"/>
        <v>INDBIW</v>
      </c>
      <c r="V12">
        <v>1</v>
      </c>
      <c r="W12">
        <v>60</v>
      </c>
      <c r="X12"/>
      <c r="Y12">
        <v>1</v>
      </c>
      <c r="Z12">
        <v>1</v>
      </c>
    </row>
    <row r="13" spans="1:27" ht="15" x14ac:dyDescent="0.25">
      <c r="B13" t="s">
        <v>9</v>
      </c>
      <c r="C13" t="s">
        <v>155</v>
      </c>
      <c r="D13" t="str">
        <f t="shared" si="1"/>
        <v>RESBIW</v>
      </c>
      <c r="E13" t="str">
        <f t="shared" si="0"/>
        <v>Residential Biomass Wood</v>
      </c>
      <c r="F13" t="s">
        <v>240</v>
      </c>
      <c r="G13"/>
      <c r="H13"/>
      <c r="I13"/>
      <c r="J13"/>
      <c r="K13" t="str">
        <f t="shared" si="2"/>
        <v>XRESBIW</v>
      </c>
      <c r="L13" t="str">
        <f t="shared" si="3"/>
        <v>Residential Biomass Wood</v>
      </c>
      <c r="M13" t="s">
        <v>240</v>
      </c>
      <c r="N13" t="s">
        <v>429</v>
      </c>
      <c r="O13" t="s">
        <v>358</v>
      </c>
      <c r="P13" t="s">
        <v>608</v>
      </c>
      <c r="Q13"/>
      <c r="R13"/>
      <c r="S13" t="str">
        <f t="shared" si="4"/>
        <v>XRESBIW</v>
      </c>
      <c r="T13" t="str">
        <f t="shared" si="5"/>
        <v>BIW</v>
      </c>
      <c r="U13" t="str">
        <f t="shared" si="5"/>
        <v>RESBIW</v>
      </c>
      <c r="V13">
        <v>1</v>
      </c>
      <c r="W13">
        <v>60</v>
      </c>
      <c r="X13"/>
      <c r="Y13">
        <v>1</v>
      </c>
      <c r="Z13">
        <v>1</v>
      </c>
    </row>
    <row r="14" spans="1:27" ht="15" x14ac:dyDescent="0.25">
      <c r="B14" t="s">
        <v>7</v>
      </c>
      <c r="C14" t="s">
        <v>163</v>
      </c>
      <c r="D14" t="str">
        <f t="shared" si="1"/>
        <v>INDCLE</v>
      </c>
      <c r="E14" t="str">
        <f t="shared" si="0"/>
        <v>Industry Coal low grade</v>
      </c>
      <c r="F14" t="s">
        <v>240</v>
      </c>
      <c r="G14"/>
      <c r="H14"/>
      <c r="I14"/>
      <c r="J14"/>
      <c r="K14" t="str">
        <f t="shared" si="2"/>
        <v>XINDCLE</v>
      </c>
      <c r="L14" t="str">
        <f t="shared" si="3"/>
        <v>Industry Coal low grade</v>
      </c>
      <c r="M14" t="s">
        <v>240</v>
      </c>
      <c r="N14" t="s">
        <v>429</v>
      </c>
      <c r="O14" t="s">
        <v>358</v>
      </c>
      <c r="P14" t="s">
        <v>608</v>
      </c>
      <c r="Q14"/>
      <c r="R14"/>
      <c r="S14" t="str">
        <f t="shared" si="4"/>
        <v>XINDCLE</v>
      </c>
      <c r="T14" t="str">
        <f t="shared" si="5"/>
        <v>CLE</v>
      </c>
      <c r="U14" t="str">
        <f t="shared" si="5"/>
        <v>INDCLE</v>
      </c>
      <c r="V14">
        <v>1</v>
      </c>
      <c r="W14">
        <v>60</v>
      </c>
      <c r="X14"/>
      <c r="Y14">
        <v>1</v>
      </c>
      <c r="Z14">
        <v>1</v>
      </c>
    </row>
    <row r="15" spans="1:27" ht="15" x14ac:dyDescent="0.25">
      <c r="B15" t="s">
        <v>11</v>
      </c>
      <c r="C15" t="s">
        <v>163</v>
      </c>
      <c r="D15" t="str">
        <f t="shared" si="1"/>
        <v>UPSCLE</v>
      </c>
      <c r="E15" t="str">
        <f t="shared" si="0"/>
        <v>Upstream Coal low grade</v>
      </c>
      <c r="F15" t="s">
        <v>240</v>
      </c>
      <c r="G15"/>
      <c r="H15"/>
      <c r="I15"/>
      <c r="J15"/>
      <c r="K15" t="str">
        <f t="shared" si="2"/>
        <v>XUPSCLE</v>
      </c>
      <c r="L15" t="str">
        <f t="shared" si="3"/>
        <v>Upstream Coal low grade</v>
      </c>
      <c r="M15" t="s">
        <v>240</v>
      </c>
      <c r="N15" t="s">
        <v>429</v>
      </c>
      <c r="O15" t="s">
        <v>358</v>
      </c>
      <c r="P15" t="s">
        <v>608</v>
      </c>
      <c r="Q15"/>
      <c r="R15"/>
      <c r="S15" t="str">
        <f t="shared" si="4"/>
        <v>XUPSCLE</v>
      </c>
      <c r="T15" t="str">
        <f t="shared" si="5"/>
        <v>CLE</v>
      </c>
      <c r="U15" t="str">
        <f t="shared" si="5"/>
        <v>UPSCLE</v>
      </c>
      <c r="V15">
        <v>1</v>
      </c>
      <c r="W15">
        <v>60</v>
      </c>
      <c r="X15"/>
      <c r="Y15">
        <v>1</v>
      </c>
      <c r="Z15">
        <v>1</v>
      </c>
    </row>
    <row r="16" spans="1:27" ht="15" x14ac:dyDescent="0.25">
      <c r="B16" t="s">
        <v>5</v>
      </c>
      <c r="C16" t="s">
        <v>157</v>
      </c>
      <c r="D16" t="str">
        <f t="shared" si="1"/>
        <v>AGRCOA</v>
      </c>
      <c r="E16" t="str">
        <f t="shared" si="0"/>
        <v>Agriculture Coal</v>
      </c>
      <c r="F16" t="s">
        <v>240</v>
      </c>
      <c r="G16"/>
      <c r="H16"/>
      <c r="I16"/>
      <c r="J16"/>
      <c r="K16" t="str">
        <f t="shared" si="2"/>
        <v>XAGRCOA</v>
      </c>
      <c r="L16" t="str">
        <f t="shared" si="3"/>
        <v>Agriculture Coal</v>
      </c>
      <c r="M16" t="s">
        <v>240</v>
      </c>
      <c r="N16" t="s">
        <v>429</v>
      </c>
      <c r="O16" t="s">
        <v>358</v>
      </c>
      <c r="P16" t="s">
        <v>608</v>
      </c>
      <c r="Q16"/>
      <c r="R16"/>
      <c r="S16" t="str">
        <f t="shared" si="4"/>
        <v>XAGRCOA</v>
      </c>
      <c r="T16" t="str">
        <f t="shared" si="5"/>
        <v>COA</v>
      </c>
      <c r="U16" t="str">
        <f t="shared" si="5"/>
        <v>AGRCOA</v>
      </c>
      <c r="V16">
        <v>1</v>
      </c>
      <c r="W16">
        <v>60</v>
      </c>
      <c r="X16"/>
      <c r="Y16">
        <v>1</v>
      </c>
      <c r="Z16">
        <v>1</v>
      </c>
    </row>
    <row r="17" spans="2:26" ht="15" x14ac:dyDescent="0.25">
      <c r="B17" t="s">
        <v>6</v>
      </c>
      <c r="C17" t="s">
        <v>157</v>
      </c>
      <c r="D17" t="str">
        <f t="shared" si="1"/>
        <v>COMCOA</v>
      </c>
      <c r="E17" t="str">
        <f t="shared" si="0"/>
        <v>Commerce Coal</v>
      </c>
      <c r="F17" t="s">
        <v>240</v>
      </c>
      <c r="G17"/>
      <c r="H17"/>
      <c r="I17"/>
      <c r="J17"/>
      <c r="K17" t="str">
        <f t="shared" si="2"/>
        <v>XCOMCOA</v>
      </c>
      <c r="L17" t="str">
        <f t="shared" si="3"/>
        <v>Commerce Coal</v>
      </c>
      <c r="M17" t="s">
        <v>240</v>
      </c>
      <c r="N17" t="s">
        <v>429</v>
      </c>
      <c r="O17" t="s">
        <v>358</v>
      </c>
      <c r="P17" t="s">
        <v>608</v>
      </c>
      <c r="Q17"/>
      <c r="R17"/>
      <c r="S17" t="str">
        <f t="shared" si="4"/>
        <v>XCOMCOA</v>
      </c>
      <c r="T17" t="str">
        <f t="shared" si="5"/>
        <v>COA</v>
      </c>
      <c r="U17" t="str">
        <f t="shared" si="5"/>
        <v>COMCOA</v>
      </c>
      <c r="V17">
        <v>1</v>
      </c>
      <c r="W17">
        <v>60</v>
      </c>
      <c r="X17"/>
      <c r="Y17">
        <v>1</v>
      </c>
      <c r="Z17">
        <v>1</v>
      </c>
    </row>
    <row r="18" spans="2:26" ht="15" x14ac:dyDescent="0.25">
      <c r="B18" t="s">
        <v>7</v>
      </c>
      <c r="C18" t="s">
        <v>157</v>
      </c>
      <c r="D18" t="str">
        <f t="shared" si="1"/>
        <v>INDCOA</v>
      </c>
      <c r="E18" t="str">
        <f t="shared" si="0"/>
        <v>Industry Coal</v>
      </c>
      <c r="F18" t="s">
        <v>240</v>
      </c>
      <c r="G18"/>
      <c r="H18"/>
      <c r="I18"/>
      <c r="J18"/>
      <c r="K18" t="str">
        <f t="shared" si="2"/>
        <v>XINDCOA</v>
      </c>
      <c r="L18" t="str">
        <f t="shared" si="3"/>
        <v>Industry Coal</v>
      </c>
      <c r="M18" t="s">
        <v>240</v>
      </c>
      <c r="N18" t="s">
        <v>429</v>
      </c>
      <c r="O18" t="s">
        <v>358</v>
      </c>
      <c r="P18" t="s">
        <v>608</v>
      </c>
      <c r="Q18"/>
      <c r="R18"/>
      <c r="S18" t="str">
        <f t="shared" si="4"/>
        <v>XINDCOA</v>
      </c>
      <c r="T18" t="str">
        <f t="shared" si="5"/>
        <v>COA</v>
      </c>
      <c r="U18" t="str">
        <f t="shared" si="5"/>
        <v>INDCOA</v>
      </c>
      <c r="V18">
        <v>1</v>
      </c>
      <c r="W18">
        <v>60</v>
      </c>
      <c r="X18"/>
      <c r="Y18">
        <v>1</v>
      </c>
      <c r="Z18">
        <v>1</v>
      </c>
    </row>
    <row r="19" spans="2:26" ht="15" x14ac:dyDescent="0.25">
      <c r="B19" t="s">
        <v>9</v>
      </c>
      <c r="C19" t="s">
        <v>157</v>
      </c>
      <c r="D19" t="str">
        <f t="shared" si="1"/>
        <v>RESCOA</v>
      </c>
      <c r="E19" t="str">
        <f t="shared" si="0"/>
        <v>Residential Coal</v>
      </c>
      <c r="F19" t="s">
        <v>240</v>
      </c>
      <c r="G19"/>
      <c r="H19"/>
      <c r="I19"/>
      <c r="J19"/>
      <c r="K19" t="str">
        <f t="shared" si="2"/>
        <v>XRESCOA</v>
      </c>
      <c r="L19" t="str">
        <f t="shared" si="3"/>
        <v>Residential Coal</v>
      </c>
      <c r="M19" t="s">
        <v>240</v>
      </c>
      <c r="N19" t="s">
        <v>429</v>
      </c>
      <c r="O19" t="s">
        <v>358</v>
      </c>
      <c r="P19" t="s">
        <v>608</v>
      </c>
      <c r="Q19"/>
      <c r="R19"/>
      <c r="S19" t="str">
        <f t="shared" si="4"/>
        <v>XRESCOA</v>
      </c>
      <c r="T19" t="str">
        <f t="shared" si="5"/>
        <v>COA</v>
      </c>
      <c r="U19" t="str">
        <f t="shared" si="5"/>
        <v>RESCOA</v>
      </c>
      <c r="V19">
        <v>1</v>
      </c>
      <c r="W19">
        <v>60</v>
      </c>
      <c r="X19"/>
      <c r="Y19">
        <v>1</v>
      </c>
      <c r="Z19">
        <v>1</v>
      </c>
    </row>
    <row r="20" spans="2:26" ht="15" x14ac:dyDescent="0.25">
      <c r="B20" t="s">
        <v>7</v>
      </c>
      <c r="C20" t="s">
        <v>1100</v>
      </c>
      <c r="D20" t="str">
        <f t="shared" ref="D20:D21" si="6">B20&amp;C20</f>
        <v>INDCMU</v>
      </c>
      <c r="E20" t="str">
        <f t="shared" ref="E20:E21" si="7">INDEX(SectorNamesLong,MATCH(B20,SectorNamesShort,0))&amp;" "&amp;INDEX(FuelNamesLong,MATCH(C20,FuelNamesShort,0))</f>
        <v>Industry Coal for Material Use</v>
      </c>
      <c r="F20" t="s">
        <v>240</v>
      </c>
      <c r="G20"/>
      <c r="H20"/>
      <c r="I20"/>
      <c r="J20"/>
      <c r="K20" t="str">
        <f t="shared" ref="K20:K21" si="8">"X"&amp;D20</f>
        <v>XINDCMU</v>
      </c>
      <c r="L20" t="str">
        <f t="shared" ref="L20:L21" si="9">E20</f>
        <v>Industry Coal for Material Use</v>
      </c>
      <c r="M20" t="s">
        <v>240</v>
      </c>
      <c r="N20" t="s">
        <v>429</v>
      </c>
      <c r="O20" t="s">
        <v>358</v>
      </c>
      <c r="P20" t="s">
        <v>608</v>
      </c>
      <c r="Q20"/>
      <c r="R20"/>
      <c r="S20" t="str">
        <f t="shared" ref="S20:S21" si="10">K20</f>
        <v>XINDCMU</v>
      </c>
      <c r="T20" s="237" t="s">
        <v>157</v>
      </c>
      <c r="U20" t="str">
        <f t="shared" ref="U20:U21" si="11">D20</f>
        <v>INDCMU</v>
      </c>
      <c r="V20">
        <v>1</v>
      </c>
      <c r="W20">
        <v>60</v>
      </c>
      <c r="X20"/>
      <c r="Y20">
        <v>1</v>
      </c>
      <c r="Z20">
        <v>1</v>
      </c>
    </row>
    <row r="21" spans="2:26" ht="15" x14ac:dyDescent="0.25">
      <c r="B21" t="s">
        <v>11</v>
      </c>
      <c r="C21" t="s">
        <v>1100</v>
      </c>
      <c r="D21" t="str">
        <f t="shared" si="6"/>
        <v>UPSCMU</v>
      </c>
      <c r="E21" t="str">
        <f t="shared" si="7"/>
        <v>Upstream Coal for Material Use</v>
      </c>
      <c r="F21" t="s">
        <v>240</v>
      </c>
      <c r="G21"/>
      <c r="H21"/>
      <c r="I21"/>
      <c r="J21"/>
      <c r="K21" t="str">
        <f t="shared" si="8"/>
        <v>XUPSCMU</v>
      </c>
      <c r="L21" t="str">
        <f t="shared" si="9"/>
        <v>Upstream Coal for Material Use</v>
      </c>
      <c r="M21" t="s">
        <v>240</v>
      </c>
      <c r="N21" t="s">
        <v>429</v>
      </c>
      <c r="O21" t="s">
        <v>358</v>
      </c>
      <c r="P21" t="s">
        <v>608</v>
      </c>
      <c r="Q21"/>
      <c r="R21"/>
      <c r="S21" t="str">
        <f t="shared" si="10"/>
        <v>XUPSCMU</v>
      </c>
      <c r="T21" s="237" t="s">
        <v>163</v>
      </c>
      <c r="U21" t="str">
        <f t="shared" si="11"/>
        <v>UPSCMU</v>
      </c>
      <c r="V21">
        <v>1</v>
      </c>
      <c r="W21">
        <v>60</v>
      </c>
      <c r="X21"/>
      <c r="Y21">
        <v>1</v>
      </c>
      <c r="Z21">
        <v>1</v>
      </c>
    </row>
    <row r="22" spans="2:26" ht="15" x14ac:dyDescent="0.25">
      <c r="B22" t="s">
        <v>7</v>
      </c>
      <c r="C22" t="s">
        <v>159</v>
      </c>
      <c r="D22" t="str">
        <f t="shared" si="1"/>
        <v>INDCOK</v>
      </c>
      <c r="E22" t="str">
        <f t="shared" si="0"/>
        <v>Industry Coal Coking</v>
      </c>
      <c r="F22" t="s">
        <v>240</v>
      </c>
      <c r="G22"/>
      <c r="H22"/>
      <c r="I22"/>
      <c r="J22"/>
      <c r="K22" t="str">
        <f t="shared" si="2"/>
        <v>XINDCOK</v>
      </c>
      <c r="L22" t="str">
        <f t="shared" si="3"/>
        <v>Industry Coal Coking</v>
      </c>
      <c r="M22" t="s">
        <v>240</v>
      </c>
      <c r="N22" t="s">
        <v>429</v>
      </c>
      <c r="O22" t="s">
        <v>358</v>
      </c>
      <c r="P22" t="s">
        <v>608</v>
      </c>
      <c r="Q22"/>
      <c r="R22"/>
      <c r="S22" t="str">
        <f t="shared" si="4"/>
        <v>XINDCOK</v>
      </c>
      <c r="T22" t="str">
        <f t="shared" si="5"/>
        <v>COK</v>
      </c>
      <c r="U22" t="str">
        <f t="shared" si="5"/>
        <v>INDCOK</v>
      </c>
      <c r="V22">
        <v>1</v>
      </c>
      <c r="W22">
        <v>60</v>
      </c>
      <c r="X22"/>
      <c r="Y22">
        <v>1</v>
      </c>
      <c r="Z22">
        <v>1</v>
      </c>
    </row>
    <row r="23" spans="2:26" ht="15" x14ac:dyDescent="0.25">
      <c r="B23" t="s">
        <v>6</v>
      </c>
      <c r="C23" t="s">
        <v>171</v>
      </c>
      <c r="D23" t="str">
        <f t="shared" si="1"/>
        <v>COMGAS</v>
      </c>
      <c r="E23" t="str">
        <f t="shared" si="0"/>
        <v>Commerce Gas South Africa</v>
      </c>
      <c r="F23" t="s">
        <v>240</v>
      </c>
      <c r="G23"/>
      <c r="H23"/>
      <c r="I23"/>
      <c r="J23"/>
      <c r="K23" t="str">
        <f t="shared" si="2"/>
        <v>XCOMGAS</v>
      </c>
      <c r="L23" t="str">
        <f t="shared" si="3"/>
        <v>Commerce Gas South Africa</v>
      </c>
      <c r="M23" t="s">
        <v>240</v>
      </c>
      <c r="N23" t="s">
        <v>429</v>
      </c>
      <c r="O23" t="s">
        <v>358</v>
      </c>
      <c r="P23" t="s">
        <v>608</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171</v>
      </c>
      <c r="D24" t="str">
        <f t="shared" si="1"/>
        <v>INDGAS</v>
      </c>
      <c r="E24" t="str">
        <f t="shared" si="0"/>
        <v>Industry Gas South Africa</v>
      </c>
      <c r="F24" t="s">
        <v>240</v>
      </c>
      <c r="G24"/>
      <c r="H24"/>
      <c r="I24"/>
      <c r="J24"/>
      <c r="K24" t="str">
        <f t="shared" si="2"/>
        <v>XINDGAS</v>
      </c>
      <c r="L24" t="str">
        <f t="shared" si="3"/>
        <v>Industry Gas South Africa</v>
      </c>
      <c r="M24" t="s">
        <v>240</v>
      </c>
      <c r="N24" t="s">
        <v>429</v>
      </c>
      <c r="O24" t="s">
        <v>358</v>
      </c>
      <c r="P24" t="s">
        <v>608</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171</v>
      </c>
      <c r="D25" t="str">
        <f t="shared" si="1"/>
        <v>RESGAS</v>
      </c>
      <c r="E25" t="str">
        <f t="shared" si="0"/>
        <v>Residential Gas South Africa</v>
      </c>
      <c r="F25" t="s">
        <v>240</v>
      </c>
      <c r="G25"/>
      <c r="H25"/>
      <c r="I25"/>
      <c r="J25"/>
      <c r="K25" t="str">
        <f t="shared" si="2"/>
        <v>XRESGAS</v>
      </c>
      <c r="L25" t="str">
        <f t="shared" si="3"/>
        <v>Residential Gas South Africa</v>
      </c>
      <c r="M25" t="s">
        <v>240</v>
      </c>
      <c r="N25" t="s">
        <v>429</v>
      </c>
      <c r="O25" t="s">
        <v>358</v>
      </c>
      <c r="P25" t="s">
        <v>608</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171</v>
      </c>
      <c r="D26" t="str">
        <f t="shared" si="1"/>
        <v>UPSGAS</v>
      </c>
      <c r="E26" t="str">
        <f t="shared" si="0"/>
        <v>Upstream Gas South Africa</v>
      </c>
      <c r="F26" t="s">
        <v>240</v>
      </c>
      <c r="G26"/>
      <c r="H26"/>
      <c r="I26"/>
      <c r="J26"/>
      <c r="K26" t="str">
        <f t="shared" si="2"/>
        <v>XUPSGAS</v>
      </c>
      <c r="L26" t="str">
        <f t="shared" si="3"/>
        <v>Upstream Gas South Africa</v>
      </c>
      <c r="M26" t="s">
        <v>240</v>
      </c>
      <c r="N26" t="s">
        <v>429</v>
      </c>
      <c r="O26" t="s">
        <v>358</v>
      </c>
      <c r="P26" t="s">
        <v>608</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171</v>
      </c>
      <c r="D27" t="str">
        <f t="shared" si="1"/>
        <v>TRAGAS</v>
      </c>
      <c r="E27" t="str">
        <f t="shared" si="0"/>
        <v>Transport Gas South Africa</v>
      </c>
      <c r="F27" t="s">
        <v>240</v>
      </c>
      <c r="G27"/>
      <c r="H27"/>
      <c r="I27"/>
      <c r="J27"/>
      <c r="K27" t="str">
        <f t="shared" si="2"/>
        <v>XTRAGAS</v>
      </c>
      <c r="L27" t="str">
        <f t="shared" si="3"/>
        <v>Transport Gas South Africa</v>
      </c>
      <c r="M27" t="s">
        <v>240</v>
      </c>
      <c r="N27" t="s">
        <v>429</v>
      </c>
      <c r="O27" t="s">
        <v>358</v>
      </c>
      <c r="P27" t="s">
        <v>608</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171</v>
      </c>
      <c r="D28" t="str">
        <f t="shared" si="1"/>
        <v>PWRGAS</v>
      </c>
      <c r="E28" t="str">
        <f t="shared" si="0"/>
        <v>Power Gas South Africa</v>
      </c>
      <c r="F28" t="s">
        <v>240</v>
      </c>
      <c r="G28"/>
      <c r="H28"/>
      <c r="I28"/>
      <c r="J28"/>
      <c r="K28" t="str">
        <f t="shared" si="2"/>
        <v>XPWRGAS</v>
      </c>
      <c r="L28" t="str">
        <f t="shared" si="3"/>
        <v>Power Gas South Africa</v>
      </c>
      <c r="M28" t="s">
        <v>240</v>
      </c>
      <c r="N28" t="s">
        <v>429</v>
      </c>
      <c r="O28" t="s">
        <v>358</v>
      </c>
      <c r="P28" t="s">
        <v>608</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187</v>
      </c>
      <c r="D29" t="str">
        <f t="shared" ref="D29" si="12">B29&amp;C29</f>
        <v>UPSGIC</v>
      </c>
      <c r="E29" t="str">
        <f t="shared" ref="E29" si="13">INDEX(SectorNamesLong,MATCH(B29,SectorNamesShort,0))&amp;" "&amp;INDEX(FuelNamesLong,MATCH(C29,FuelNamesShort,0))</f>
        <v>Upstream Coastal Gas</v>
      </c>
      <c r="F29" t="s">
        <v>240</v>
      </c>
      <c r="G29"/>
      <c r="H29"/>
      <c r="I29"/>
      <c r="J29"/>
      <c r="K29" t="str">
        <f t="shared" ref="K29" si="14">"X"&amp;D29</f>
        <v>XUPSGIC</v>
      </c>
      <c r="L29" t="str">
        <f t="shared" ref="L29" si="15">E29</f>
        <v>Upstream Coastal Gas</v>
      </c>
      <c r="M29" t="s">
        <v>240</v>
      </c>
      <c r="N29" t="s">
        <v>429</v>
      </c>
      <c r="O29" t="s">
        <v>358</v>
      </c>
      <c r="P29" t="s">
        <v>608</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187</v>
      </c>
      <c r="D30" t="str">
        <f t="shared" ref="D30" si="19">B30&amp;C30</f>
        <v>PWRGIC</v>
      </c>
      <c r="E30" t="str">
        <f t="shared" ref="E30" si="20">INDEX(SectorNamesLong,MATCH(B30,SectorNamesShort,0))&amp;" "&amp;INDEX(FuelNamesLong,MATCH(C30,FuelNamesShort,0))</f>
        <v>Power Coastal Gas</v>
      </c>
      <c r="F30" t="s">
        <v>240</v>
      </c>
      <c r="G30"/>
      <c r="H30"/>
      <c r="I30"/>
      <c r="J30"/>
      <c r="K30" t="str">
        <f t="shared" ref="K30" si="21">"X"&amp;D30</f>
        <v>XPWRGIC</v>
      </c>
      <c r="L30" t="str">
        <f t="shared" ref="L30" si="22">E30</f>
        <v>Power Coastal Gas</v>
      </c>
      <c r="M30" t="s">
        <v>240</v>
      </c>
      <c r="N30" t="s">
        <v>429</v>
      </c>
      <c r="O30" t="s">
        <v>358</v>
      </c>
      <c r="P30" t="s">
        <v>608</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1102</v>
      </c>
      <c r="D31" t="str">
        <f>B31&amp;C31</f>
        <v>INDGMU</v>
      </c>
      <c r="E31" t="str">
        <f>INDEX(SectorNamesLong,MATCH(B31,SectorNamesShort,0))&amp;" "&amp;INDEX(FuelNamesLong,MATCH(C31,FuelNamesShort,0))</f>
        <v>Industry Gas Material Use</v>
      </c>
      <c r="F31" t="s">
        <v>240</v>
      </c>
      <c r="G31"/>
      <c r="H31"/>
      <c r="I31"/>
      <c r="J31"/>
      <c r="K31" t="str">
        <f>"X"&amp;D31</f>
        <v>XINDGMU</v>
      </c>
      <c r="L31" t="str">
        <f>E31</f>
        <v>Industry Gas Material Use</v>
      </c>
      <c r="M31" t="s">
        <v>240</v>
      </c>
      <c r="N31" t="s">
        <v>429</v>
      </c>
      <c r="O31" t="s">
        <v>358</v>
      </c>
      <c r="P31" t="s">
        <v>608</v>
      </c>
      <c r="Q31"/>
      <c r="R31"/>
      <c r="S31" t="str">
        <f>K31</f>
        <v>XINDGMU</v>
      </c>
      <c r="T31" s="237" t="s">
        <v>171</v>
      </c>
      <c r="U31" t="str">
        <f>D31</f>
        <v>INDGMU</v>
      </c>
      <c r="V31">
        <f>FugitiveEmissions!$O$12</f>
        <v>1</v>
      </c>
      <c r="W31">
        <v>60</v>
      </c>
      <c r="X31"/>
      <c r="Y31" s="82">
        <f>FuelDistribution!$F$96</f>
        <v>403.99806122448985</v>
      </c>
      <c r="Z31">
        <v>1</v>
      </c>
    </row>
    <row r="32" spans="2:26" ht="15" x14ac:dyDescent="0.25">
      <c r="B32" t="s">
        <v>11</v>
      </c>
      <c r="C32" t="s">
        <v>1102</v>
      </c>
      <c r="D32" t="str">
        <f>B32&amp;C32</f>
        <v>UPSGMU</v>
      </c>
      <c r="E32" t="str">
        <f>INDEX(SectorNamesLong,MATCH(B32,SectorNamesShort,0))&amp;" "&amp;INDEX(FuelNamesLong,MATCH(C32,FuelNamesShort,0))</f>
        <v>Upstream Gas Material Use</v>
      </c>
      <c r="F32" t="s">
        <v>240</v>
      </c>
      <c r="G32"/>
      <c r="H32"/>
      <c r="I32"/>
      <c r="J32"/>
      <c r="K32" t="str">
        <f>"X"&amp;D32</f>
        <v>XUPSGMU</v>
      </c>
      <c r="L32" t="str">
        <f>E32</f>
        <v>Upstream Gas Material Use</v>
      </c>
      <c r="M32" t="s">
        <v>240</v>
      </c>
      <c r="N32" t="s">
        <v>429</v>
      </c>
      <c r="O32" t="s">
        <v>358</v>
      </c>
      <c r="P32" t="s">
        <v>608</v>
      </c>
      <c r="Q32"/>
      <c r="R32"/>
      <c r="S32" t="str">
        <f>K32</f>
        <v>XUPSGMU</v>
      </c>
      <c r="T32" s="237" t="s">
        <v>171</v>
      </c>
      <c r="U32" t="str">
        <f>D32</f>
        <v>UPSGMU</v>
      </c>
      <c r="V32">
        <f>FugitiveEmissions!$O$12</f>
        <v>1</v>
      </c>
      <c r="W32">
        <v>60</v>
      </c>
      <c r="X32"/>
      <c r="Y32" s="82">
        <f>FuelDistribution!$F$96</f>
        <v>403.99806122448985</v>
      </c>
      <c r="Z32">
        <v>1</v>
      </c>
    </row>
    <row r="33" spans="2:26" ht="15" x14ac:dyDescent="0.25">
      <c r="B33" t="s">
        <v>11</v>
      </c>
      <c r="C33" t="s">
        <v>193</v>
      </c>
      <c r="D33" t="str">
        <f t="shared" si="1"/>
        <v>UPSHEE</v>
      </c>
      <c r="E33" t="str">
        <f t="shared" si="0"/>
        <v>Upstream Heat-Steam Existing</v>
      </c>
      <c r="F33" t="s">
        <v>240</v>
      </c>
      <c r="G33"/>
      <c r="H33"/>
      <c r="I33"/>
      <c r="J33"/>
      <c r="K33" t="str">
        <f t="shared" si="2"/>
        <v>XUPSHEE</v>
      </c>
      <c r="L33" t="str">
        <f t="shared" si="3"/>
        <v>Upstream Heat-Steam Existing</v>
      </c>
      <c r="M33" t="s">
        <v>240</v>
      </c>
      <c r="N33" t="s">
        <v>429</v>
      </c>
      <c r="O33" t="s">
        <v>358</v>
      </c>
      <c r="P33" t="s">
        <v>608</v>
      </c>
      <c r="Q33"/>
      <c r="R33"/>
      <c r="S33" t="str">
        <f t="shared" si="4"/>
        <v>XUPSHEE</v>
      </c>
      <c r="T33" t="str">
        <f t="shared" si="5"/>
        <v>HEE</v>
      </c>
      <c r="U33" t="str">
        <f t="shared" si="5"/>
        <v>UPSHEE</v>
      </c>
      <c r="V33">
        <v>1</v>
      </c>
      <c r="W33">
        <v>60</v>
      </c>
      <c r="X33"/>
      <c r="Y33">
        <v>1</v>
      </c>
      <c r="Z33">
        <v>1</v>
      </c>
    </row>
    <row r="34" spans="2:26" ht="15" x14ac:dyDescent="0.25">
      <c r="B34" t="s">
        <v>11</v>
      </c>
      <c r="C34" t="s">
        <v>195</v>
      </c>
      <c r="D34" t="str">
        <f t="shared" si="1"/>
        <v>UPSHEN</v>
      </c>
      <c r="E34" t="str">
        <f t="shared" si="0"/>
        <v>Upstream Heat-Steam New</v>
      </c>
      <c r="F34" t="s">
        <v>240</v>
      </c>
      <c r="G34"/>
      <c r="H34"/>
      <c r="I34"/>
      <c r="J34"/>
      <c r="K34" t="str">
        <f t="shared" si="2"/>
        <v>XUPSHEN</v>
      </c>
      <c r="L34" t="str">
        <f t="shared" si="3"/>
        <v>Upstream Heat-Steam New</v>
      </c>
      <c r="M34" t="s">
        <v>240</v>
      </c>
      <c r="N34" t="s">
        <v>429</v>
      </c>
      <c r="O34" t="s">
        <v>358</v>
      </c>
      <c r="P34" t="s">
        <v>608</v>
      </c>
      <c r="Q34"/>
      <c r="R34"/>
      <c r="S34" t="str">
        <f t="shared" si="4"/>
        <v>XUPSHEN</v>
      </c>
      <c r="T34" t="str">
        <f t="shared" si="5"/>
        <v>HEN</v>
      </c>
      <c r="U34" t="str">
        <f t="shared" si="5"/>
        <v>UPSHEN</v>
      </c>
      <c r="V34">
        <v>1</v>
      </c>
      <c r="W34">
        <v>60</v>
      </c>
      <c r="X34"/>
      <c r="Y34">
        <v>1</v>
      </c>
      <c r="Z34">
        <v>1</v>
      </c>
    </row>
    <row r="35" spans="2:26" ht="15" x14ac:dyDescent="0.25">
      <c r="B35" t="s">
        <v>7</v>
      </c>
      <c r="C35" t="s">
        <v>199</v>
      </c>
      <c r="D35" t="str">
        <f t="shared" ref="D35" si="26">B35&amp;C35</f>
        <v>INDHGN</v>
      </c>
      <c r="E35" t="str">
        <f t="shared" ref="E35" si="27">INDEX(SectorNamesLong,MATCH(B35,SectorNamesShort,0))&amp;" "&amp;INDEX(FuelNamesLong,MATCH(C35,FuelNamesShort,0))</f>
        <v>Industry Hydrogen</v>
      </c>
      <c r="F35" t="s">
        <v>240</v>
      </c>
      <c r="G35"/>
      <c r="H35"/>
      <c r="I35"/>
      <c r="J35"/>
      <c r="K35" t="str">
        <f t="shared" ref="K35" si="28">"X"&amp;D35</f>
        <v>XINDHGN</v>
      </c>
      <c r="L35" t="str">
        <f t="shared" ref="L35" si="29">E35</f>
        <v>Industry Hydrogen</v>
      </c>
      <c r="M35" t="s">
        <v>240</v>
      </c>
      <c r="N35" t="s">
        <v>429</v>
      </c>
      <c r="O35" t="s">
        <v>609</v>
      </c>
      <c r="P35" t="s">
        <v>608</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199</v>
      </c>
      <c r="D36" t="str">
        <f t="shared" si="1"/>
        <v>UPSHGN</v>
      </c>
      <c r="E36" t="str">
        <f t="shared" si="0"/>
        <v>Upstream Hydrogen</v>
      </c>
      <c r="F36" t="s">
        <v>240</v>
      </c>
      <c r="G36"/>
      <c r="H36"/>
      <c r="I36"/>
      <c r="J36"/>
      <c r="K36" t="str">
        <f t="shared" si="2"/>
        <v>XUPSHGN</v>
      </c>
      <c r="L36" t="str">
        <f t="shared" si="3"/>
        <v>Upstream Hydrogen</v>
      </c>
      <c r="M36" t="s">
        <v>240</v>
      </c>
      <c r="N36" t="s">
        <v>429</v>
      </c>
      <c r="O36" t="s">
        <v>609</v>
      </c>
      <c r="P36" t="s">
        <v>608</v>
      </c>
      <c r="Q36"/>
      <c r="R36"/>
      <c r="S36" t="str">
        <f t="shared" si="4"/>
        <v>XUPSHGN</v>
      </c>
      <c r="T36" t="str">
        <f t="shared" si="5"/>
        <v>HGN</v>
      </c>
      <c r="U36" t="str">
        <f t="shared" si="5"/>
        <v>UPSHGN</v>
      </c>
      <c r="V36">
        <v>1</v>
      </c>
      <c r="W36">
        <v>60</v>
      </c>
      <c r="X36"/>
      <c r="Y36">
        <v>1</v>
      </c>
      <c r="Z36">
        <v>1</v>
      </c>
    </row>
    <row r="37" spans="2:26" ht="15" x14ac:dyDescent="0.25">
      <c r="B37" t="s">
        <v>8</v>
      </c>
      <c r="C37" t="s">
        <v>199</v>
      </c>
      <c r="D37" t="str">
        <f t="shared" si="1"/>
        <v>TRAHGN</v>
      </c>
      <c r="E37" t="str">
        <f t="shared" si="0"/>
        <v>Transport Hydrogen</v>
      </c>
      <c r="F37" t="s">
        <v>240</v>
      </c>
      <c r="G37"/>
      <c r="H37"/>
      <c r="I37"/>
      <c r="J37"/>
      <c r="K37" t="str">
        <f t="shared" si="2"/>
        <v>XTRAHGN</v>
      </c>
      <c r="L37" t="str">
        <f t="shared" si="3"/>
        <v>Transport Hydrogen</v>
      </c>
      <c r="M37" t="s">
        <v>240</v>
      </c>
      <c r="N37" t="s">
        <v>429</v>
      </c>
      <c r="O37" t="s">
        <v>609</v>
      </c>
      <c r="P37" t="s">
        <v>608</v>
      </c>
      <c r="Q37"/>
      <c r="R37"/>
      <c r="S37" t="str">
        <f t="shared" si="4"/>
        <v>XTRAHGN</v>
      </c>
      <c r="T37" t="str">
        <f t="shared" si="5"/>
        <v>HGN</v>
      </c>
      <c r="U37" t="str">
        <f t="shared" si="5"/>
        <v>TRAHGN</v>
      </c>
      <c r="V37">
        <v>1</v>
      </c>
      <c r="W37">
        <v>60</v>
      </c>
      <c r="X37"/>
      <c r="Y37">
        <v>1</v>
      </c>
      <c r="Z37">
        <v>1</v>
      </c>
    </row>
    <row r="38" spans="2:26" ht="15" x14ac:dyDescent="0.25">
      <c r="B38" t="s">
        <v>8</v>
      </c>
      <c r="C38" t="s">
        <v>203</v>
      </c>
      <c r="D38" t="str">
        <f t="shared" si="1"/>
        <v>TRAOAG</v>
      </c>
      <c r="E38" t="str">
        <f t="shared" si="0"/>
        <v>Transport Oil Av Gasoline</v>
      </c>
      <c r="F38" t="s">
        <v>240</v>
      </c>
      <c r="G38"/>
      <c r="H38"/>
      <c r="I38"/>
      <c r="J38"/>
      <c r="K38" t="str">
        <f t="shared" si="2"/>
        <v>XTRAOAG</v>
      </c>
      <c r="L38" t="str">
        <f t="shared" si="3"/>
        <v>Transport Oil Av Gasoline</v>
      </c>
      <c r="M38" t="s">
        <v>240</v>
      </c>
      <c r="N38" t="s">
        <v>429</v>
      </c>
      <c r="O38" t="s">
        <v>358</v>
      </c>
      <c r="P38" t="s">
        <v>608</v>
      </c>
      <c r="Q38"/>
      <c r="R38"/>
      <c r="S38" t="str">
        <f t="shared" si="4"/>
        <v>XTRAOAG</v>
      </c>
      <c r="T38" t="str">
        <f t="shared" si="5"/>
        <v>OAG</v>
      </c>
      <c r="U38" t="str">
        <f t="shared" si="5"/>
        <v>TRAOAG</v>
      </c>
      <c r="V38">
        <v>1</v>
      </c>
      <c r="W38">
        <v>60</v>
      </c>
      <c r="X38"/>
      <c r="Y38">
        <v>1</v>
      </c>
      <c r="Z38">
        <v>1</v>
      </c>
    </row>
    <row r="39" spans="2:26" ht="15" x14ac:dyDescent="0.25">
      <c r="B39" t="s">
        <v>11</v>
      </c>
      <c r="C39" t="s">
        <v>205</v>
      </c>
      <c r="D39" t="str">
        <f t="shared" si="1"/>
        <v>UPSOCR</v>
      </c>
      <c r="E39" t="str">
        <f t="shared" si="0"/>
        <v>Upstream Oil Crude</v>
      </c>
      <c r="F39" t="s">
        <v>240</v>
      </c>
      <c r="G39"/>
      <c r="H39"/>
      <c r="I39"/>
      <c r="J39"/>
      <c r="K39" t="str">
        <f t="shared" si="2"/>
        <v>XUPSOCR</v>
      </c>
      <c r="L39" t="str">
        <f t="shared" si="3"/>
        <v>Upstream Oil Crude</v>
      </c>
      <c r="M39" t="s">
        <v>240</v>
      </c>
      <c r="N39" t="s">
        <v>429</v>
      </c>
      <c r="O39" t="s">
        <v>358</v>
      </c>
      <c r="P39" t="s">
        <v>608</v>
      </c>
      <c r="Q39"/>
      <c r="R39"/>
      <c r="S39" t="str">
        <f t="shared" si="4"/>
        <v>XUPSOCR</v>
      </c>
      <c r="T39" t="str">
        <f t="shared" si="5"/>
        <v>OCR</v>
      </c>
      <c r="U39" t="str">
        <f t="shared" si="5"/>
        <v>UPSOCR</v>
      </c>
      <c r="V39">
        <v>1</v>
      </c>
      <c r="W39">
        <v>60</v>
      </c>
      <c r="X39"/>
      <c r="Y39">
        <v>1</v>
      </c>
      <c r="Z39">
        <v>1</v>
      </c>
    </row>
    <row r="40" spans="2:26" ht="15" x14ac:dyDescent="0.25">
      <c r="B40" t="s">
        <v>5</v>
      </c>
      <c r="C40" t="s">
        <v>207</v>
      </c>
      <c r="D40" t="str">
        <f t="shared" si="1"/>
        <v>AGRODS</v>
      </c>
      <c r="E40" t="str">
        <f t="shared" si="0"/>
        <v>Agriculture Oil Diesel</v>
      </c>
      <c r="F40" t="s">
        <v>240</v>
      </c>
      <c r="G40"/>
      <c r="H40"/>
      <c r="I40"/>
      <c r="J40"/>
      <c r="K40" t="str">
        <f t="shared" si="2"/>
        <v>XAGRODS</v>
      </c>
      <c r="L40" t="str">
        <f t="shared" si="3"/>
        <v>Agriculture Oil Diesel</v>
      </c>
      <c r="M40" t="s">
        <v>240</v>
      </c>
      <c r="N40" t="s">
        <v>429</v>
      </c>
      <c r="O40" t="s">
        <v>358</v>
      </c>
      <c r="P40" t="s">
        <v>608</v>
      </c>
      <c r="Q40"/>
      <c r="R40"/>
      <c r="S40" t="str">
        <f t="shared" si="4"/>
        <v>XAGRODS</v>
      </c>
      <c r="T40" t="str">
        <f t="shared" si="5"/>
        <v>ODS</v>
      </c>
      <c r="U40" t="str">
        <f t="shared" si="5"/>
        <v>AGRODS</v>
      </c>
      <c r="V40">
        <v>1</v>
      </c>
      <c r="W40">
        <v>60</v>
      </c>
      <c r="X40"/>
      <c r="Y40">
        <v>1</v>
      </c>
      <c r="Z40">
        <v>1</v>
      </c>
    </row>
    <row r="41" spans="2:26" ht="15" x14ac:dyDescent="0.25">
      <c r="B41" t="s">
        <v>6</v>
      </c>
      <c r="C41" t="s">
        <v>207</v>
      </c>
      <c r="D41" t="str">
        <f t="shared" si="1"/>
        <v>COMODS</v>
      </c>
      <c r="E41" t="str">
        <f t="shared" si="0"/>
        <v>Commerce Oil Diesel</v>
      </c>
      <c r="F41" t="s">
        <v>240</v>
      </c>
      <c r="G41"/>
      <c r="H41"/>
      <c r="I41"/>
      <c r="J41"/>
      <c r="K41" t="str">
        <f t="shared" si="2"/>
        <v>XCOMODS</v>
      </c>
      <c r="L41" t="str">
        <f t="shared" si="3"/>
        <v>Commerce Oil Diesel</v>
      </c>
      <c r="M41" t="s">
        <v>240</v>
      </c>
      <c r="N41" t="s">
        <v>429</v>
      </c>
      <c r="O41" t="s">
        <v>358</v>
      </c>
      <c r="P41" t="s">
        <v>608</v>
      </c>
      <c r="Q41"/>
      <c r="R41"/>
      <c r="S41" t="str">
        <f t="shared" si="4"/>
        <v>XCOMODS</v>
      </c>
      <c r="T41" t="str">
        <f t="shared" si="5"/>
        <v>ODS</v>
      </c>
      <c r="U41" t="str">
        <f t="shared" si="5"/>
        <v>COMODS</v>
      </c>
      <c r="V41">
        <v>1</v>
      </c>
      <c r="W41">
        <v>60</v>
      </c>
      <c r="X41"/>
      <c r="Y41">
        <v>1</v>
      </c>
      <c r="Z41">
        <v>1</v>
      </c>
    </row>
    <row r="42" spans="2:26" ht="15" x14ac:dyDescent="0.25">
      <c r="B42" t="s">
        <v>7</v>
      </c>
      <c r="C42" t="s">
        <v>207</v>
      </c>
      <c r="D42" t="str">
        <f t="shared" si="1"/>
        <v>INDODS</v>
      </c>
      <c r="E42" t="str">
        <f t="shared" si="0"/>
        <v>Industry Oil Diesel</v>
      </c>
      <c r="F42" t="s">
        <v>240</v>
      </c>
      <c r="G42"/>
      <c r="H42"/>
      <c r="I42"/>
      <c r="J42"/>
      <c r="K42" t="str">
        <f t="shared" si="2"/>
        <v>XINDODS</v>
      </c>
      <c r="L42" t="str">
        <f t="shared" si="3"/>
        <v>Industry Oil Diesel</v>
      </c>
      <c r="M42" t="s">
        <v>240</v>
      </c>
      <c r="N42" t="s">
        <v>429</v>
      </c>
      <c r="O42" t="s">
        <v>358</v>
      </c>
      <c r="P42" t="s">
        <v>608</v>
      </c>
      <c r="Q42"/>
      <c r="R42"/>
      <c r="S42" t="str">
        <f t="shared" si="4"/>
        <v>XINDODS</v>
      </c>
      <c r="T42" t="str">
        <f t="shared" si="5"/>
        <v>ODS</v>
      </c>
      <c r="U42" t="str">
        <f t="shared" si="5"/>
        <v>INDODS</v>
      </c>
      <c r="V42">
        <v>1</v>
      </c>
      <c r="W42">
        <v>60</v>
      </c>
      <c r="X42"/>
      <c r="Y42">
        <v>1</v>
      </c>
      <c r="Z42">
        <v>1</v>
      </c>
    </row>
    <row r="43" spans="2:26" ht="15" x14ac:dyDescent="0.25">
      <c r="B43" t="s">
        <v>8</v>
      </c>
      <c r="C43" t="s">
        <v>207</v>
      </c>
      <c r="D43" t="str">
        <f t="shared" si="1"/>
        <v>TRAODS</v>
      </c>
      <c r="E43" t="str">
        <f t="shared" si="0"/>
        <v>Transport Oil Diesel</v>
      </c>
      <c r="F43" t="s">
        <v>240</v>
      </c>
      <c r="G43"/>
      <c r="H43"/>
      <c r="I43"/>
      <c r="J43"/>
      <c r="K43" t="str">
        <f t="shared" si="2"/>
        <v>XTRAODS</v>
      </c>
      <c r="L43" t="str">
        <f t="shared" si="3"/>
        <v>Transport Oil Diesel</v>
      </c>
      <c r="M43" t="s">
        <v>240</v>
      </c>
      <c r="N43" t="s">
        <v>429</v>
      </c>
      <c r="O43" t="s">
        <v>358</v>
      </c>
      <c r="P43" t="s">
        <v>608</v>
      </c>
      <c r="Q43"/>
      <c r="R43"/>
      <c r="S43" t="str">
        <f t="shared" si="4"/>
        <v>XTRAODS</v>
      </c>
      <c r="T43" t="str">
        <f t="shared" si="5"/>
        <v>ODS</v>
      </c>
      <c r="U43" t="str">
        <f t="shared" si="5"/>
        <v>TRAODS</v>
      </c>
      <c r="V43">
        <v>1</v>
      </c>
      <c r="W43">
        <v>60</v>
      </c>
      <c r="X43"/>
      <c r="Y43">
        <v>1</v>
      </c>
      <c r="Z43">
        <v>1</v>
      </c>
    </row>
    <row r="44" spans="2:26" ht="15" x14ac:dyDescent="0.25">
      <c r="B44" t="s">
        <v>10</v>
      </c>
      <c r="C44" t="s">
        <v>207</v>
      </c>
      <c r="D44" t="str">
        <f t="shared" ref="D44" si="33">B44&amp;C44</f>
        <v>PWRODS</v>
      </c>
      <c r="E44" t="str">
        <f t="shared" ref="E44" si="34">INDEX(SectorNamesLong,MATCH(B44,SectorNamesShort,0))&amp;" "&amp;INDEX(FuelNamesLong,MATCH(C44,FuelNamesShort,0))</f>
        <v>Power Oil Diesel</v>
      </c>
      <c r="F44" t="s">
        <v>240</v>
      </c>
      <c r="G44"/>
      <c r="H44"/>
      <c r="I44"/>
      <c r="J44"/>
      <c r="K44" t="str">
        <f t="shared" ref="K44" si="35">"X"&amp;D44</f>
        <v>XPWRODS</v>
      </c>
      <c r="L44" t="str">
        <f t="shared" ref="L44" si="36">E44</f>
        <v>Power Oil Diesel</v>
      </c>
      <c r="M44" t="s">
        <v>240</v>
      </c>
      <c r="N44" t="s">
        <v>429</v>
      </c>
      <c r="O44" t="s">
        <v>358</v>
      </c>
      <c r="P44" t="s">
        <v>608</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209</v>
      </c>
      <c r="D45" t="str">
        <f t="shared" si="1"/>
        <v>AGROGS</v>
      </c>
      <c r="E45" t="str">
        <f t="shared" si="0"/>
        <v>Agriculture Oil Gasoline</v>
      </c>
      <c r="F45" t="s">
        <v>240</v>
      </c>
      <c r="G45"/>
      <c r="H45"/>
      <c r="I45"/>
      <c r="J45"/>
      <c r="K45" t="str">
        <f t="shared" si="2"/>
        <v>XAGROGS</v>
      </c>
      <c r="L45" t="str">
        <f t="shared" si="3"/>
        <v>Agriculture Oil Gasoline</v>
      </c>
      <c r="M45" t="s">
        <v>240</v>
      </c>
      <c r="N45" t="s">
        <v>429</v>
      </c>
      <c r="O45" t="s">
        <v>358</v>
      </c>
      <c r="P45" t="s">
        <v>608</v>
      </c>
      <c r="Q45"/>
      <c r="R45"/>
      <c r="S45" t="str">
        <f t="shared" si="4"/>
        <v>XAGROGS</v>
      </c>
      <c r="T45" t="str">
        <f t="shared" si="5"/>
        <v>OGS</v>
      </c>
      <c r="U45" t="str">
        <f t="shared" si="5"/>
        <v>AGROGS</v>
      </c>
      <c r="V45">
        <v>1</v>
      </c>
      <c r="W45">
        <v>60</v>
      </c>
      <c r="X45"/>
      <c r="Y45">
        <v>1</v>
      </c>
      <c r="Z45">
        <v>1</v>
      </c>
    </row>
    <row r="46" spans="2:26" ht="15" x14ac:dyDescent="0.25">
      <c r="B46" t="s">
        <v>6</v>
      </c>
      <c r="C46" t="s">
        <v>209</v>
      </c>
      <c r="D46" t="str">
        <f t="shared" si="1"/>
        <v>COMOGS</v>
      </c>
      <c r="E46" t="str">
        <f t="shared" si="0"/>
        <v>Commerce Oil Gasoline</v>
      </c>
      <c r="F46" t="s">
        <v>240</v>
      </c>
      <c r="G46"/>
      <c r="H46"/>
      <c r="I46"/>
      <c r="J46"/>
      <c r="K46" t="str">
        <f t="shared" si="2"/>
        <v>XCOMOGS</v>
      </c>
      <c r="L46" t="str">
        <f t="shared" si="3"/>
        <v>Commerce Oil Gasoline</v>
      </c>
      <c r="M46" t="s">
        <v>240</v>
      </c>
      <c r="N46" t="s">
        <v>429</v>
      </c>
      <c r="O46" t="s">
        <v>358</v>
      </c>
      <c r="P46" t="s">
        <v>608</v>
      </c>
      <c r="Q46"/>
      <c r="R46"/>
      <c r="S46" t="str">
        <f t="shared" si="4"/>
        <v>XCOMOGS</v>
      </c>
      <c r="T46" t="str">
        <f t="shared" si="5"/>
        <v>OGS</v>
      </c>
      <c r="U46" t="str">
        <f t="shared" si="5"/>
        <v>COMOGS</v>
      </c>
      <c r="V46">
        <v>1</v>
      </c>
      <c r="W46">
        <v>60</v>
      </c>
      <c r="X46"/>
      <c r="Y46">
        <v>1</v>
      </c>
      <c r="Z46">
        <v>1</v>
      </c>
    </row>
    <row r="47" spans="2:26" ht="15" x14ac:dyDescent="0.25">
      <c r="B47" t="s">
        <v>7</v>
      </c>
      <c r="C47" t="s">
        <v>209</v>
      </c>
      <c r="D47" t="str">
        <f t="shared" si="1"/>
        <v>INDOGS</v>
      </c>
      <c r="E47" t="str">
        <f t="shared" si="0"/>
        <v>Industry Oil Gasoline</v>
      </c>
      <c r="F47" t="s">
        <v>240</v>
      </c>
      <c r="G47"/>
      <c r="H47"/>
      <c r="I47"/>
      <c r="J47"/>
      <c r="K47" t="str">
        <f t="shared" si="2"/>
        <v>XINDOGS</v>
      </c>
      <c r="L47" t="str">
        <f t="shared" si="3"/>
        <v>Industry Oil Gasoline</v>
      </c>
      <c r="M47" t="s">
        <v>240</v>
      </c>
      <c r="N47" t="s">
        <v>429</v>
      </c>
      <c r="O47" t="s">
        <v>358</v>
      </c>
      <c r="P47" t="s">
        <v>608</v>
      </c>
      <c r="Q47"/>
      <c r="R47"/>
      <c r="S47" t="str">
        <f t="shared" si="4"/>
        <v>XINDOGS</v>
      </c>
      <c r="T47" t="str">
        <f t="shared" si="5"/>
        <v>OGS</v>
      </c>
      <c r="U47" t="str">
        <f t="shared" si="5"/>
        <v>INDOGS</v>
      </c>
      <c r="V47">
        <v>1</v>
      </c>
      <c r="W47">
        <v>60</v>
      </c>
      <c r="X47"/>
      <c r="Y47">
        <v>1</v>
      </c>
      <c r="Z47">
        <v>1</v>
      </c>
    </row>
    <row r="48" spans="2:26" ht="15" x14ac:dyDescent="0.25">
      <c r="B48" t="s">
        <v>8</v>
      </c>
      <c r="C48" t="s">
        <v>209</v>
      </c>
      <c r="D48" t="str">
        <f t="shared" si="1"/>
        <v>TRAOGS</v>
      </c>
      <c r="E48" t="str">
        <f t="shared" si="0"/>
        <v>Transport Oil Gasoline</v>
      </c>
      <c r="F48" t="s">
        <v>240</v>
      </c>
      <c r="G48"/>
      <c r="H48"/>
      <c r="I48"/>
      <c r="J48"/>
      <c r="K48" t="str">
        <f t="shared" si="2"/>
        <v>XTRAOGS</v>
      </c>
      <c r="L48" t="str">
        <f t="shared" si="3"/>
        <v>Transport Oil Gasoline</v>
      </c>
      <c r="M48" t="s">
        <v>240</v>
      </c>
      <c r="N48" t="s">
        <v>429</v>
      </c>
      <c r="O48" t="s">
        <v>358</v>
      </c>
      <c r="P48" t="s">
        <v>608</v>
      </c>
      <c r="Q48"/>
      <c r="R48"/>
      <c r="S48" t="str">
        <f t="shared" si="4"/>
        <v>XTRAOGS</v>
      </c>
      <c r="T48" t="str">
        <f t="shared" si="5"/>
        <v>OGS</v>
      </c>
      <c r="U48" t="str">
        <f t="shared" si="5"/>
        <v>TRAOGS</v>
      </c>
      <c r="V48">
        <v>1</v>
      </c>
      <c r="W48">
        <v>60</v>
      </c>
      <c r="X48"/>
      <c r="Y48">
        <v>1</v>
      </c>
      <c r="Z48">
        <v>1</v>
      </c>
    </row>
    <row r="49" spans="2:31" ht="15" x14ac:dyDescent="0.25">
      <c r="B49" t="s">
        <v>5</v>
      </c>
      <c r="C49" t="s">
        <v>211</v>
      </c>
      <c r="D49" t="str">
        <f t="shared" si="1"/>
        <v>AGROHF</v>
      </c>
      <c r="E49" t="str">
        <f t="shared" si="0"/>
        <v>Agriculture Oil HFO</v>
      </c>
      <c r="F49" t="s">
        <v>240</v>
      </c>
      <c r="G49"/>
      <c r="H49"/>
      <c r="I49"/>
      <c r="J49"/>
      <c r="K49" t="str">
        <f t="shared" si="2"/>
        <v>XAGROHF</v>
      </c>
      <c r="L49" t="str">
        <f t="shared" si="3"/>
        <v>Agriculture Oil HFO</v>
      </c>
      <c r="M49" t="s">
        <v>240</v>
      </c>
      <c r="N49" t="s">
        <v>429</v>
      </c>
      <c r="O49" t="s">
        <v>358</v>
      </c>
      <c r="P49" t="s">
        <v>608</v>
      </c>
      <c r="Q49"/>
      <c r="R49"/>
      <c r="S49" t="str">
        <f t="shared" si="4"/>
        <v>XAGROHF</v>
      </c>
      <c r="T49" t="str">
        <f t="shared" si="5"/>
        <v>OHF</v>
      </c>
      <c r="U49" t="str">
        <f t="shared" si="5"/>
        <v>AGROHF</v>
      </c>
      <c r="V49">
        <v>1</v>
      </c>
      <c r="W49">
        <v>60</v>
      </c>
      <c r="X49"/>
      <c r="Y49">
        <v>1</v>
      </c>
      <c r="Z49">
        <v>1</v>
      </c>
      <c r="AE49"/>
    </row>
    <row r="50" spans="2:31" ht="15" x14ac:dyDescent="0.25">
      <c r="B50" t="s">
        <v>6</v>
      </c>
      <c r="C50" t="s">
        <v>211</v>
      </c>
      <c r="D50" t="str">
        <f t="shared" si="1"/>
        <v>COMOHF</v>
      </c>
      <c r="E50" t="str">
        <f t="shared" si="0"/>
        <v>Commerce Oil HFO</v>
      </c>
      <c r="F50" t="s">
        <v>240</v>
      </c>
      <c r="G50"/>
      <c r="H50"/>
      <c r="I50"/>
      <c r="J50"/>
      <c r="K50" t="str">
        <f t="shared" si="2"/>
        <v>XCOMOHF</v>
      </c>
      <c r="L50" t="str">
        <f t="shared" si="3"/>
        <v>Commerce Oil HFO</v>
      </c>
      <c r="M50" t="s">
        <v>240</v>
      </c>
      <c r="N50" t="s">
        <v>429</v>
      </c>
      <c r="O50" t="s">
        <v>358</v>
      </c>
      <c r="P50" t="s">
        <v>608</v>
      </c>
      <c r="Q50"/>
      <c r="R50"/>
      <c r="S50" t="str">
        <f t="shared" si="4"/>
        <v>XCOMOHF</v>
      </c>
      <c r="T50" t="str">
        <f t="shared" si="5"/>
        <v>OHF</v>
      </c>
      <c r="U50" t="str">
        <f t="shared" si="5"/>
        <v>COMOHF</v>
      </c>
      <c r="V50">
        <v>1</v>
      </c>
      <c r="W50">
        <v>60</v>
      </c>
      <c r="X50"/>
      <c r="Y50">
        <v>1</v>
      </c>
      <c r="Z50">
        <v>1</v>
      </c>
      <c r="AE50"/>
    </row>
    <row r="51" spans="2:31" ht="15" x14ac:dyDescent="0.25">
      <c r="B51" t="s">
        <v>7</v>
      </c>
      <c r="C51" t="s">
        <v>211</v>
      </c>
      <c r="D51" t="str">
        <f t="shared" si="1"/>
        <v>INDOHF</v>
      </c>
      <c r="E51" t="str">
        <f t="shared" si="0"/>
        <v>Industry Oil HFO</v>
      </c>
      <c r="F51" t="s">
        <v>240</v>
      </c>
      <c r="G51"/>
      <c r="H51"/>
      <c r="I51"/>
      <c r="J51"/>
      <c r="K51" t="str">
        <f t="shared" si="2"/>
        <v>XINDOHF</v>
      </c>
      <c r="L51" t="str">
        <f t="shared" si="3"/>
        <v>Industry Oil HFO</v>
      </c>
      <c r="M51" t="s">
        <v>240</v>
      </c>
      <c r="N51" t="s">
        <v>429</v>
      </c>
      <c r="O51" t="s">
        <v>358</v>
      </c>
      <c r="P51" t="s">
        <v>608</v>
      </c>
      <c r="Q51"/>
      <c r="R51"/>
      <c r="S51" t="str">
        <f t="shared" si="4"/>
        <v>XINDOHF</v>
      </c>
      <c r="T51" t="str">
        <f t="shared" si="5"/>
        <v>OHF</v>
      </c>
      <c r="U51" t="str">
        <f t="shared" si="5"/>
        <v>INDOHF</v>
      </c>
      <c r="V51">
        <v>1</v>
      </c>
      <c r="W51">
        <v>60</v>
      </c>
      <c r="X51"/>
      <c r="Y51">
        <v>1</v>
      </c>
      <c r="Z51">
        <v>1</v>
      </c>
      <c r="AE51"/>
    </row>
    <row r="52" spans="2:31" ht="15" x14ac:dyDescent="0.25">
      <c r="B52" t="s">
        <v>8</v>
      </c>
      <c r="C52" t="s">
        <v>211</v>
      </c>
      <c r="D52" t="str">
        <f t="shared" si="1"/>
        <v>TRAOHF</v>
      </c>
      <c r="E52" t="str">
        <f t="shared" si="0"/>
        <v>Transport Oil HFO</v>
      </c>
      <c r="F52" t="s">
        <v>240</v>
      </c>
      <c r="G52"/>
      <c r="H52"/>
      <c r="I52"/>
      <c r="J52"/>
      <c r="K52" t="str">
        <f t="shared" si="2"/>
        <v>XTRAOHF</v>
      </c>
      <c r="L52" t="str">
        <f t="shared" si="3"/>
        <v>Transport Oil HFO</v>
      </c>
      <c r="M52" t="s">
        <v>240</v>
      </c>
      <c r="N52" t="s">
        <v>429</v>
      </c>
      <c r="O52" t="s">
        <v>358</v>
      </c>
      <c r="P52" t="s">
        <v>608</v>
      </c>
      <c r="Q52"/>
      <c r="R52"/>
      <c r="S52" t="str">
        <f t="shared" si="4"/>
        <v>XTRAOHF</v>
      </c>
      <c r="T52" t="str">
        <f t="shared" si="5"/>
        <v>OHF</v>
      </c>
      <c r="U52" t="str">
        <f t="shared" si="5"/>
        <v>TRAOHF</v>
      </c>
      <c r="V52">
        <v>1</v>
      </c>
      <c r="W52">
        <v>60</v>
      </c>
      <c r="X52"/>
      <c r="Y52">
        <v>1</v>
      </c>
      <c r="Z52">
        <v>1</v>
      </c>
      <c r="AE52"/>
    </row>
    <row r="53" spans="2:31" ht="15" x14ac:dyDescent="0.25">
      <c r="B53" t="s">
        <v>10</v>
      </c>
      <c r="C53" t="s">
        <v>211</v>
      </c>
      <c r="D53" t="str">
        <f t="shared" ref="D53" si="40">B53&amp;C53</f>
        <v>PWROHF</v>
      </c>
      <c r="E53" t="str">
        <f t="shared" ref="E53" si="41">INDEX(SectorNamesLong,MATCH(B53,SectorNamesShort,0))&amp;" "&amp;INDEX(FuelNamesLong,MATCH(C53,FuelNamesShort,0))</f>
        <v>Power Oil HFO</v>
      </c>
      <c r="F53" t="s">
        <v>240</v>
      </c>
      <c r="G53"/>
      <c r="H53"/>
      <c r="I53"/>
      <c r="J53"/>
      <c r="K53" t="str">
        <f t="shared" ref="K53" si="42">"X"&amp;D53</f>
        <v>XPWROHF</v>
      </c>
      <c r="L53" t="str">
        <f t="shared" ref="L53" si="43">E53</f>
        <v>Power Oil HFO</v>
      </c>
      <c r="M53" t="s">
        <v>240</v>
      </c>
      <c r="N53" t="s">
        <v>429</v>
      </c>
      <c r="O53" t="s">
        <v>358</v>
      </c>
      <c r="P53" t="s">
        <v>608</v>
      </c>
      <c r="Q53"/>
      <c r="R53"/>
      <c r="S53" t="str">
        <f t="shared" ref="S53" si="44">K53</f>
        <v>XPWROHF</v>
      </c>
      <c r="T53" t="str">
        <f t="shared" ref="T53" si="45">C53</f>
        <v>OHF</v>
      </c>
      <c r="U53" t="str">
        <f t="shared" ref="U53" si="46">D53</f>
        <v>PWROHF</v>
      </c>
      <c r="V53">
        <v>1</v>
      </c>
      <c r="W53">
        <v>60</v>
      </c>
      <c r="X53"/>
      <c r="Y53">
        <v>1</v>
      </c>
      <c r="Z53">
        <v>1</v>
      </c>
      <c r="AE53"/>
    </row>
    <row r="54" spans="2:31" ht="15" x14ac:dyDescent="0.25">
      <c r="B54" t="s">
        <v>5</v>
      </c>
      <c r="C54" t="s">
        <v>213</v>
      </c>
      <c r="D54" t="str">
        <f t="shared" si="1"/>
        <v>AGROKE</v>
      </c>
      <c r="E54" t="str">
        <f t="shared" si="0"/>
        <v>Agriculture Oil Kerosene</v>
      </c>
      <c r="F54" t="s">
        <v>240</v>
      </c>
      <c r="G54"/>
      <c r="H54"/>
      <c r="I54"/>
      <c r="J54"/>
      <c r="K54" t="str">
        <f t="shared" si="2"/>
        <v>XAGROKE</v>
      </c>
      <c r="L54" t="str">
        <f t="shared" si="3"/>
        <v>Agriculture Oil Kerosene</v>
      </c>
      <c r="M54" t="s">
        <v>240</v>
      </c>
      <c r="N54" t="s">
        <v>429</v>
      </c>
      <c r="O54" t="s">
        <v>358</v>
      </c>
      <c r="P54" t="s">
        <v>608</v>
      </c>
      <c r="Q54"/>
      <c r="R54"/>
      <c r="S54" t="str">
        <f t="shared" si="4"/>
        <v>XAGROKE</v>
      </c>
      <c r="T54" t="str">
        <f t="shared" si="5"/>
        <v>OKE</v>
      </c>
      <c r="U54" t="str">
        <f t="shared" si="5"/>
        <v>AGROKE</v>
      </c>
      <c r="V54">
        <v>1</v>
      </c>
      <c r="W54">
        <v>60</v>
      </c>
      <c r="X54"/>
      <c r="Y54">
        <v>1</v>
      </c>
      <c r="Z54">
        <v>1</v>
      </c>
      <c r="AE54"/>
    </row>
    <row r="55" spans="2:31" ht="15" x14ac:dyDescent="0.25">
      <c r="B55" t="s">
        <v>6</v>
      </c>
      <c r="C55" t="s">
        <v>213</v>
      </c>
      <c r="D55" t="str">
        <f t="shared" si="1"/>
        <v>COMOKE</v>
      </c>
      <c r="E55" t="str">
        <f t="shared" si="0"/>
        <v>Commerce Oil Kerosene</v>
      </c>
      <c r="F55" t="s">
        <v>240</v>
      </c>
      <c r="G55"/>
      <c r="H55"/>
      <c r="I55"/>
      <c r="J55"/>
      <c r="K55" t="str">
        <f t="shared" si="2"/>
        <v>XCOMOKE</v>
      </c>
      <c r="L55" t="str">
        <f t="shared" si="3"/>
        <v>Commerce Oil Kerosene</v>
      </c>
      <c r="M55" t="s">
        <v>240</v>
      </c>
      <c r="N55" t="s">
        <v>429</v>
      </c>
      <c r="O55" t="s">
        <v>358</v>
      </c>
      <c r="P55" t="s">
        <v>608</v>
      </c>
      <c r="Q55"/>
      <c r="R55"/>
      <c r="S55" t="str">
        <f t="shared" si="4"/>
        <v>XCOMOKE</v>
      </c>
      <c r="T55" t="str">
        <f t="shared" si="5"/>
        <v>OKE</v>
      </c>
      <c r="U55" t="str">
        <f t="shared" si="5"/>
        <v>COMOKE</v>
      </c>
      <c r="V55">
        <v>1</v>
      </c>
      <c r="W55">
        <v>60</v>
      </c>
      <c r="X55"/>
      <c r="Y55">
        <v>1</v>
      </c>
      <c r="Z55">
        <v>1</v>
      </c>
      <c r="AE55"/>
    </row>
    <row r="56" spans="2:31" ht="15" x14ac:dyDescent="0.25">
      <c r="B56" t="s">
        <v>9</v>
      </c>
      <c r="C56" t="s">
        <v>213</v>
      </c>
      <c r="D56" t="str">
        <f t="shared" si="1"/>
        <v>RESOKE</v>
      </c>
      <c r="E56" t="str">
        <f t="shared" si="0"/>
        <v>Residential Oil Kerosene</v>
      </c>
      <c r="F56" t="s">
        <v>240</v>
      </c>
      <c r="G56"/>
      <c r="H56"/>
      <c r="I56"/>
      <c r="J56"/>
      <c r="K56" t="str">
        <f t="shared" si="2"/>
        <v>XRESOKE</v>
      </c>
      <c r="L56" t="str">
        <f t="shared" si="3"/>
        <v>Residential Oil Kerosene</v>
      </c>
      <c r="M56" t="s">
        <v>240</v>
      </c>
      <c r="N56" t="s">
        <v>429</v>
      </c>
      <c r="O56" t="s">
        <v>358</v>
      </c>
      <c r="P56" t="s">
        <v>608</v>
      </c>
      <c r="Q56"/>
      <c r="R56"/>
      <c r="S56" t="str">
        <f t="shared" si="4"/>
        <v>XRESOKE</v>
      </c>
      <c r="T56" t="str">
        <f t="shared" si="5"/>
        <v>OKE</v>
      </c>
      <c r="U56" t="str">
        <f t="shared" si="5"/>
        <v>RESOKE</v>
      </c>
      <c r="V56">
        <v>1</v>
      </c>
      <c r="W56">
        <v>60</v>
      </c>
      <c r="X56"/>
      <c r="Y56">
        <v>1</v>
      </c>
      <c r="Z56">
        <v>1</v>
      </c>
      <c r="AE56"/>
    </row>
    <row r="57" spans="2:31" ht="15" x14ac:dyDescent="0.25">
      <c r="B57" t="s">
        <v>8</v>
      </c>
      <c r="C57" t="s">
        <v>213</v>
      </c>
      <c r="D57" t="str">
        <f t="shared" si="1"/>
        <v>TRAOKE</v>
      </c>
      <c r="E57" t="str">
        <f t="shared" si="0"/>
        <v>Transport Oil Kerosene</v>
      </c>
      <c r="F57" t="s">
        <v>240</v>
      </c>
      <c r="G57"/>
      <c r="H57"/>
      <c r="I57"/>
      <c r="J57"/>
      <c r="K57" t="str">
        <f t="shared" si="2"/>
        <v>XTRAOKE</v>
      </c>
      <c r="L57" t="str">
        <f t="shared" si="3"/>
        <v>Transport Oil Kerosene</v>
      </c>
      <c r="M57" t="s">
        <v>240</v>
      </c>
      <c r="N57" t="s">
        <v>429</v>
      </c>
      <c r="O57" t="s">
        <v>358</v>
      </c>
      <c r="P57" t="s">
        <v>608</v>
      </c>
      <c r="Q57"/>
      <c r="R57"/>
      <c r="S57" t="str">
        <f t="shared" si="4"/>
        <v>XTRAOKE</v>
      </c>
      <c r="T57" t="str">
        <f t="shared" si="5"/>
        <v>OKE</v>
      </c>
      <c r="U57" t="str">
        <f t="shared" si="5"/>
        <v>TRAOKE</v>
      </c>
      <c r="V57">
        <v>1</v>
      </c>
      <c r="W57">
        <v>60</v>
      </c>
      <c r="X57"/>
      <c r="Y57">
        <v>1</v>
      </c>
      <c r="Z57">
        <v>1</v>
      </c>
      <c r="AE57"/>
    </row>
    <row r="58" spans="2:31" ht="15" x14ac:dyDescent="0.25">
      <c r="B58" t="s">
        <v>10</v>
      </c>
      <c r="C58" t="s">
        <v>213</v>
      </c>
      <c r="D58" t="str">
        <f t="shared" ref="D58" si="47">B58&amp;C58</f>
        <v>PWROKE</v>
      </c>
      <c r="E58" t="str">
        <f t="shared" ref="E58" si="48">INDEX(SectorNamesLong,MATCH(B58,SectorNamesShort,0))&amp;" "&amp;INDEX(FuelNamesLong,MATCH(C58,FuelNamesShort,0))</f>
        <v>Power Oil Kerosene</v>
      </c>
      <c r="F58" t="s">
        <v>240</v>
      </c>
      <c r="G58"/>
      <c r="H58"/>
      <c r="I58"/>
      <c r="J58"/>
      <c r="K58" t="str">
        <f t="shared" ref="K58" si="49">"X"&amp;D58</f>
        <v>XPWROKE</v>
      </c>
      <c r="L58" t="str">
        <f t="shared" ref="L58" si="50">E58</f>
        <v>Power Oil Kerosene</v>
      </c>
      <c r="M58" t="s">
        <v>240</v>
      </c>
      <c r="N58" t="s">
        <v>429</v>
      </c>
      <c r="O58" t="s">
        <v>358</v>
      </c>
      <c r="P58" t="s">
        <v>608</v>
      </c>
      <c r="Q58"/>
      <c r="R58"/>
      <c r="S58" t="str">
        <f t="shared" ref="S58" si="51">K58</f>
        <v>XPWROKE</v>
      </c>
      <c r="T58" t="str">
        <f t="shared" ref="T58" si="52">C58</f>
        <v>OKE</v>
      </c>
      <c r="U58" t="str">
        <f t="shared" ref="U58" si="53">D58</f>
        <v>PWROKE</v>
      </c>
      <c r="V58">
        <v>1</v>
      </c>
      <c r="W58">
        <v>60</v>
      </c>
      <c r="X58"/>
      <c r="Y58">
        <v>1</v>
      </c>
      <c r="Z58">
        <v>1</v>
      </c>
      <c r="AE58"/>
    </row>
    <row r="59" spans="2:31" ht="15" x14ac:dyDescent="0.25">
      <c r="B59" t="s">
        <v>5</v>
      </c>
      <c r="C59" t="s">
        <v>215</v>
      </c>
      <c r="D59" t="str">
        <f t="shared" si="1"/>
        <v>AGROLP</v>
      </c>
      <c r="E59" t="str">
        <f t="shared" si="0"/>
        <v>Agriculture Oil LPG</v>
      </c>
      <c r="F59" t="s">
        <v>240</v>
      </c>
      <c r="G59"/>
      <c r="H59"/>
      <c r="I59"/>
      <c r="J59"/>
      <c r="K59" t="str">
        <f t="shared" si="2"/>
        <v>XAGROLP</v>
      </c>
      <c r="L59" t="str">
        <f t="shared" si="3"/>
        <v>Agriculture Oil LPG</v>
      </c>
      <c r="M59" t="s">
        <v>240</v>
      </c>
      <c r="N59" t="s">
        <v>429</v>
      </c>
      <c r="O59" t="s">
        <v>358</v>
      </c>
      <c r="P59" t="s">
        <v>608</v>
      </c>
      <c r="Q59"/>
      <c r="R59"/>
      <c r="S59" t="str">
        <f t="shared" si="4"/>
        <v>XAGROLP</v>
      </c>
      <c r="T59" t="str">
        <f t="shared" si="5"/>
        <v>OLP</v>
      </c>
      <c r="U59" t="str">
        <f t="shared" si="5"/>
        <v>AGROLP</v>
      </c>
      <c r="V59">
        <v>1</v>
      </c>
      <c r="W59">
        <v>60</v>
      </c>
      <c r="X59"/>
      <c r="Y59">
        <v>1</v>
      </c>
      <c r="Z59">
        <v>1</v>
      </c>
      <c r="AE59"/>
    </row>
    <row r="60" spans="2:31" ht="15" x14ac:dyDescent="0.25">
      <c r="B60" t="s">
        <v>6</v>
      </c>
      <c r="C60" t="s">
        <v>215</v>
      </c>
      <c r="D60" t="str">
        <f t="shared" si="1"/>
        <v>COMOLP</v>
      </c>
      <c r="E60" t="str">
        <f t="shared" si="0"/>
        <v>Commerce Oil LPG</v>
      </c>
      <c r="F60" t="s">
        <v>240</v>
      </c>
      <c r="G60"/>
      <c r="H60"/>
      <c r="I60"/>
      <c r="J60"/>
      <c r="K60" t="str">
        <f t="shared" si="2"/>
        <v>XCOMOLP</v>
      </c>
      <c r="L60" t="str">
        <f t="shared" si="3"/>
        <v>Commerce Oil LPG</v>
      </c>
      <c r="M60" t="s">
        <v>240</v>
      </c>
      <c r="N60" t="s">
        <v>429</v>
      </c>
      <c r="O60" t="s">
        <v>358</v>
      </c>
      <c r="P60" t="s">
        <v>608</v>
      </c>
      <c r="Q60"/>
      <c r="R60"/>
      <c r="S60" t="str">
        <f t="shared" si="4"/>
        <v>XCOMOLP</v>
      </c>
      <c r="T60" t="str">
        <f t="shared" si="5"/>
        <v>OLP</v>
      </c>
      <c r="U60" t="str">
        <f t="shared" si="5"/>
        <v>COMOLP</v>
      </c>
      <c r="V60">
        <v>1</v>
      </c>
      <c r="W60">
        <v>60</v>
      </c>
      <c r="X60"/>
      <c r="Y60">
        <v>1</v>
      </c>
      <c r="Z60">
        <v>1</v>
      </c>
      <c r="AE60"/>
    </row>
    <row r="61" spans="2:31" ht="15" x14ac:dyDescent="0.25">
      <c r="B61" t="s">
        <v>7</v>
      </c>
      <c r="C61" t="s">
        <v>215</v>
      </c>
      <c r="D61" t="str">
        <f t="shared" si="1"/>
        <v>INDOLP</v>
      </c>
      <c r="E61" t="str">
        <f t="shared" si="0"/>
        <v>Industry Oil LPG</v>
      </c>
      <c r="F61" t="s">
        <v>240</v>
      </c>
      <c r="G61"/>
      <c r="H61"/>
      <c r="I61"/>
      <c r="J61"/>
      <c r="K61" t="str">
        <f t="shared" si="2"/>
        <v>XINDOLP</v>
      </c>
      <c r="L61" t="str">
        <f t="shared" si="3"/>
        <v>Industry Oil LPG</v>
      </c>
      <c r="M61" t="s">
        <v>240</v>
      </c>
      <c r="N61" t="s">
        <v>429</v>
      </c>
      <c r="O61" t="s">
        <v>358</v>
      </c>
      <c r="P61" t="s">
        <v>608</v>
      </c>
      <c r="Q61"/>
      <c r="R61"/>
      <c r="S61" t="str">
        <f t="shared" si="4"/>
        <v>XINDOLP</v>
      </c>
      <c r="T61" t="str">
        <f t="shared" si="5"/>
        <v>OLP</v>
      </c>
      <c r="U61" t="str">
        <f t="shared" si="5"/>
        <v>INDOLP</v>
      </c>
      <c r="V61">
        <v>1</v>
      </c>
      <c r="W61">
        <v>60</v>
      </c>
      <c r="X61"/>
      <c r="Y61">
        <v>1</v>
      </c>
      <c r="Z61">
        <v>1</v>
      </c>
      <c r="AE61"/>
    </row>
    <row r="62" spans="2:31" ht="15" x14ac:dyDescent="0.25">
      <c r="B62" t="s">
        <v>9</v>
      </c>
      <c r="C62" t="s">
        <v>215</v>
      </c>
      <c r="D62" t="str">
        <f t="shared" si="1"/>
        <v>RESOLP</v>
      </c>
      <c r="E62" t="str">
        <f t="shared" si="0"/>
        <v>Residential Oil LPG</v>
      </c>
      <c r="F62" t="s">
        <v>240</v>
      </c>
      <c r="G62"/>
      <c r="H62"/>
      <c r="I62"/>
      <c r="J62"/>
      <c r="K62" t="str">
        <f t="shared" si="2"/>
        <v>XRESOLP</v>
      </c>
      <c r="L62" t="str">
        <f t="shared" si="3"/>
        <v>Residential Oil LPG</v>
      </c>
      <c r="M62" t="s">
        <v>240</v>
      </c>
      <c r="N62" t="s">
        <v>429</v>
      </c>
      <c r="O62" t="s">
        <v>358</v>
      </c>
      <c r="P62" t="s">
        <v>608</v>
      </c>
      <c r="Q62"/>
      <c r="R62"/>
      <c r="S62" t="str">
        <f t="shared" si="4"/>
        <v>XRESOLP</v>
      </c>
      <c r="T62" t="str">
        <f t="shared" si="5"/>
        <v>OLP</v>
      </c>
      <c r="U62" t="str">
        <f t="shared" si="5"/>
        <v>RESOLP</v>
      </c>
      <c r="V62">
        <v>1</v>
      </c>
      <c r="W62">
        <v>60</v>
      </c>
      <c r="X62"/>
      <c r="Y62">
        <v>1</v>
      </c>
      <c r="Z62">
        <v>1</v>
      </c>
      <c r="AE62"/>
    </row>
    <row r="63" spans="2:31" ht="15" x14ac:dyDescent="0.25">
      <c r="B63" t="s">
        <v>7</v>
      </c>
      <c r="C63" t="s">
        <v>223</v>
      </c>
      <c r="D63" t="str">
        <f t="shared" si="1"/>
        <v>INDWAS</v>
      </c>
      <c r="E63" t="str">
        <f t="shared" si="0"/>
        <v>Industry Waste</v>
      </c>
      <c r="F63" t="s">
        <v>240</v>
      </c>
      <c r="G63"/>
      <c r="H63"/>
      <c r="I63"/>
      <c r="J63"/>
      <c r="K63" t="str">
        <f t="shared" si="2"/>
        <v>XINDWAS</v>
      </c>
      <c r="L63" t="str">
        <f t="shared" si="3"/>
        <v>Industry Waste</v>
      </c>
      <c r="M63" t="s">
        <v>240</v>
      </c>
      <c r="N63" t="s">
        <v>429</v>
      </c>
      <c r="O63" t="s">
        <v>358</v>
      </c>
      <c r="P63" t="s">
        <v>608</v>
      </c>
      <c r="Q63"/>
      <c r="R63"/>
      <c r="S63" t="str">
        <f t="shared" si="4"/>
        <v>XINDWAS</v>
      </c>
      <c r="T63" t="str">
        <f t="shared" si="5"/>
        <v>WAS</v>
      </c>
      <c r="U63" t="str">
        <f t="shared" si="5"/>
        <v>INDWAS</v>
      </c>
      <c r="V63">
        <v>1</v>
      </c>
      <c r="W63">
        <v>60</v>
      </c>
      <c r="X63"/>
      <c r="Y63">
        <v>1</v>
      </c>
      <c r="Z63">
        <v>1</v>
      </c>
    </row>
    <row r="64" spans="2:31" ht="15" x14ac:dyDescent="0.25">
      <c r="B64" t="s">
        <v>10</v>
      </c>
      <c r="C64" t="s">
        <v>219</v>
      </c>
      <c r="D64" t="str">
        <f t="shared" ref="D64:D69" si="54">B64&amp;C64</f>
        <v>PWRSOL</v>
      </c>
      <c r="E64" t="str">
        <f t="shared" ref="E64:E69" si="55">INDEX(SectorNamesLong,MATCH(B64,SectorNamesShort,0))&amp;" "&amp;INDEX(FuelNamesLong,MATCH(C64,FuelNamesShort,0))</f>
        <v>Power Solar</v>
      </c>
      <c r="F64" t="s">
        <v>240</v>
      </c>
      <c r="G64"/>
      <c r="H64"/>
      <c r="I64"/>
      <c r="J64"/>
      <c r="K64" t="str">
        <f t="shared" ref="K64:K69" si="56">"X"&amp;D64</f>
        <v>XPWRSOL</v>
      </c>
      <c r="L64" t="str">
        <f t="shared" ref="L64:L69" si="57">E64</f>
        <v>Power Solar</v>
      </c>
      <c r="M64" t="s">
        <v>240</v>
      </c>
      <c r="N64" t="s">
        <v>429</v>
      </c>
      <c r="O64" t="s">
        <v>358</v>
      </c>
      <c r="P64" t="s">
        <v>608</v>
      </c>
      <c r="Q64"/>
      <c r="R64"/>
      <c r="S64" t="str">
        <f t="shared" ref="S64:S69" si="58">K64</f>
        <v>XPWRSOL</v>
      </c>
      <c r="T64" t="str">
        <f t="shared" ref="T64:T69" si="59">C64</f>
        <v>SOL</v>
      </c>
      <c r="U64" t="str">
        <f t="shared" ref="U64:U69" si="60">D64</f>
        <v>PWRSOL</v>
      </c>
      <c r="V64">
        <v>1</v>
      </c>
      <c r="W64">
        <v>60</v>
      </c>
      <c r="X64"/>
      <c r="Y64">
        <v>1</v>
      </c>
      <c r="Z64">
        <v>1</v>
      </c>
    </row>
    <row r="65" spans="2:26" ht="15" x14ac:dyDescent="0.25">
      <c r="B65" t="s">
        <v>10</v>
      </c>
      <c r="C65" t="s">
        <v>221</v>
      </c>
      <c r="D65" t="str">
        <f t="shared" si="54"/>
        <v>PWRWND</v>
      </c>
      <c r="E65" t="str">
        <f t="shared" si="55"/>
        <v>Power Wind</v>
      </c>
      <c r="F65" t="s">
        <v>240</v>
      </c>
      <c r="G65"/>
      <c r="H65"/>
      <c r="I65"/>
      <c r="J65"/>
      <c r="K65" t="str">
        <f t="shared" si="56"/>
        <v>XPWRWND</v>
      </c>
      <c r="L65" t="str">
        <f t="shared" si="57"/>
        <v>Power Wind</v>
      </c>
      <c r="M65" t="s">
        <v>240</v>
      </c>
      <c r="N65" t="s">
        <v>429</v>
      </c>
      <c r="O65" t="s">
        <v>358</v>
      </c>
      <c r="P65" t="s">
        <v>608</v>
      </c>
      <c r="Q65"/>
      <c r="R65"/>
      <c r="S65" t="str">
        <f t="shared" si="58"/>
        <v>XPWRWND</v>
      </c>
      <c r="T65" t="str">
        <f t="shared" si="59"/>
        <v>WND</v>
      </c>
      <c r="U65" t="str">
        <f t="shared" si="60"/>
        <v>PWRWND</v>
      </c>
      <c r="V65">
        <v>1</v>
      </c>
      <c r="W65">
        <v>60</v>
      </c>
      <c r="X65"/>
      <c r="Y65">
        <v>1</v>
      </c>
      <c r="Z65">
        <v>1</v>
      </c>
    </row>
    <row r="66" spans="2:26" ht="15" x14ac:dyDescent="0.25">
      <c r="B66" t="s">
        <v>10</v>
      </c>
      <c r="C66" t="s">
        <v>197</v>
      </c>
      <c r="D66" t="str">
        <f t="shared" si="54"/>
        <v>PWRHYD</v>
      </c>
      <c r="E66" t="str">
        <f t="shared" si="55"/>
        <v>Power Hydro</v>
      </c>
      <c r="F66" t="s">
        <v>240</v>
      </c>
      <c r="G66"/>
      <c r="H66"/>
      <c r="I66"/>
      <c r="J66"/>
      <c r="K66" t="str">
        <f t="shared" si="56"/>
        <v>XPWRHYD</v>
      </c>
      <c r="L66" t="str">
        <f t="shared" si="57"/>
        <v>Power Hydro</v>
      </c>
      <c r="M66" t="s">
        <v>240</v>
      </c>
      <c r="N66" t="s">
        <v>429</v>
      </c>
      <c r="O66" t="s">
        <v>358</v>
      </c>
      <c r="P66" t="s">
        <v>608</v>
      </c>
      <c r="Q66"/>
      <c r="R66"/>
      <c r="S66" t="str">
        <f t="shared" si="58"/>
        <v>XPWRHYD</v>
      </c>
      <c r="T66" t="str">
        <f t="shared" si="59"/>
        <v>HYD</v>
      </c>
      <c r="U66" t="str">
        <f t="shared" si="60"/>
        <v>PWRHYD</v>
      </c>
      <c r="V66">
        <v>1</v>
      </c>
      <c r="W66">
        <v>60</v>
      </c>
      <c r="X66"/>
      <c r="Y66">
        <v>1</v>
      </c>
      <c r="Z66">
        <v>1</v>
      </c>
    </row>
    <row r="67" spans="2:26" ht="15" x14ac:dyDescent="0.25">
      <c r="B67" t="s">
        <v>10</v>
      </c>
      <c r="C67" t="s">
        <v>153</v>
      </c>
      <c r="D67" t="str">
        <f t="shared" si="54"/>
        <v>PWRBIO</v>
      </c>
      <c r="E67" t="str">
        <f t="shared" si="55"/>
        <v>Power Biomass Other</v>
      </c>
      <c r="F67" t="s">
        <v>240</v>
      </c>
      <c r="G67"/>
      <c r="H67"/>
      <c r="I67"/>
      <c r="J67"/>
      <c r="K67" t="str">
        <f t="shared" si="56"/>
        <v>XPWRBIO</v>
      </c>
      <c r="L67" t="str">
        <f t="shared" si="57"/>
        <v>Power Biomass Other</v>
      </c>
      <c r="M67" t="s">
        <v>240</v>
      </c>
      <c r="N67" t="s">
        <v>429</v>
      </c>
      <c r="O67" t="s">
        <v>358</v>
      </c>
      <c r="P67" t="s">
        <v>608</v>
      </c>
      <c r="Q67"/>
      <c r="R67"/>
      <c r="S67" t="str">
        <f t="shared" si="58"/>
        <v>XPWRBIO</v>
      </c>
      <c r="T67" t="str">
        <f t="shared" si="59"/>
        <v>BIO</v>
      </c>
      <c r="U67" t="str">
        <f t="shared" si="60"/>
        <v>PWRBIO</v>
      </c>
      <c r="V67">
        <v>1</v>
      </c>
      <c r="W67">
        <v>60</v>
      </c>
      <c r="X67"/>
      <c r="Y67">
        <v>1</v>
      </c>
      <c r="Z67">
        <v>1</v>
      </c>
    </row>
    <row r="68" spans="2:26" ht="15" x14ac:dyDescent="0.25">
      <c r="B68" t="s">
        <v>10</v>
      </c>
      <c r="C68" t="s">
        <v>201</v>
      </c>
      <c r="D68" t="str">
        <f t="shared" si="54"/>
        <v>PWRNUC</v>
      </c>
      <c r="E68" t="str">
        <f t="shared" si="55"/>
        <v>Power Nuclear</v>
      </c>
      <c r="F68" t="s">
        <v>240</v>
      </c>
      <c r="G68"/>
      <c r="H68"/>
      <c r="I68"/>
      <c r="J68"/>
      <c r="K68" t="str">
        <f t="shared" si="56"/>
        <v>XPWRNUC</v>
      </c>
      <c r="L68" t="str">
        <f t="shared" si="57"/>
        <v>Power Nuclear</v>
      </c>
      <c r="M68" t="s">
        <v>240</v>
      </c>
      <c r="N68" t="s">
        <v>429</v>
      </c>
      <c r="O68" t="s">
        <v>358</v>
      </c>
      <c r="P68" t="s">
        <v>608</v>
      </c>
      <c r="Q68"/>
      <c r="R68"/>
      <c r="S68" t="str">
        <f t="shared" si="58"/>
        <v>XPWRNUC</v>
      </c>
      <c r="T68" t="str">
        <f t="shared" si="59"/>
        <v>NUC</v>
      </c>
      <c r="U68" t="str">
        <f t="shared" si="60"/>
        <v>PWRNUC</v>
      </c>
      <c r="V68">
        <v>1</v>
      </c>
      <c r="W68">
        <v>60</v>
      </c>
      <c r="X68"/>
      <c r="Y68">
        <v>1</v>
      </c>
      <c r="Z68">
        <v>1</v>
      </c>
    </row>
    <row r="69" spans="2:26" ht="15" x14ac:dyDescent="0.25">
      <c r="B69" t="s">
        <v>10</v>
      </c>
      <c r="C69" t="s">
        <v>163</v>
      </c>
      <c r="D69" t="str">
        <f t="shared" si="54"/>
        <v>PWRCLE</v>
      </c>
      <c r="E69" t="str">
        <f t="shared" si="55"/>
        <v>Power Coal low grade</v>
      </c>
      <c r="F69" t="s">
        <v>240</v>
      </c>
      <c r="G69"/>
      <c r="H69"/>
      <c r="I69"/>
      <c r="J69"/>
      <c r="K69" t="str">
        <f t="shared" si="56"/>
        <v>XPWRCLE</v>
      </c>
      <c r="L69" t="str">
        <f t="shared" si="57"/>
        <v>Power Coal low grade</v>
      </c>
      <c r="M69" t="s">
        <v>240</v>
      </c>
      <c r="N69" t="s">
        <v>429</v>
      </c>
      <c r="O69" t="s">
        <v>358</v>
      </c>
      <c r="P69" t="s">
        <v>608</v>
      </c>
      <c r="Q69"/>
      <c r="R69"/>
      <c r="S69" t="str">
        <f t="shared" si="58"/>
        <v>XPWRCLE</v>
      </c>
      <c r="T69" t="str">
        <f t="shared" si="59"/>
        <v>CLE</v>
      </c>
      <c r="U69" t="str">
        <f t="shared" si="60"/>
        <v>PWRCLE</v>
      </c>
      <c r="V69">
        <v>1</v>
      </c>
      <c r="W69">
        <v>60</v>
      </c>
      <c r="X69"/>
      <c r="Y69">
        <v>1</v>
      </c>
      <c r="Z69">
        <v>1</v>
      </c>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sheetData>
  <autoFilter ref="B8:AA63"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610</v>
      </c>
      <c r="W1" s="294">
        <v>40909</v>
      </c>
      <c r="AS1" t="s">
        <v>611</v>
      </c>
      <c r="AU1" t="s">
        <v>612</v>
      </c>
      <c r="AV1" t="s">
        <v>613</v>
      </c>
    </row>
    <row r="2" spans="4:49" ht="18" thickBot="1" x14ac:dyDescent="0.35">
      <c r="D2" s="295" t="s">
        <v>989</v>
      </c>
      <c r="E2" s="295"/>
      <c r="F2" s="295"/>
      <c r="G2" s="295"/>
      <c r="H2" s="295"/>
      <c r="U2" t="s">
        <v>614</v>
      </c>
      <c r="V2" t="s">
        <v>245</v>
      </c>
      <c r="W2" s="82">
        <f>SUMIF($C$27:$C$110,$W$1,$J$27:$J$110)</f>
        <v>8.2121999999999993</v>
      </c>
      <c r="AS2" t="s">
        <v>615</v>
      </c>
      <c r="AT2" t="s">
        <v>616</v>
      </c>
      <c r="AU2">
        <v>661</v>
      </c>
    </row>
    <row r="3" spans="4:49" ht="15.75" thickTop="1" x14ac:dyDescent="0.25">
      <c r="D3" s="296" t="s">
        <v>617</v>
      </c>
      <c r="V3" t="s">
        <v>618</v>
      </c>
      <c r="W3">
        <f>SUMIF($C$27:$C$110,$W$1,$K$27:$K$110)</f>
        <v>107.96</v>
      </c>
      <c r="AS3" t="s">
        <v>619</v>
      </c>
      <c r="AT3" t="s">
        <v>254</v>
      </c>
      <c r="AU3">
        <f>AU2*W7+W8*1.3</f>
        <v>140.47035923202716</v>
      </c>
      <c r="AV3">
        <v>152.27714285714299</v>
      </c>
      <c r="AW3">
        <f>AV3/AU3</f>
        <v>1.0840517792484146</v>
      </c>
    </row>
    <row r="4" spans="4:49" x14ac:dyDescent="0.25">
      <c r="V4" t="s">
        <v>616</v>
      </c>
      <c r="W4">
        <f>W3*W2</f>
        <v>886.58911199999989</v>
      </c>
      <c r="AS4" t="s">
        <v>477</v>
      </c>
      <c r="AT4" t="s">
        <v>254</v>
      </c>
      <c r="AU4">
        <f>AU2*X7+X8*1.3</f>
        <v>130.60568568627889</v>
      </c>
      <c r="AV4">
        <v>144.90263157894699</v>
      </c>
      <c r="AW4">
        <f>AV4/AU4</f>
        <v>1.1094664892844714</v>
      </c>
    </row>
    <row r="5" spans="4:49" ht="18" thickBot="1" x14ac:dyDescent="0.35">
      <c r="U5" s="296" t="s">
        <v>620</v>
      </c>
      <c r="AB5" s="295" t="s">
        <v>621</v>
      </c>
      <c r="AC5" s="295"/>
      <c r="AD5" s="295"/>
      <c r="AF5" s="295" t="s">
        <v>622</v>
      </c>
      <c r="AG5" s="295"/>
      <c r="AH5" s="295"/>
      <c r="AI5" s="295"/>
      <c r="AJ5" s="295"/>
      <c r="AN5" t="s">
        <v>623</v>
      </c>
      <c r="AO5" t="s">
        <v>624</v>
      </c>
    </row>
    <row r="6" spans="4:49" ht="16.5" thickTop="1" thickBot="1" x14ac:dyDescent="0.3">
      <c r="D6" s="297" t="s">
        <v>474</v>
      </c>
      <c r="H6" s="297" t="s">
        <v>477</v>
      </c>
      <c r="L6" s="297" t="s">
        <v>625</v>
      </c>
      <c r="P6" s="297" t="s">
        <v>480</v>
      </c>
      <c r="V6" t="s">
        <v>626</v>
      </c>
      <c r="W6" t="s">
        <v>474</v>
      </c>
      <c r="X6" t="s">
        <v>477</v>
      </c>
      <c r="Y6" t="s">
        <v>625</v>
      </c>
      <c r="Z6" t="s">
        <v>480</v>
      </c>
      <c r="AB6" t="s">
        <v>627</v>
      </c>
      <c r="AC6">
        <v>45</v>
      </c>
      <c r="AD6" t="s">
        <v>628</v>
      </c>
      <c r="AM6" t="s">
        <v>629</v>
      </c>
      <c r="AN6" t="s">
        <v>630</v>
      </c>
      <c r="AO6" t="s">
        <v>631</v>
      </c>
      <c r="AP6" t="s">
        <v>632</v>
      </c>
    </row>
    <row r="7" spans="4:49" x14ac:dyDescent="0.25">
      <c r="D7" t="s">
        <v>633</v>
      </c>
      <c r="E7">
        <f t="array" ref="E7:F9">LINEST(M75:M110,$L$75:$L$110,TRUE,TRUE)</f>
        <v>0.69131118046539197</v>
      </c>
      <c r="F7">
        <v>18.039952527622177</v>
      </c>
      <c r="H7" t="s">
        <v>633</v>
      </c>
      <c r="I7">
        <f t="array" ref="I7:J9">LINEST(N75:N110,$L$75:$L$110,TRUE,TRUE)</f>
        <v>0.76576896825557872</v>
      </c>
      <c r="J7">
        <v>-6.588942732473015</v>
      </c>
      <c r="L7" t="s">
        <v>633</v>
      </c>
      <c r="M7">
        <f t="array" ref="M7:N9">LINEST(H27:H110,$L$27:$L$110,TRUE,TRUE)</f>
        <v>0.71824017800423035</v>
      </c>
      <c r="N7">
        <v>47.381796282440177</v>
      </c>
      <c r="P7" t="s">
        <v>633</v>
      </c>
      <c r="Q7">
        <f t="array" ref="Q7:R9">LINEST(I101:I110,$L$101:$L$110,TRUE,TRUE)</f>
        <v>0.77267955265970056</v>
      </c>
      <c r="R7">
        <v>814.37721538925723</v>
      </c>
      <c r="U7" t="s">
        <v>634</v>
      </c>
      <c r="V7" s="256">
        <f>1/AC7*1/AC14*1000</f>
        <v>0.16533892382948986</v>
      </c>
      <c r="W7" s="298">
        <f>1/AC8/100*E7*1000</f>
        <v>0.20213777206590408</v>
      </c>
      <c r="X7" s="298">
        <f>1/AC9/100*I7*1000</f>
        <v>0.20098923051327525</v>
      </c>
      <c r="Y7" s="298">
        <f>1/AC10/100*M7*1000</f>
        <v>0.19411896702817036</v>
      </c>
      <c r="Z7" s="298">
        <f>1/AC11/100*Q7*1000</f>
        <v>0.16797381579558707</v>
      </c>
      <c r="AB7" t="s">
        <v>627</v>
      </c>
      <c r="AC7" s="57">
        <f>AC6/AC15*1000</f>
        <v>38.03888419273035</v>
      </c>
      <c r="AD7" t="s">
        <v>630</v>
      </c>
      <c r="AF7" t="s">
        <v>635</v>
      </c>
      <c r="AI7">
        <v>200</v>
      </c>
      <c r="AJ7" t="s">
        <v>254</v>
      </c>
      <c r="AL7" t="s">
        <v>627</v>
      </c>
      <c r="AM7">
        <v>1</v>
      </c>
      <c r="AN7">
        <v>38.5</v>
      </c>
      <c r="AP7">
        <v>6.15</v>
      </c>
    </row>
    <row r="8" spans="4:49" x14ac:dyDescent="0.25">
      <c r="D8" t="s">
        <v>636</v>
      </c>
      <c r="E8">
        <v>2.1689295799937405E-2</v>
      </c>
      <c r="F8">
        <v>16.805407207022476</v>
      </c>
      <c r="H8" t="s">
        <v>636</v>
      </c>
      <c r="I8">
        <v>1.88945947014778E-2</v>
      </c>
      <c r="J8">
        <v>14.640003110239293</v>
      </c>
      <c r="L8" t="s">
        <v>636</v>
      </c>
      <c r="M8">
        <v>2.0929526528181964E-2</v>
      </c>
      <c r="N8">
        <v>14.002957365912605</v>
      </c>
      <c r="P8" t="s">
        <v>636</v>
      </c>
      <c r="Q8">
        <v>0.17222197251198301</v>
      </c>
      <c r="R8">
        <v>158.56449471815961</v>
      </c>
      <c r="U8" t="s">
        <v>637</v>
      </c>
      <c r="V8">
        <v>0</v>
      </c>
      <c r="W8" s="256">
        <f>1/AC8/100*1000*F7</f>
        <v>5.274839920357361</v>
      </c>
      <c r="X8" s="256">
        <f>1/AC9/100*1000*J7</f>
        <v>-1.7293812946123399</v>
      </c>
      <c r="Y8" s="256">
        <f>1/AC10/100*1000*N7</f>
        <v>12.805890887145994</v>
      </c>
      <c r="Z8" s="256">
        <f>1/AC11/100*1000*R7</f>
        <v>177.03852508462114</v>
      </c>
      <c r="AB8" t="s">
        <v>474</v>
      </c>
      <c r="AC8">
        <v>34.200000000000003</v>
      </c>
      <c r="AD8" t="s">
        <v>630</v>
      </c>
      <c r="AI8" s="57">
        <f>AI7/AC9*100</f>
        <v>524.93438320209975</v>
      </c>
      <c r="AJ8" t="s">
        <v>638</v>
      </c>
      <c r="AL8" t="s">
        <v>474</v>
      </c>
      <c r="AM8">
        <v>1</v>
      </c>
      <c r="AN8">
        <v>32.1</v>
      </c>
      <c r="AO8">
        <v>0.745</v>
      </c>
    </row>
    <row r="9" spans="4:49" x14ac:dyDescent="0.25">
      <c r="D9" t="s">
        <v>639</v>
      </c>
      <c r="E9">
        <v>0.96761634565975629</v>
      </c>
      <c r="F9">
        <v>19.266650663456474</v>
      </c>
      <c r="H9" t="s">
        <v>639</v>
      </c>
      <c r="I9">
        <v>0.97972033969162609</v>
      </c>
      <c r="J9">
        <v>16.784111337631305</v>
      </c>
      <c r="L9" t="s">
        <v>639</v>
      </c>
      <c r="M9">
        <v>0.93490316152328135</v>
      </c>
      <c r="N9">
        <v>36.92368042685311</v>
      </c>
      <c r="P9" t="s">
        <v>639</v>
      </c>
      <c r="Q9">
        <v>0.71559577988177048</v>
      </c>
      <c r="R9">
        <v>28.81393096261419</v>
      </c>
      <c r="U9" t="s">
        <v>613</v>
      </c>
      <c r="V9" s="82">
        <f>W4*V7</f>
        <v>146.58768965702305</v>
      </c>
      <c r="W9" s="57">
        <f>$W$4*W7+W8</f>
        <v>184.48798775792562</v>
      </c>
      <c r="X9" s="57">
        <f>$W$4*X7+X8</f>
        <v>176.46548210771562</v>
      </c>
      <c r="Y9" s="57">
        <f>$W$4*Y7+Y8</f>
        <v>184.90965348700882</v>
      </c>
      <c r="Z9" s="57">
        <f>$W$4*Z7+Z8</f>
        <v>325.96228127008226</v>
      </c>
      <c r="AB9" t="s">
        <v>477</v>
      </c>
      <c r="AC9">
        <v>38.1</v>
      </c>
      <c r="AD9" t="s">
        <v>630</v>
      </c>
      <c r="AL9" t="s">
        <v>477</v>
      </c>
      <c r="AM9">
        <v>1</v>
      </c>
      <c r="AN9">
        <v>35.799999999999997</v>
      </c>
      <c r="AO9">
        <v>0.83699999999999997</v>
      </c>
    </row>
    <row r="10" spans="4:49" x14ac:dyDescent="0.25">
      <c r="U10" t="s">
        <v>640</v>
      </c>
      <c r="W10" s="82">
        <f>W9*100*AC8/1000</f>
        <v>630.94891813210575</v>
      </c>
      <c r="X10" s="82">
        <f>X9*100*AC9/1000</f>
        <v>672.33348683039662</v>
      </c>
      <c r="Y10" s="82">
        <f>Y9*100*AC10/1000</f>
        <v>684.16571790193268</v>
      </c>
      <c r="Z10" s="82">
        <f>Z9*100*AC11/1000</f>
        <v>1499.4264938423782</v>
      </c>
      <c r="AB10" t="s">
        <v>625</v>
      </c>
      <c r="AC10">
        <v>37</v>
      </c>
      <c r="AD10" t="s">
        <v>630</v>
      </c>
    </row>
    <row r="11" spans="4:49" x14ac:dyDescent="0.25">
      <c r="D11" s="296" t="s">
        <v>641</v>
      </c>
      <c r="U11" t="s">
        <v>642</v>
      </c>
      <c r="W11" s="82">
        <f>SUMIF($C$27:$C$110,$W$1,$M$27:$M$110)</f>
        <v>594.54999999999995</v>
      </c>
      <c r="X11" s="82">
        <f>SUMIF($C$27:$C$110,$W$1,$N$27:$N$110)</f>
        <v>678.07899999999995</v>
      </c>
      <c r="Y11" s="82">
        <f>SUMIF($C$27:$C$110,$W$1,$H$27:$H$110)</f>
        <v>669.12800000000004</v>
      </c>
      <c r="Z11" s="82">
        <f>SUMIF($C$27:$C$110,$W$1,$I$27:$I$110)</f>
        <v>0</v>
      </c>
      <c r="AB11" t="s">
        <v>480</v>
      </c>
      <c r="AC11">
        <v>46</v>
      </c>
      <c r="AD11" t="s">
        <v>643</v>
      </c>
      <c r="AF11" s="299" t="s">
        <v>644</v>
      </c>
    </row>
    <row r="12" spans="4:49" x14ac:dyDescent="0.25">
      <c r="D12" t="s">
        <v>633</v>
      </c>
      <c r="E12">
        <f t="array" ref="E12:F14">LINEST($Z$75:$Z$110,$L$75:$L$110,1,1)</f>
        <v>0.93691765795315396</v>
      </c>
      <c r="F12">
        <v>265.34488871773931</v>
      </c>
      <c r="H12" t="s">
        <v>633</v>
      </c>
      <c r="I12">
        <f t="array" ref="I12:J14">LINEST($AA$75:$AA$110,$L$75:$L$110,1,1)</f>
        <v>0.96018863587643721</v>
      </c>
      <c r="J12">
        <v>173.46397553035843</v>
      </c>
      <c r="L12" t="s">
        <v>633</v>
      </c>
      <c r="M12">
        <f t="array" ref="M12:N14">LINEST($AB$75:$AB$110,$L$75:$L$110,1,1)</f>
        <v>0.80597468921050219</v>
      </c>
      <c r="N12">
        <v>51.88943126981917</v>
      </c>
      <c r="P12" t="s">
        <v>633</v>
      </c>
      <c r="Q12">
        <f t="array" ref="Q12:R14">LINEST($AC$101:$AC$110,$L$101:$L$110,1,1)</f>
        <v>1.0131044969917056</v>
      </c>
      <c r="R12">
        <v>1298.0776327747087</v>
      </c>
      <c r="V12">
        <v>661.9</v>
      </c>
      <c r="W12">
        <f>W7*V12+W8</f>
        <v>139.06983125077926</v>
      </c>
      <c r="X12">
        <f>X7*V12+X8</f>
        <v>131.30539038212453</v>
      </c>
      <c r="AF12" t="s">
        <v>645</v>
      </c>
      <c r="AJ12">
        <v>247</v>
      </c>
      <c r="AK12" t="s">
        <v>646</v>
      </c>
    </row>
    <row r="13" spans="4:49" x14ac:dyDescent="0.25">
      <c r="D13" t="s">
        <v>636</v>
      </c>
      <c r="E13">
        <v>3.5673569679450304E-2</v>
      </c>
      <c r="F13">
        <v>27.640771305861513</v>
      </c>
      <c r="H13" t="s">
        <v>636</v>
      </c>
      <c r="I13">
        <v>3.108958023439274E-2</v>
      </c>
      <c r="J13">
        <v>24.088981982341494</v>
      </c>
      <c r="L13" t="s">
        <v>636</v>
      </c>
      <c r="M13">
        <v>2.1167655434585625E-2</v>
      </c>
      <c r="N13">
        <v>16.401227244878111</v>
      </c>
      <c r="P13" t="s">
        <v>636</v>
      </c>
      <c r="Q13">
        <v>0.22541092540186744</v>
      </c>
      <c r="R13">
        <v>207.53547859761611</v>
      </c>
      <c r="U13" s="296" t="s">
        <v>647</v>
      </c>
      <c r="AB13" s="296" t="s">
        <v>648</v>
      </c>
      <c r="AF13" t="s">
        <v>649</v>
      </c>
      <c r="AJ13">
        <f>124+107</f>
        <v>231</v>
      </c>
      <c r="AK13" t="s">
        <v>650</v>
      </c>
    </row>
    <row r="14" spans="4:49" x14ac:dyDescent="0.25">
      <c r="D14" t="s">
        <v>639</v>
      </c>
      <c r="E14">
        <v>0.95302430812025962</v>
      </c>
      <c r="F14">
        <v>31.68891287537447</v>
      </c>
      <c r="H14" t="s">
        <v>639</v>
      </c>
      <c r="I14">
        <v>0.96558207335934509</v>
      </c>
      <c r="J14">
        <v>27.616944652083852</v>
      </c>
      <c r="L14" t="s">
        <v>639</v>
      </c>
      <c r="M14">
        <v>0.977085303672103</v>
      </c>
      <c r="N14">
        <v>18.803276343520299</v>
      </c>
      <c r="P14" t="s">
        <v>639</v>
      </c>
      <c r="Q14">
        <v>0.71631542231007461</v>
      </c>
      <c r="R14">
        <v>37.712811832395388</v>
      </c>
      <c r="W14" t="s">
        <v>474</v>
      </c>
      <c r="X14" t="s">
        <v>477</v>
      </c>
      <c r="Y14" t="s">
        <v>625</v>
      </c>
      <c r="Z14" t="s">
        <v>480</v>
      </c>
      <c r="AB14" t="s">
        <v>651</v>
      </c>
      <c r="AC14">
        <v>159</v>
      </c>
      <c r="AD14" t="s">
        <v>652</v>
      </c>
      <c r="AF14" t="s">
        <v>653</v>
      </c>
      <c r="AJ14">
        <f>350+279</f>
        <v>629</v>
      </c>
      <c r="AK14" t="s">
        <v>654</v>
      </c>
    </row>
    <row r="15" spans="4:49" x14ac:dyDescent="0.25">
      <c r="U15" t="s">
        <v>634</v>
      </c>
      <c r="W15" s="256">
        <f>E17</f>
        <v>1.3565756517544196</v>
      </c>
      <c r="X15" s="256">
        <f>I17</f>
        <v>1.2570018926592408</v>
      </c>
      <c r="Y15" s="256">
        <f>M17</f>
        <v>1.0689483180091128</v>
      </c>
      <c r="Z15" s="256">
        <f>Q17</f>
        <v>1.3104939955713899</v>
      </c>
      <c r="AB15" t="s">
        <v>655</v>
      </c>
      <c r="AC15">
        <v>1183</v>
      </c>
      <c r="AD15" t="s">
        <v>656</v>
      </c>
      <c r="AF15" t="s">
        <v>389</v>
      </c>
      <c r="AJ15" s="256">
        <f>AJ13/AJ14</f>
        <v>0.36724960254372019</v>
      </c>
      <c r="AK15" t="s">
        <v>657</v>
      </c>
      <c r="AL15" s="300">
        <f>(AJ14*3.6)/(AJ13/AC9)/1000</f>
        <v>0.37347896103896105</v>
      </c>
    </row>
    <row r="16" spans="4:49" x14ac:dyDescent="0.25">
      <c r="D16" s="296" t="s">
        <v>658</v>
      </c>
      <c r="U16" t="s">
        <v>637</v>
      </c>
      <c r="W16" s="256">
        <f>1/AC8/100*1000*F17</f>
        <v>70.230748454632177</v>
      </c>
      <c r="X16" s="256">
        <f>1/AC9/100*1000*J17</f>
        <v>47.226464833505872</v>
      </c>
      <c r="Y16" s="256">
        <f>1/AC10/100*1000*N17</f>
        <v>14.749344752353803</v>
      </c>
      <c r="Z16" s="256">
        <f>1/AC11/100*1000*R17</f>
        <v>50.285290465410377</v>
      </c>
      <c r="AF16" t="s">
        <v>659</v>
      </c>
      <c r="AJ16" s="82">
        <f>AJ12/AJ15</f>
        <v>672.5670995670996</v>
      </c>
      <c r="AK16" t="s">
        <v>638</v>
      </c>
    </row>
    <row r="17" spans="3:37" x14ac:dyDescent="0.25">
      <c r="D17" t="s">
        <v>633</v>
      </c>
      <c r="E17">
        <f t="array" ref="E17:F19">LINEST($Z$75:$Z$110,$M$75:$M$110,1,1)</f>
        <v>1.3565756517544196</v>
      </c>
      <c r="F17">
        <v>240.18915971484205</v>
      </c>
      <c r="H17" t="s">
        <v>633</v>
      </c>
      <c r="I17">
        <f t="array" ref="I17:J19">LINEST($AA$75:$AA$110,$N$75:$N$110,1,1)</f>
        <v>1.2570018926592408</v>
      </c>
      <c r="J17">
        <v>179.93283101565737</v>
      </c>
      <c r="L17" t="s">
        <v>633</v>
      </c>
      <c r="M17">
        <f t="array" ref="M17:N19">LINEST($AB$75:$AB$110,$H$75:$H$110,1,1)</f>
        <v>1.0689483180091128</v>
      </c>
      <c r="N17">
        <v>54.572575583709067</v>
      </c>
      <c r="P17" t="s">
        <v>633</v>
      </c>
      <c r="Q17">
        <f t="array" ref="Q17:R19">LINEST($AC$101:$AC$110,$I$101:$I$110,1,1)</f>
        <v>1.3104939955713899</v>
      </c>
      <c r="R17">
        <v>231.31233614088774</v>
      </c>
      <c r="U17" t="s">
        <v>613</v>
      </c>
      <c r="W17" s="82">
        <f>W9*W15+W16</f>
        <v>320.5026606882015</v>
      </c>
      <c r="X17" s="82">
        <f>X9*X15+X16</f>
        <v>269.0439098319298</v>
      </c>
      <c r="Y17" s="82">
        <f>Y9*Y15+Y16</f>
        <v>212.40820783093977</v>
      </c>
      <c r="Z17" s="82">
        <f>Z9*Z15+Z16</f>
        <v>477.45690285260571</v>
      </c>
      <c r="AF17" t="s">
        <v>660</v>
      </c>
      <c r="AJ17" s="82">
        <f>AVERAGE(N94:N100)</f>
        <v>647.57899999999984</v>
      </c>
      <c r="AK17" t="s">
        <v>638</v>
      </c>
    </row>
    <row r="18" spans="3:37" x14ac:dyDescent="0.25">
      <c r="D18" t="s">
        <v>636</v>
      </c>
      <c r="E18">
        <v>2.6898357481685498E-2</v>
      </c>
      <c r="F18">
        <v>14.893086073456775</v>
      </c>
      <c r="H18" t="s">
        <v>636</v>
      </c>
      <c r="I18">
        <v>2.1145683471638581E-2</v>
      </c>
      <c r="J18">
        <v>12.414574263894144</v>
      </c>
      <c r="L18" t="s">
        <v>636</v>
      </c>
      <c r="M18">
        <v>4.5274592231916537E-3</v>
      </c>
      <c r="N18">
        <v>2.6349353504746529</v>
      </c>
      <c r="P18" t="s">
        <v>636</v>
      </c>
      <c r="Q18">
        <v>1.2268570690478447E-3</v>
      </c>
      <c r="R18">
        <v>1.871413674110501</v>
      </c>
      <c r="U18" t="s">
        <v>640</v>
      </c>
      <c r="W18" s="82">
        <f>W17*100*AC8/1000</f>
        <v>1096.1190995536492</v>
      </c>
      <c r="X18" s="82">
        <f>X17*100*AC9/1000</f>
        <v>1025.0572964596524</v>
      </c>
      <c r="Y18" s="82">
        <f>Y17*100*AC10/1000</f>
        <v>785.91036897447725</v>
      </c>
      <c r="Z18" s="82">
        <f>Z17*100*AC11/1000</f>
        <v>2196.3017531219862</v>
      </c>
      <c r="AF18" t="s">
        <v>661</v>
      </c>
      <c r="AJ18" s="82">
        <f>AVERAGE(AA94:AA100)</f>
        <v>979.92485714285704</v>
      </c>
      <c r="AK18" t="s">
        <v>638</v>
      </c>
    </row>
    <row r="19" spans="3:37" x14ac:dyDescent="0.25">
      <c r="D19" t="s">
        <v>639</v>
      </c>
      <c r="E19">
        <v>0.98680906639693522</v>
      </c>
      <c r="F19">
        <v>16.79223544836556</v>
      </c>
      <c r="H19" t="s">
        <v>639</v>
      </c>
      <c r="I19">
        <v>0.99047002318918431</v>
      </c>
      <c r="J19">
        <v>14.532127488105694</v>
      </c>
      <c r="L19" t="s">
        <v>639</v>
      </c>
      <c r="M19">
        <v>0.99939044936173471</v>
      </c>
      <c r="N19">
        <v>3.0667711621812406</v>
      </c>
      <c r="P19" t="s">
        <v>639</v>
      </c>
      <c r="Q19">
        <v>0.99999298859893382</v>
      </c>
      <c r="R19">
        <v>0.18748799131796864</v>
      </c>
      <c r="U19" t="s">
        <v>642</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662</v>
      </c>
      <c r="E22" s="301"/>
      <c r="F22" s="301"/>
      <c r="G22" s="301"/>
      <c r="H22" s="301"/>
      <c r="I22" s="301"/>
      <c r="K22" s="13"/>
      <c r="L22" s="13"/>
      <c r="M22" s="13"/>
      <c r="N22" s="13"/>
      <c r="O22" s="13"/>
      <c r="P22" s="13"/>
      <c r="Q22" s="301" t="s">
        <v>663</v>
      </c>
      <c r="R22" s="301"/>
      <c r="S22" s="301"/>
      <c r="T22" s="301"/>
      <c r="U22" s="301"/>
    </row>
    <row r="23" spans="3:37" x14ac:dyDescent="0.25">
      <c r="C23" s="191"/>
      <c r="D23" s="302" t="s">
        <v>664</v>
      </c>
      <c r="E23" s="107"/>
      <c r="F23" s="107"/>
      <c r="G23" s="107"/>
      <c r="H23" s="107"/>
      <c r="I23" s="107"/>
      <c r="J23" s="107"/>
      <c r="K23" s="15"/>
      <c r="L23" s="10"/>
      <c r="M23" s="107"/>
      <c r="N23" s="15"/>
      <c r="O23" s="302"/>
      <c r="P23" s="302"/>
      <c r="Q23" s="302"/>
      <c r="R23" s="302"/>
      <c r="S23" s="303" t="s">
        <v>665</v>
      </c>
      <c r="T23" s="302"/>
      <c r="U23" s="302"/>
      <c r="V23" s="302"/>
      <c r="W23" s="302"/>
      <c r="X23" s="302"/>
      <c r="Y23" s="304"/>
      <c r="Z23" s="303"/>
      <c r="AA23" s="302"/>
      <c r="AB23" s="302"/>
      <c r="AC23" s="302"/>
      <c r="AD23" s="303" t="s">
        <v>666</v>
      </c>
      <c r="AE23" s="302"/>
      <c r="AF23" s="302"/>
      <c r="AG23" s="302"/>
      <c r="AH23" s="303"/>
      <c r="AI23" s="302"/>
      <c r="AJ23" s="302"/>
      <c r="AK23" s="15"/>
    </row>
    <row r="24" spans="3:37" x14ac:dyDescent="0.25">
      <c r="C24" s="73"/>
      <c r="D24" s="305" t="s">
        <v>667</v>
      </c>
      <c r="J24" s="306" t="s">
        <v>668</v>
      </c>
      <c r="K24" s="11"/>
      <c r="L24" s="11"/>
      <c r="M24" s="307" t="s">
        <v>669</v>
      </c>
      <c r="N24" s="11"/>
      <c r="O24" s="26" t="s">
        <v>670</v>
      </c>
      <c r="P24" s="26"/>
      <c r="Q24" s="26"/>
      <c r="R24" s="26"/>
      <c r="S24" s="307" t="s">
        <v>474</v>
      </c>
      <c r="T24" s="26"/>
      <c r="U24" s="26"/>
      <c r="V24" s="26" t="s">
        <v>477</v>
      </c>
      <c r="W24" s="26"/>
      <c r="X24" s="26" t="s">
        <v>625</v>
      </c>
      <c r="Y24" s="308"/>
      <c r="Z24" s="307"/>
      <c r="AA24" s="26"/>
      <c r="AB24" s="26"/>
      <c r="AC24" s="26"/>
      <c r="AD24" s="307" t="s">
        <v>671</v>
      </c>
      <c r="AE24" s="26"/>
      <c r="AF24" s="26"/>
      <c r="AG24" s="26"/>
      <c r="AH24" s="307" t="s">
        <v>672</v>
      </c>
      <c r="AI24" s="26"/>
      <c r="AJ24" s="26"/>
      <c r="AK24" s="11"/>
    </row>
    <row r="25" spans="3:37" ht="60" x14ac:dyDescent="0.25">
      <c r="C25" s="210"/>
      <c r="D25" s="309" t="s">
        <v>673</v>
      </c>
      <c r="E25" s="309" t="s">
        <v>674</v>
      </c>
      <c r="F25" s="309" t="s">
        <v>675</v>
      </c>
      <c r="G25" s="309" t="s">
        <v>676</v>
      </c>
      <c r="H25" s="309" t="s">
        <v>677</v>
      </c>
      <c r="I25" s="309" t="s">
        <v>480</v>
      </c>
      <c r="J25" s="309" t="s">
        <v>678</v>
      </c>
      <c r="K25" s="310" t="s">
        <v>679</v>
      </c>
      <c r="L25" s="310" t="s">
        <v>680</v>
      </c>
      <c r="M25" s="311" t="s">
        <v>681</v>
      </c>
      <c r="N25" s="310" t="s">
        <v>682</v>
      </c>
      <c r="O25" s="311" t="s">
        <v>683</v>
      </c>
      <c r="P25" s="309" t="s">
        <v>684</v>
      </c>
      <c r="Q25" s="309" t="s">
        <v>685</v>
      </c>
      <c r="R25" s="309" t="s">
        <v>686</v>
      </c>
      <c r="S25" s="311" t="s">
        <v>687</v>
      </c>
      <c r="T25" s="309" t="s">
        <v>688</v>
      </c>
      <c r="U25" s="309" t="s">
        <v>687</v>
      </c>
      <c r="V25" s="309" t="s">
        <v>689</v>
      </c>
      <c r="W25" s="309" t="s">
        <v>690</v>
      </c>
      <c r="X25" s="309" t="s">
        <v>690</v>
      </c>
      <c r="Y25" s="310" t="s">
        <v>689</v>
      </c>
      <c r="Z25" s="311" t="s">
        <v>681</v>
      </c>
      <c r="AA25" s="309" t="s">
        <v>691</v>
      </c>
      <c r="AB25" s="309" t="s">
        <v>692</v>
      </c>
      <c r="AC25" s="309" t="s">
        <v>693</v>
      </c>
      <c r="AD25" s="311" t="s">
        <v>683</v>
      </c>
      <c r="AE25" s="309" t="s">
        <v>684</v>
      </c>
      <c r="AF25" s="309" t="s">
        <v>685</v>
      </c>
      <c r="AG25" s="310" t="s">
        <v>686</v>
      </c>
      <c r="AH25" s="311" t="s">
        <v>694</v>
      </c>
      <c r="AI25" s="309" t="s">
        <v>695</v>
      </c>
      <c r="AJ25" s="309" t="s">
        <v>696</v>
      </c>
      <c r="AK25" s="310" t="s">
        <v>697</v>
      </c>
    </row>
    <row r="26" spans="3:37" x14ac:dyDescent="0.25">
      <c r="C26" s="210"/>
      <c r="D26" s="311" t="s">
        <v>638</v>
      </c>
      <c r="E26" s="309" t="s">
        <v>638</v>
      </c>
      <c r="F26" s="309" t="s">
        <v>638</v>
      </c>
      <c r="G26" s="309" t="s">
        <v>638</v>
      </c>
      <c r="H26" s="309" t="s">
        <v>638</v>
      </c>
      <c r="I26" s="309" t="s">
        <v>698</v>
      </c>
      <c r="J26" s="309" t="s">
        <v>699</v>
      </c>
      <c r="K26" s="310" t="s">
        <v>618</v>
      </c>
      <c r="L26" s="310" t="s">
        <v>616</v>
      </c>
      <c r="M26" s="311" t="s">
        <v>638</v>
      </c>
      <c r="N26" s="310" t="s">
        <v>638</v>
      </c>
      <c r="O26" s="311" t="s">
        <v>638</v>
      </c>
      <c r="P26" s="309" t="s">
        <v>638</v>
      </c>
      <c r="Q26" s="309" t="s">
        <v>638</v>
      </c>
      <c r="R26" s="309" t="s">
        <v>698</v>
      </c>
      <c r="S26" s="311" t="s">
        <v>638</v>
      </c>
      <c r="T26" s="309" t="s">
        <v>638</v>
      </c>
      <c r="U26" s="309" t="s">
        <v>638</v>
      </c>
      <c r="V26" s="309" t="s">
        <v>638</v>
      </c>
      <c r="W26" s="309" t="s">
        <v>638</v>
      </c>
      <c r="X26" s="309" t="s">
        <v>638</v>
      </c>
      <c r="Y26" s="310" t="s">
        <v>638</v>
      </c>
      <c r="Z26" s="311" t="s">
        <v>638</v>
      </c>
      <c r="AA26" s="309" t="s">
        <v>638</v>
      </c>
      <c r="AB26" s="309" t="s">
        <v>638</v>
      </c>
      <c r="AC26" s="309" t="s">
        <v>698</v>
      </c>
      <c r="AD26" s="311" t="s">
        <v>638</v>
      </c>
      <c r="AE26" s="309" t="s">
        <v>638</v>
      </c>
      <c r="AF26" s="309" t="s">
        <v>638</v>
      </c>
      <c r="AG26" s="309" t="s">
        <v>698</v>
      </c>
      <c r="AH26" s="311" t="s">
        <v>638</v>
      </c>
      <c r="AI26" s="309" t="s">
        <v>638</v>
      </c>
      <c r="AJ26" s="309" t="s">
        <v>638</v>
      </c>
      <c r="AK26" s="309" t="s">
        <v>698</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700</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701</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702</v>
      </c>
      <c r="AQ74" t="s">
        <v>703</v>
      </c>
      <c r="AR74" t="s">
        <v>704</v>
      </c>
      <c r="AT74" t="s">
        <v>705</v>
      </c>
      <c r="AU74" t="s">
        <v>706</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474</v>
      </c>
      <c r="AN112" t="s">
        <v>477</v>
      </c>
      <c r="AO112">
        <v>0.82</v>
      </c>
    </row>
    <row r="113" spans="3:41" x14ac:dyDescent="0.25">
      <c r="AM113" t="s">
        <v>254</v>
      </c>
      <c r="AN113" t="s">
        <v>254</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990</v>
      </c>
      <c r="C2" s="295"/>
      <c r="D2" s="295"/>
      <c r="E2" s="295"/>
      <c r="F2" s="295"/>
    </row>
    <row r="3" spans="2:55" ht="15.75" thickTop="1" x14ac:dyDescent="0.25"/>
    <row r="9" spans="2:55" x14ac:dyDescent="0.25">
      <c r="G9" t="s">
        <v>708</v>
      </c>
      <c r="H9" t="s">
        <v>709</v>
      </c>
      <c r="I9" t="s">
        <v>710</v>
      </c>
    </row>
    <row r="10" spans="2:55" x14ac:dyDescent="0.25">
      <c r="B10" t="s">
        <v>711</v>
      </c>
      <c r="G10">
        <v>2009</v>
      </c>
      <c r="H10">
        <v>60.4</v>
      </c>
      <c r="I10" s="298">
        <f>H10*[11]Deflator!U20/[11]Deflator!T20</f>
        <v>61.096005114485806</v>
      </c>
      <c r="V10" t="s">
        <v>712</v>
      </c>
      <c r="AO10" t="s">
        <v>713</v>
      </c>
    </row>
    <row r="12" spans="2:55" ht="15.75" thickBot="1" x14ac:dyDescent="0.3">
      <c r="B12" t="s">
        <v>714</v>
      </c>
      <c r="D12" t="s">
        <v>715</v>
      </c>
      <c r="I12" t="s">
        <v>716</v>
      </c>
      <c r="N12">
        <v>450</v>
      </c>
      <c r="T12" t="s">
        <v>717</v>
      </c>
      <c r="V12" t="s">
        <v>715</v>
      </c>
      <c r="AA12" t="s">
        <v>716</v>
      </c>
      <c r="AF12">
        <v>450</v>
      </c>
      <c r="AM12" t="s">
        <v>718</v>
      </c>
      <c r="AO12" t="s">
        <v>715</v>
      </c>
      <c r="AT12" t="s">
        <v>716</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719</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719</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719</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720</v>
      </c>
      <c r="D15" s="71"/>
      <c r="H15" s="242"/>
      <c r="I15" s="71"/>
      <c r="M15" s="242"/>
      <c r="N15" s="71"/>
      <c r="R15" s="242"/>
      <c r="T15" t="s">
        <v>720</v>
      </c>
      <c r="V15" s="71"/>
      <c r="Z15" s="242"/>
      <c r="AA15" s="71"/>
      <c r="AE15" s="242"/>
      <c r="AF15" s="71"/>
      <c r="AJ15" s="242"/>
      <c r="AM15" t="s">
        <v>720</v>
      </c>
      <c r="AO15" s="71"/>
      <c r="AP15" s="71"/>
      <c r="AS15" s="242"/>
      <c r="AT15" s="71"/>
      <c r="AX15" s="242"/>
      <c r="AY15" s="71"/>
      <c r="BC15" s="242"/>
    </row>
    <row r="16" spans="2:55" x14ac:dyDescent="0.25">
      <c r="B16" t="s">
        <v>721</v>
      </c>
      <c r="C16">
        <v>4.4000000000000004</v>
      </c>
      <c r="D16" s="71">
        <v>6</v>
      </c>
      <c r="E16">
        <v>6.7</v>
      </c>
      <c r="F16">
        <v>7.3</v>
      </c>
      <c r="G16">
        <v>7.9</v>
      </c>
      <c r="H16" s="242">
        <v>8.6</v>
      </c>
      <c r="I16" s="71">
        <v>6.1</v>
      </c>
      <c r="J16">
        <v>7</v>
      </c>
      <c r="K16">
        <v>7.7</v>
      </c>
      <c r="L16">
        <v>8.4</v>
      </c>
      <c r="M16" s="242">
        <v>9</v>
      </c>
      <c r="N16" s="71">
        <v>5.9</v>
      </c>
      <c r="O16">
        <v>6.5</v>
      </c>
      <c r="P16">
        <v>8</v>
      </c>
      <c r="Q16">
        <v>8.4</v>
      </c>
      <c r="R16" s="242">
        <v>7.8</v>
      </c>
      <c r="T16" t="s">
        <v>721</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721</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722</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722</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722</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723</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723</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723</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156</v>
      </c>
      <c r="BJ18">
        <v>12.09</v>
      </c>
      <c r="BK18">
        <v>15.98453488</v>
      </c>
      <c r="BL18">
        <v>19.88</v>
      </c>
      <c r="BM18">
        <v>21.242425820000001</v>
      </c>
      <c r="BN18">
        <v>22.6</v>
      </c>
      <c r="BO18">
        <v>23.378894710000001</v>
      </c>
      <c r="BP18">
        <v>24.154876730000002</v>
      </c>
    </row>
    <row r="19" spans="2:68" ht="15.75" thickBot="1" x14ac:dyDescent="0.3">
      <c r="B19" t="s">
        <v>724</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724</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724</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160</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725</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206</v>
      </c>
      <c r="BJ20">
        <v>133.65790498578201</v>
      </c>
      <c r="BK20">
        <v>144.66341308052401</v>
      </c>
      <c r="BL20">
        <v>165.92115951130501</v>
      </c>
      <c r="BM20">
        <v>184.993407949881</v>
      </c>
      <c r="BN20">
        <v>206.056227652074</v>
      </c>
      <c r="BO20">
        <v>229.741908114235</v>
      </c>
      <c r="BP20">
        <v>257.405837873981</v>
      </c>
    </row>
    <row r="21" spans="2:68" x14ac:dyDescent="0.25">
      <c r="AM21" t="s">
        <v>726</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200</v>
      </c>
      <c r="BJ21">
        <v>6.25</v>
      </c>
      <c r="BK21">
        <v>6.25</v>
      </c>
      <c r="BL21">
        <v>6.25</v>
      </c>
      <c r="BM21">
        <v>6.25</v>
      </c>
      <c r="BN21">
        <v>6.25</v>
      </c>
      <c r="BO21">
        <v>6.25</v>
      </c>
      <c r="BP21">
        <v>6.25</v>
      </c>
    </row>
    <row r="22" spans="2:68" x14ac:dyDescent="0.25">
      <c r="T22" t="s">
        <v>727</v>
      </c>
      <c r="U22" t="s">
        <v>728</v>
      </c>
      <c r="AM22" t="s">
        <v>727</v>
      </c>
      <c r="AN22" t="s">
        <v>728</v>
      </c>
      <c r="BI22" t="s">
        <v>729</v>
      </c>
      <c r="BJ22">
        <v>55.690793744075798</v>
      </c>
      <c r="BK22">
        <v>60.276422116885101</v>
      </c>
      <c r="BL22">
        <v>69.133816463043999</v>
      </c>
      <c r="BM22">
        <v>77.080586645783796</v>
      </c>
      <c r="BN22">
        <v>85.856761521697706</v>
      </c>
      <c r="BO22">
        <v>95.725795047598098</v>
      </c>
      <c r="BP22">
        <v>107.252432447492</v>
      </c>
    </row>
    <row r="23" spans="2:68" x14ac:dyDescent="0.25">
      <c r="B23" t="s">
        <v>730</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731</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732</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733</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721</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734</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722</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266</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723</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735</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714</v>
      </c>
      <c r="AM31" t="s">
        <v>714</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736</v>
      </c>
    </row>
    <row r="35" spans="2:55" x14ac:dyDescent="0.25">
      <c r="C35" t="s">
        <v>615</v>
      </c>
      <c r="D35" t="s">
        <v>737</v>
      </c>
      <c r="E35" t="s">
        <v>738</v>
      </c>
      <c r="F35" t="s">
        <v>739</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712</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715</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716</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716</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740</v>
      </c>
      <c r="C44" t="s">
        <v>618</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741</v>
      </c>
      <c r="C45" t="s">
        <v>742</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743</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744</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745</v>
      </c>
      <c r="AY52" t="s">
        <v>746</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731</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732</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733</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747</v>
      </c>
      <c r="BI65" t="s">
        <v>734</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266</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748</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749</v>
      </c>
      <c r="BX68" t="s">
        <v>750</v>
      </c>
      <c r="CJ68" t="s">
        <v>751</v>
      </c>
      <c r="CU68" t="s">
        <v>752</v>
      </c>
      <c r="DF68" t="s">
        <v>753</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754</v>
      </c>
    </row>
    <row r="75" spans="1:110" x14ac:dyDescent="0.25">
      <c r="C75" t="s">
        <v>253</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253</v>
      </c>
      <c r="BD75" t="s">
        <v>253</v>
      </c>
      <c r="BE75" t="s">
        <v>744</v>
      </c>
    </row>
    <row r="76" spans="1:110" ht="51.75" x14ac:dyDescent="0.25">
      <c r="A76">
        <v>1</v>
      </c>
      <c r="B76" t="s">
        <v>755</v>
      </c>
      <c r="C76" s="335" t="s">
        <v>756</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757</v>
      </c>
      <c r="C77" t="s">
        <v>757</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758</v>
      </c>
    </row>
    <row r="80" spans="1:110" x14ac:dyDescent="0.25">
      <c r="AF80" t="s">
        <v>253</v>
      </c>
    </row>
    <row r="82" spans="1:121" x14ac:dyDescent="0.25">
      <c r="C82" t="s">
        <v>759</v>
      </c>
    </row>
    <row r="83" spans="1:121" x14ac:dyDescent="0.25">
      <c r="C83" t="s">
        <v>253</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253</v>
      </c>
      <c r="BD83" t="s">
        <v>253</v>
      </c>
      <c r="BE83" t="s">
        <v>744</v>
      </c>
    </row>
    <row r="84" spans="1:121" ht="51.75" x14ac:dyDescent="0.25">
      <c r="A84">
        <v>1</v>
      </c>
      <c r="B84" t="s">
        <v>755</v>
      </c>
      <c r="C84" s="335" t="s">
        <v>756</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757</v>
      </c>
      <c r="C85" t="s">
        <v>757</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758</v>
      </c>
    </row>
    <row r="92" spans="1:121" x14ac:dyDescent="0.25">
      <c r="CJ92" t="s">
        <v>740</v>
      </c>
    </row>
    <row r="93" spans="1:121" x14ac:dyDescent="0.25">
      <c r="BN93" t="s">
        <v>715</v>
      </c>
      <c r="BQ93" t="s">
        <v>716</v>
      </c>
      <c r="BT93" t="s">
        <v>760</v>
      </c>
      <c r="BZ93">
        <v>2020</v>
      </c>
      <c r="CA93">
        <v>2030</v>
      </c>
      <c r="CB93">
        <v>2040</v>
      </c>
      <c r="CC93">
        <v>2050</v>
      </c>
      <c r="CK93">
        <v>2019</v>
      </c>
      <c r="CL93">
        <v>2020</v>
      </c>
      <c r="CM93">
        <v>2021</v>
      </c>
      <c r="CN93">
        <v>2025</v>
      </c>
      <c r="CO93">
        <v>2030</v>
      </c>
      <c r="CP93">
        <v>2035</v>
      </c>
      <c r="CQ93">
        <v>2040</v>
      </c>
      <c r="CR93">
        <v>2050</v>
      </c>
    </row>
    <row r="94" spans="1:121" x14ac:dyDescent="0.25">
      <c r="BK94" t="s">
        <v>761</v>
      </c>
      <c r="BM94">
        <v>2015</v>
      </c>
      <c r="BN94">
        <v>2020</v>
      </c>
      <c r="BO94">
        <v>2030</v>
      </c>
      <c r="BP94">
        <v>2040</v>
      </c>
      <c r="BQ94">
        <v>2020</v>
      </c>
      <c r="BR94">
        <v>2030</v>
      </c>
      <c r="BS94">
        <v>2040</v>
      </c>
      <c r="BT94">
        <v>2020</v>
      </c>
      <c r="BU94">
        <v>2030</v>
      </c>
      <c r="BV94">
        <v>2040</v>
      </c>
      <c r="BY94" t="s">
        <v>716</v>
      </c>
      <c r="BZ94">
        <v>62</v>
      </c>
      <c r="CA94">
        <v>105</v>
      </c>
      <c r="CB94">
        <v>127</v>
      </c>
      <c r="CC94">
        <v>140</v>
      </c>
      <c r="CJ94" t="s">
        <v>762</v>
      </c>
      <c r="CK94">
        <v>63</v>
      </c>
      <c r="CL94">
        <v>40</v>
      </c>
      <c r="CM94">
        <f>(62+54)/2</f>
        <v>58</v>
      </c>
      <c r="CN94">
        <v>71</v>
      </c>
      <c r="CO94">
        <v>76</v>
      </c>
      <c r="CP94">
        <v>81</v>
      </c>
      <c r="CQ94">
        <v>85</v>
      </c>
      <c r="CR94">
        <f>FORECAST(CR93,CP94:CQ94,CP93:CQ93)</f>
        <v>93</v>
      </c>
      <c r="DL94" s="431" t="s">
        <v>763</v>
      </c>
      <c r="DM94" s="431"/>
      <c r="DN94" s="431" t="s">
        <v>764</v>
      </c>
      <c r="DO94" s="431"/>
      <c r="DP94" s="431" t="s">
        <v>762</v>
      </c>
      <c r="DQ94" s="431"/>
    </row>
    <row r="95" spans="1:121" x14ac:dyDescent="0.25">
      <c r="BK95" t="s">
        <v>765</v>
      </c>
      <c r="BL95" t="s">
        <v>766</v>
      </c>
      <c r="BM95">
        <v>51</v>
      </c>
      <c r="BN95">
        <v>79</v>
      </c>
      <c r="BO95">
        <v>111</v>
      </c>
      <c r="BP95">
        <v>124</v>
      </c>
      <c r="BQ95">
        <v>82</v>
      </c>
      <c r="BR95">
        <v>127</v>
      </c>
      <c r="BS95">
        <v>146</v>
      </c>
      <c r="BT95">
        <v>73</v>
      </c>
      <c r="BU95">
        <v>85</v>
      </c>
      <c r="BV95">
        <v>78</v>
      </c>
      <c r="BY95" t="s">
        <v>762</v>
      </c>
      <c r="BZ95">
        <v>62</v>
      </c>
      <c r="CA95">
        <v>84</v>
      </c>
      <c r="CB95">
        <v>96</v>
      </c>
      <c r="CC95">
        <v>100</v>
      </c>
      <c r="CJ95" t="s">
        <v>767</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768</v>
      </c>
      <c r="DG95" t="s">
        <v>769</v>
      </c>
      <c r="DH95" t="s">
        <v>770</v>
      </c>
      <c r="DI95" t="s">
        <v>771</v>
      </c>
      <c r="DJ95">
        <v>2010</v>
      </c>
      <c r="DK95">
        <v>2021</v>
      </c>
      <c r="DL95">
        <v>2030</v>
      </c>
      <c r="DM95">
        <v>2050</v>
      </c>
      <c r="DN95">
        <v>2030</v>
      </c>
      <c r="DO95">
        <v>2050</v>
      </c>
      <c r="DP95">
        <v>2030</v>
      </c>
      <c r="DQ95">
        <v>2050</v>
      </c>
    </row>
    <row r="96" spans="1:121" x14ac:dyDescent="0.25">
      <c r="BK96" t="s">
        <v>469</v>
      </c>
      <c r="BL96" t="s">
        <v>772</v>
      </c>
      <c r="BY96" t="s">
        <v>773</v>
      </c>
      <c r="BZ96">
        <v>62</v>
      </c>
      <c r="CA96">
        <v>60</v>
      </c>
      <c r="CB96">
        <v>58</v>
      </c>
      <c r="CC96">
        <v>58</v>
      </c>
      <c r="CJ96" t="s">
        <v>774</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775</v>
      </c>
      <c r="DG96" t="s">
        <v>776</v>
      </c>
      <c r="DH96" t="s">
        <v>777</v>
      </c>
      <c r="DI96" t="s">
        <v>778</v>
      </c>
      <c r="DJ96">
        <v>96</v>
      </c>
      <c r="DK96">
        <v>69</v>
      </c>
      <c r="DL96">
        <v>35</v>
      </c>
      <c r="DM96">
        <v>24</v>
      </c>
      <c r="DN96">
        <v>64</v>
      </c>
      <c r="DO96">
        <v>60</v>
      </c>
      <c r="DP96">
        <v>82</v>
      </c>
      <c r="DQ96">
        <v>95</v>
      </c>
    </row>
    <row r="97" spans="63:121" x14ac:dyDescent="0.25">
      <c r="BK97" t="s">
        <v>779</v>
      </c>
      <c r="BM97">
        <v>2.6</v>
      </c>
      <c r="BN97">
        <v>4.0999999999999996</v>
      </c>
      <c r="BO97">
        <v>5.4</v>
      </c>
      <c r="BP97">
        <v>6.9</v>
      </c>
      <c r="BQ97">
        <v>4.3</v>
      </c>
      <c r="BR97">
        <v>5.9</v>
      </c>
      <c r="BS97">
        <v>7.9</v>
      </c>
      <c r="BT97">
        <v>3.9</v>
      </c>
      <c r="BU97">
        <v>4.8</v>
      </c>
      <c r="BV97">
        <v>5.4</v>
      </c>
      <c r="DF97" t="s">
        <v>780</v>
      </c>
      <c r="DG97" t="s">
        <v>781</v>
      </c>
      <c r="DH97" t="s">
        <v>782</v>
      </c>
    </row>
    <row r="98" spans="63:121" x14ac:dyDescent="0.25">
      <c r="BK98" t="s">
        <v>783</v>
      </c>
      <c r="BM98">
        <v>7</v>
      </c>
      <c r="BN98">
        <v>7.1</v>
      </c>
      <c r="BO98">
        <v>10.3</v>
      </c>
      <c r="BP98">
        <v>11.5</v>
      </c>
      <c r="BQ98">
        <v>7.3</v>
      </c>
      <c r="BR98">
        <v>11.1</v>
      </c>
      <c r="BS98">
        <v>13</v>
      </c>
      <c r="BT98">
        <v>6.9</v>
      </c>
      <c r="BU98">
        <v>9.4</v>
      </c>
      <c r="BV98">
        <v>9.9</v>
      </c>
      <c r="CJ98" t="s">
        <v>784</v>
      </c>
      <c r="CL98">
        <v>1</v>
      </c>
      <c r="DF98" t="s">
        <v>785</v>
      </c>
      <c r="DG98" t="s">
        <v>786</v>
      </c>
      <c r="DJ98">
        <v>5.3</v>
      </c>
      <c r="DK98">
        <v>3.9</v>
      </c>
      <c r="DL98">
        <v>1.9</v>
      </c>
      <c r="DM98">
        <v>1.8</v>
      </c>
      <c r="DN98">
        <v>3.7</v>
      </c>
      <c r="DO98">
        <v>2.6</v>
      </c>
      <c r="DP98">
        <v>4</v>
      </c>
      <c r="DQ98">
        <v>4.7</v>
      </c>
    </row>
    <row r="99" spans="63:121" x14ac:dyDescent="0.25">
      <c r="BK99" t="s">
        <v>787</v>
      </c>
      <c r="BM99">
        <v>9.6999999999999993</v>
      </c>
      <c r="BN99">
        <v>9.1999999999999993</v>
      </c>
      <c r="BO99">
        <v>11.6</v>
      </c>
      <c r="BP99">
        <v>12.1</v>
      </c>
      <c r="BQ99">
        <v>9.5</v>
      </c>
      <c r="BR99">
        <v>12.5</v>
      </c>
      <c r="BS99">
        <v>13.9</v>
      </c>
      <c r="BT99">
        <v>8.6</v>
      </c>
      <c r="BU99">
        <v>10.4</v>
      </c>
      <c r="BV99">
        <v>10.5</v>
      </c>
      <c r="CK99" s="21">
        <v>2021</v>
      </c>
      <c r="CL99">
        <v>2030</v>
      </c>
      <c r="CM99">
        <v>2050</v>
      </c>
      <c r="DF99" t="s">
        <v>788</v>
      </c>
      <c r="DG99" t="s">
        <v>789</v>
      </c>
      <c r="DJ99">
        <v>9</v>
      </c>
      <c r="DK99">
        <v>9.5</v>
      </c>
      <c r="DL99">
        <v>4.5999999999999996</v>
      </c>
      <c r="DM99">
        <v>3.8</v>
      </c>
      <c r="DN99">
        <v>7.9</v>
      </c>
      <c r="DO99">
        <v>6.3</v>
      </c>
      <c r="DP99">
        <v>8.5</v>
      </c>
      <c r="DQ99">
        <v>9.1999999999999993</v>
      </c>
    </row>
    <row r="100" spans="63:121" x14ac:dyDescent="0.25">
      <c r="BK100" t="s">
        <v>738</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787</v>
      </c>
      <c r="DJ100">
        <v>8</v>
      </c>
      <c r="DK100">
        <v>10.1</v>
      </c>
      <c r="DL100">
        <v>6.1</v>
      </c>
      <c r="DM100">
        <v>5.0999999999999996</v>
      </c>
      <c r="DN100">
        <v>8.8000000000000007</v>
      </c>
      <c r="DO100">
        <v>7.4</v>
      </c>
      <c r="DP100">
        <v>9.8000000000000007</v>
      </c>
      <c r="DQ100">
        <v>10.199999999999999</v>
      </c>
    </row>
    <row r="101" spans="63:121" x14ac:dyDescent="0.25">
      <c r="BK101" t="s">
        <v>790</v>
      </c>
      <c r="BL101" t="s">
        <v>791</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738</v>
      </c>
      <c r="DJ101">
        <v>13.3</v>
      </c>
      <c r="DK101">
        <v>10.199999999999999</v>
      </c>
      <c r="DL101">
        <v>6</v>
      </c>
      <c r="DM101">
        <v>5.0999999999999996</v>
      </c>
      <c r="DN101">
        <v>9.1</v>
      </c>
      <c r="DO101">
        <v>7.4</v>
      </c>
      <c r="DP101">
        <v>10.9</v>
      </c>
      <c r="DQ101">
        <v>10.6</v>
      </c>
    </row>
    <row r="102" spans="63:121" x14ac:dyDescent="0.25">
      <c r="BK102" t="s">
        <v>792</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793</v>
      </c>
      <c r="DG102" t="s">
        <v>794</v>
      </c>
      <c r="DH102" t="s">
        <v>795</v>
      </c>
    </row>
    <row r="103" spans="63:121" x14ac:dyDescent="0.25">
      <c r="BK103" t="s">
        <v>779</v>
      </c>
      <c r="BM103">
        <v>51</v>
      </c>
      <c r="BN103">
        <v>55</v>
      </c>
      <c r="BO103">
        <v>58</v>
      </c>
      <c r="BP103">
        <v>60</v>
      </c>
      <c r="BQ103">
        <v>56</v>
      </c>
      <c r="BR103">
        <v>61</v>
      </c>
      <c r="BS103">
        <v>64</v>
      </c>
      <c r="BT103">
        <v>53</v>
      </c>
      <c r="BU103">
        <v>52</v>
      </c>
      <c r="BV103">
        <v>49</v>
      </c>
      <c r="DF103" t="s">
        <v>785</v>
      </c>
      <c r="DG103" t="s">
        <v>786</v>
      </c>
      <c r="DH103">
        <v>63</v>
      </c>
      <c r="DI103">
        <v>44</v>
      </c>
      <c r="DJ103">
        <v>22</v>
      </c>
      <c r="DK103">
        <v>17</v>
      </c>
      <c r="DL103">
        <v>42</v>
      </c>
      <c r="DM103">
        <v>24</v>
      </c>
      <c r="DN103">
        <v>46</v>
      </c>
      <c r="DO103">
        <v>44</v>
      </c>
    </row>
    <row r="104" spans="63:121" x14ac:dyDescent="0.25">
      <c r="BK104" t="s">
        <v>783</v>
      </c>
      <c r="BM104">
        <v>57</v>
      </c>
      <c r="BN104">
        <v>63</v>
      </c>
      <c r="BO104">
        <v>74</v>
      </c>
      <c r="BP104">
        <v>77</v>
      </c>
      <c r="BQ104">
        <v>65</v>
      </c>
      <c r="BR104">
        <v>80</v>
      </c>
      <c r="BS104">
        <v>88</v>
      </c>
      <c r="BT104">
        <v>58</v>
      </c>
      <c r="BU104">
        <v>57</v>
      </c>
      <c r="BV104">
        <v>51</v>
      </c>
      <c r="CJ104" t="s">
        <v>796</v>
      </c>
      <c r="CL104" t="s">
        <v>797</v>
      </c>
      <c r="CO104" t="s">
        <v>739</v>
      </c>
      <c r="CR104" t="s">
        <v>787</v>
      </c>
      <c r="DF104" t="s">
        <v>788</v>
      </c>
      <c r="DG104" t="s">
        <v>789</v>
      </c>
      <c r="DH104">
        <v>113</v>
      </c>
      <c r="DI104">
        <v>120</v>
      </c>
      <c r="DJ104">
        <v>52</v>
      </c>
      <c r="DK104">
        <v>42</v>
      </c>
      <c r="DL104">
        <v>62</v>
      </c>
      <c r="DM104">
        <v>53</v>
      </c>
      <c r="DN104">
        <v>60</v>
      </c>
      <c r="DO104">
        <v>64</v>
      </c>
    </row>
    <row r="105" spans="63:121" x14ac:dyDescent="0.25">
      <c r="BK105" t="s">
        <v>798</v>
      </c>
      <c r="BM105">
        <v>72</v>
      </c>
      <c r="BN105">
        <v>78</v>
      </c>
      <c r="BO105">
        <v>86</v>
      </c>
      <c r="BP105">
        <v>89</v>
      </c>
      <c r="BQ105">
        <v>79</v>
      </c>
      <c r="BR105">
        <v>92</v>
      </c>
      <c r="BS105">
        <v>98</v>
      </c>
      <c r="BT105">
        <v>73</v>
      </c>
      <c r="BU105">
        <v>72</v>
      </c>
      <c r="BV105">
        <v>67</v>
      </c>
      <c r="CL105">
        <v>2025</v>
      </c>
      <c r="CM105">
        <v>2040</v>
      </c>
      <c r="CN105" t="s">
        <v>799</v>
      </c>
      <c r="CO105">
        <f>CL105</f>
        <v>2025</v>
      </c>
      <c r="CP105">
        <f>CM105</f>
        <v>2040</v>
      </c>
      <c r="CQ105" t="s">
        <v>799</v>
      </c>
      <c r="CR105">
        <f>CO105</f>
        <v>2025</v>
      </c>
      <c r="CS105">
        <f>CP105</f>
        <v>2040</v>
      </c>
      <c r="CT105" t="s">
        <v>799</v>
      </c>
      <c r="DF105" t="s">
        <v>738</v>
      </c>
      <c r="DG105">
        <v>132</v>
      </c>
      <c r="DH105">
        <v>153</v>
      </c>
      <c r="DI105">
        <v>59</v>
      </c>
      <c r="DJ105">
        <v>46</v>
      </c>
      <c r="DK105">
        <v>74</v>
      </c>
      <c r="DL105">
        <v>59</v>
      </c>
      <c r="DM105">
        <v>91</v>
      </c>
      <c r="DN105">
        <v>72</v>
      </c>
    </row>
    <row r="106" spans="63:121" x14ac:dyDescent="0.25">
      <c r="BK106" t="s">
        <v>738</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800</v>
      </c>
      <c r="DG106" t="s">
        <v>787</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1058</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801</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802</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803</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804</v>
      </c>
    </row>
    <row r="129" spans="88:95" x14ac:dyDescent="0.25">
      <c r="CK129" t="s">
        <v>805</v>
      </c>
      <c r="CL129" t="s">
        <v>806</v>
      </c>
      <c r="CM129" t="s">
        <v>807</v>
      </c>
      <c r="CN129" t="s">
        <v>808</v>
      </c>
      <c r="CO129" t="s">
        <v>809</v>
      </c>
      <c r="CP129" t="s">
        <v>810</v>
      </c>
      <c r="CQ129" t="s">
        <v>811</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812</v>
      </c>
    </row>
    <row r="135" spans="88:95" x14ac:dyDescent="0.25">
      <c r="CK135" t="s">
        <v>805</v>
      </c>
      <c r="CL135" t="s">
        <v>806</v>
      </c>
      <c r="CM135" t="s">
        <v>807</v>
      </c>
      <c r="CN135" t="s">
        <v>808</v>
      </c>
      <c r="CO135" t="s">
        <v>809</v>
      </c>
      <c r="CP135" t="s">
        <v>810</v>
      </c>
      <c r="CQ135" t="s">
        <v>811</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1012</v>
      </c>
      <c r="C1" s="169"/>
      <c r="D1" s="169"/>
      <c r="E1" s="169"/>
    </row>
    <row r="2" spans="2:39" ht="15.75" thickTop="1" x14ac:dyDescent="0.25"/>
    <row r="4" spans="2:39" x14ac:dyDescent="0.25">
      <c r="B4" t="s">
        <v>818</v>
      </c>
      <c r="E4">
        <v>2013</v>
      </c>
      <c r="F4">
        <v>2013</v>
      </c>
      <c r="G4" t="s">
        <v>819</v>
      </c>
    </row>
    <row r="5" spans="2:39" ht="30" x14ac:dyDescent="0.25">
      <c r="B5" t="s">
        <v>820</v>
      </c>
      <c r="C5" t="s">
        <v>821</v>
      </c>
      <c r="D5" t="s">
        <v>822</v>
      </c>
      <c r="E5" s="176" t="s">
        <v>823</v>
      </c>
      <c r="F5" s="176" t="s">
        <v>824</v>
      </c>
      <c r="G5" s="176" t="s">
        <v>824</v>
      </c>
      <c r="R5" s="343" t="s">
        <v>825</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826</v>
      </c>
      <c r="C6" t="s">
        <v>827</v>
      </c>
      <c r="D6">
        <v>590</v>
      </c>
      <c r="E6">
        <v>826</v>
      </c>
      <c r="F6">
        <f>E6*[11]Deflator!$F$33</f>
        <v>9841.7899999999991</v>
      </c>
      <c r="G6" s="346">
        <f>D6*(AVERAGE(D$25:$D$31)*FuelDistribution!$AB$6*FuelDistribution!$AE$40/FuelDistribution!$S$40)/1000</f>
        <v>266.11872910346432</v>
      </c>
      <c r="R6" s="347" t="s">
        <v>231</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826</v>
      </c>
      <c r="C7" t="s">
        <v>828</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826</v>
      </c>
      <c r="C8" t="s">
        <v>829</v>
      </c>
      <c r="D8">
        <v>210</v>
      </c>
      <c r="E8">
        <v>294</v>
      </c>
      <c r="F8">
        <f>E8*AVERAGE([12]Deflator!$LD$77:$LD$332)</f>
        <v>2836.7811863999987</v>
      </c>
      <c r="G8" s="346">
        <f>D8*(AVERAGE(D$25:$D$31)*FuelDistribution!$AB$6*FuelDistribution!$AE$40/FuelDistribution!$S$40)/1000</f>
        <v>94.720225613097469</v>
      </c>
      <c r="R8" s="350" t="s">
        <v>634</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826</v>
      </c>
      <c r="C9" t="s">
        <v>830</v>
      </c>
      <c r="D9">
        <v>690</v>
      </c>
      <c r="E9">
        <v>966</v>
      </c>
      <c r="F9">
        <f>E9*AVERAGE([12]Deflator!$LD$77:$LD$332)</f>
        <v>9320.8524695999949</v>
      </c>
      <c r="G9" s="346">
        <f>D9*(AVERAGE(D$25:$D$31)*FuelDistribution!$AB$6*FuelDistribution!$AE$40/FuelDistribution!$S$40)/1000</f>
        <v>311.22359844303452</v>
      </c>
      <c r="R9" s="28" t="s">
        <v>831</v>
      </c>
      <c r="S9" s="28"/>
      <c r="T9" s="28"/>
      <c r="U9" s="28"/>
      <c r="V9" s="28"/>
      <c r="W9" s="28"/>
      <c r="X9" s="28"/>
      <c r="Y9" s="28"/>
      <c r="Z9" s="28"/>
      <c r="AA9" s="28"/>
      <c r="AB9" s="28"/>
      <c r="AC9" s="28"/>
      <c r="AD9" s="28"/>
      <c r="AE9" s="28"/>
      <c r="AF9" s="28"/>
      <c r="AG9" s="28"/>
      <c r="AH9" s="28"/>
      <c r="AI9" s="28"/>
      <c r="AJ9" s="28"/>
      <c r="AK9" s="28"/>
      <c r="AL9" s="28"/>
      <c r="AM9" s="28"/>
    </row>
    <row r="10" spans="2:39" x14ac:dyDescent="0.25">
      <c r="B10" t="s">
        <v>826</v>
      </c>
      <c r="C10" t="s">
        <v>832</v>
      </c>
      <c r="D10">
        <v>750</v>
      </c>
      <c r="E10">
        <v>1050</v>
      </c>
      <c r="F10">
        <f>E10*AVERAGE([12]Deflator!$LD$77:$LD$332)</f>
        <v>10131.361379999995</v>
      </c>
      <c r="G10" s="346">
        <f>D10*(AVERAGE(D$25:$D$31)*FuelDistribution!$AB$6*FuelDistribution!$AE$40/FuelDistribution!$S$40)/1000</f>
        <v>338.28652004677667</v>
      </c>
      <c r="R10" s="352" t="s">
        <v>833</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546</v>
      </c>
      <c r="D11">
        <f>SUM(D6:D10)</f>
        <v>2480</v>
      </c>
      <c r="F11" s="353">
        <f>SUM(F6:F10)</f>
        <v>35372.820677599986</v>
      </c>
      <c r="G11" s="353">
        <f>SUM(G6:G10)</f>
        <v>1118.6007596213417</v>
      </c>
      <c r="R11" s="28" t="s">
        <v>834</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835</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836</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837</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838</v>
      </c>
      <c r="R15" s="28" t="s">
        <v>839</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840</v>
      </c>
      <c r="R16" s="345"/>
      <c r="S16" s="354">
        <v>2006</v>
      </c>
      <c r="T16" s="345" t="s">
        <v>837</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841</v>
      </c>
      <c r="R17" s="28" t="s">
        <v>842</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843</v>
      </c>
      <c r="R18" s="28" t="s">
        <v>844</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845</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846</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847</v>
      </c>
      <c r="E22" s="8"/>
      <c r="F22" s="8"/>
      <c r="G22" s="8"/>
      <c r="H22" s="8"/>
      <c r="R22" s="343" t="s">
        <v>825</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848</v>
      </c>
      <c r="D23" s="1" t="s">
        <v>849</v>
      </c>
      <c r="E23" s="1" t="s">
        <v>850</v>
      </c>
      <c r="F23" s="1" t="s">
        <v>851</v>
      </c>
      <c r="G23" s="1" t="s">
        <v>852</v>
      </c>
      <c r="H23" s="8" t="s">
        <v>853</v>
      </c>
      <c r="I23" s="142" t="s">
        <v>854</v>
      </c>
      <c r="J23" s="142">
        <v>38.520000000000003</v>
      </c>
      <c r="R23" s="347" t="s">
        <v>779</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855</v>
      </c>
      <c r="D24" s="1" t="s">
        <v>856</v>
      </c>
      <c r="E24" s="1" t="s">
        <v>857</v>
      </c>
      <c r="F24" s="1" t="s">
        <v>858</v>
      </c>
      <c r="G24" s="1">
        <v>1</v>
      </c>
      <c r="H24" s="142" t="s">
        <v>859</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634</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860</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825</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231</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634</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744</v>
      </c>
      <c r="E32" s="445"/>
      <c r="F32" s="363">
        <f>AVERAGE(F25:F31)</f>
        <v>286.69885714285715</v>
      </c>
      <c r="G32" s="363">
        <v>1</v>
      </c>
      <c r="H32" s="364">
        <f>G11/F32</f>
        <v>3.9016575467685315</v>
      </c>
      <c r="I32" s="365">
        <f>AVERAGE(H25:H31)</f>
        <v>188.96941614719825</v>
      </c>
      <c r="K32" t="s">
        <v>861</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862</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825</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863</v>
      </c>
      <c r="R35" s="347" t="s">
        <v>231</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864</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865</v>
      </c>
      <c r="C37" s="26" t="s">
        <v>866</v>
      </c>
      <c r="D37" s="26" t="s">
        <v>240</v>
      </c>
      <c r="E37" s="26" t="s">
        <v>867</v>
      </c>
      <c r="F37" s="26" t="s">
        <v>868</v>
      </c>
      <c r="G37" s="81" t="s">
        <v>869</v>
      </c>
      <c r="H37" s="26" t="s">
        <v>870</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871</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871</v>
      </c>
      <c r="C39">
        <f>0.75*_xlfn.SINGLE(inchtocentimetre)</f>
        <v>1.905</v>
      </c>
      <c r="D39">
        <f>C39*$F$25/$C$25</f>
        <v>2.8890000000000002</v>
      </c>
      <c r="E39">
        <v>2000</v>
      </c>
      <c r="F39">
        <f>J24*FuelDistribution!E39/10^6</f>
        <v>0</v>
      </c>
      <c r="G39">
        <f>F39/D39</f>
        <v>0</v>
      </c>
      <c r="R39" s="179" t="s">
        <v>496</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872</v>
      </c>
      <c r="AG39" s="28"/>
      <c r="AH39" s="28"/>
      <c r="AI39" s="28"/>
      <c r="AJ39" s="28"/>
      <c r="AK39" s="28"/>
      <c r="AL39" s="28"/>
      <c r="AM39" s="28"/>
    </row>
    <row r="40" spans="1:39" x14ac:dyDescent="0.25">
      <c r="B40" t="s">
        <v>873</v>
      </c>
      <c r="C40">
        <v>4.4000000000000004</v>
      </c>
      <c r="D40">
        <f>C40*$F$25/$C$25</f>
        <v>6.6727559055118126</v>
      </c>
      <c r="E40">
        <v>2000</v>
      </c>
      <c r="F40">
        <f>J25*FuelDistribution!E40/10^6</f>
        <v>0</v>
      </c>
      <c r="G40">
        <f>F40/D40</f>
        <v>0</v>
      </c>
      <c r="R40" s="179" t="s">
        <v>874</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875</v>
      </c>
      <c r="AH40" s="28"/>
      <c r="AI40" s="28"/>
      <c r="AJ40" s="28"/>
      <c r="AK40" s="28"/>
      <c r="AL40" s="28"/>
      <c r="AM40" s="28"/>
    </row>
    <row r="41" spans="1:39" x14ac:dyDescent="0.25">
      <c r="B41" t="s">
        <v>873</v>
      </c>
      <c r="C41">
        <v>15</v>
      </c>
      <c r="D41">
        <f>C41*$F$25/$C$25</f>
        <v>22.748031496062996</v>
      </c>
      <c r="E41">
        <v>2000</v>
      </c>
      <c r="F41">
        <f>J26*FuelDistribution!E41/10^6</f>
        <v>0</v>
      </c>
      <c r="G41">
        <f>F41/D41</f>
        <v>0</v>
      </c>
      <c r="H41" s="26" t="s">
        <v>876</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744</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877</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878</v>
      </c>
      <c r="B45" t="s">
        <v>879</v>
      </c>
    </row>
    <row r="47" spans="1:39" x14ac:dyDescent="0.25">
      <c r="C47" s="142" t="s">
        <v>880</v>
      </c>
    </row>
    <row r="48" spans="1:39" x14ac:dyDescent="0.25">
      <c r="A48" s="26" t="s">
        <v>4</v>
      </c>
      <c r="C48" s="142" t="s">
        <v>876</v>
      </c>
      <c r="D48" t="s">
        <v>881</v>
      </c>
    </row>
    <row r="49" spans="1:18" x14ac:dyDescent="0.25">
      <c r="A49" t="s">
        <v>882</v>
      </c>
      <c r="C49" s="142">
        <f>200</f>
        <v>200</v>
      </c>
    </row>
    <row r="50" spans="1:18" x14ac:dyDescent="0.25">
      <c r="C50" s="142"/>
    </row>
    <row r="51" spans="1:18" x14ac:dyDescent="0.25">
      <c r="I51" s="142" t="s">
        <v>209</v>
      </c>
      <c r="J51" s="142" t="s">
        <v>207</v>
      </c>
    </row>
    <row r="52" spans="1:18" x14ac:dyDescent="0.25">
      <c r="A52" s="303">
        <f>[13]LossesCalib!V6</f>
        <v>0</v>
      </c>
      <c r="B52" s="107"/>
      <c r="C52" s="107"/>
      <c r="D52" s="107" t="s">
        <v>883</v>
      </c>
      <c r="E52" s="107"/>
      <c r="F52" s="15"/>
      <c r="H52" t="s">
        <v>884</v>
      </c>
      <c r="I52" t="s">
        <v>885</v>
      </c>
      <c r="J52" t="s">
        <v>885</v>
      </c>
      <c r="K52" t="s">
        <v>886</v>
      </c>
      <c r="L52" t="s">
        <v>887</v>
      </c>
    </row>
    <row r="53" spans="1:18" x14ac:dyDescent="0.25">
      <c r="A53" s="82" t="str">
        <f>[13]LossesCalib!X7</f>
        <v xml:space="preserve">Industry </v>
      </c>
      <c r="B53" s="82" t="str">
        <f>[13]LossesCalib!Y7</f>
        <v>INDODS</v>
      </c>
      <c r="C53" s="82" t="str">
        <f>[13]LossesCalib!Z7</f>
        <v>IND</v>
      </c>
      <c r="D53" s="82">
        <f>[13]LossesCalib!AA7</f>
        <v>36.014976280799999</v>
      </c>
      <c r="F53" s="11"/>
      <c r="H53" t="s">
        <v>888</v>
      </c>
      <c r="I53" s="82">
        <v>11.7</v>
      </c>
      <c r="J53" s="82">
        <v>11.7</v>
      </c>
    </row>
    <row r="54" spans="1:18" x14ac:dyDescent="0.25">
      <c r="A54" s="82" t="str">
        <f>[13]LossesCalib!X8</f>
        <v xml:space="preserve">Industry </v>
      </c>
      <c r="B54" s="82" t="str">
        <f>[13]LossesCalib!Y8</f>
        <v>INDGAS</v>
      </c>
      <c r="C54" s="82"/>
      <c r="D54" s="82">
        <f>[13]LossesCalib!AA8</f>
        <v>104.82035999999999</v>
      </c>
      <c r="F54" s="11"/>
      <c r="H54" t="s">
        <v>889</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890</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254</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891</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892</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893</v>
      </c>
      <c r="F61" s="11" t="s">
        <v>894</v>
      </c>
      <c r="H61" s="8"/>
      <c r="I61" s="8" t="s">
        <v>895</v>
      </c>
      <c r="J61" s="373" t="s">
        <v>896</v>
      </c>
      <c r="K61" s="372"/>
      <c r="L61" s="26"/>
      <c r="P61" t="s">
        <v>897</v>
      </c>
      <c r="Q61">
        <v>30</v>
      </c>
      <c r="R61" t="s">
        <v>898</v>
      </c>
    </row>
    <row r="62" spans="1:18" x14ac:dyDescent="0.25">
      <c r="A62" s="82" t="str">
        <f>[13]LossesCalib!X16</f>
        <v>ODS</v>
      </c>
      <c r="B62" s="82">
        <f>[13]LossesCalib!Y16</f>
        <v>0</v>
      </c>
      <c r="C62" s="82">
        <f>[13]LossesCalib!Z16</f>
        <v>0</v>
      </c>
      <c r="D62" s="82">
        <f>[13]LossesCalib!AA16</f>
        <v>381.14143018103408</v>
      </c>
      <c r="F62" s="11"/>
      <c r="H62" s="8" t="s">
        <v>707</v>
      </c>
      <c r="I62" s="8">
        <v>44</v>
      </c>
      <c r="J62" s="373">
        <v>42.5</v>
      </c>
      <c r="K62" s="372"/>
      <c r="L62" s="26">
        <f>I53*D65/(I62*10^9)</f>
        <v>0</v>
      </c>
      <c r="P62" t="s">
        <v>899</v>
      </c>
      <c r="Q62">
        <v>850</v>
      </c>
      <c r="R62" t="s">
        <v>900</v>
      </c>
    </row>
    <row r="63" spans="1:18" x14ac:dyDescent="0.25">
      <c r="A63" s="82">
        <f>[13]LossesCalib!X17</f>
        <v>0</v>
      </c>
      <c r="B63" s="82">
        <f>[13]LossesCalib!Y17</f>
        <v>0</v>
      </c>
      <c r="C63" s="82">
        <f>[13]LossesCalib!Z17</f>
        <v>0</v>
      </c>
      <c r="D63" s="82">
        <f>[13]LossesCalib!AA17</f>
        <v>0</v>
      </c>
      <c r="F63" s="11"/>
      <c r="H63" s="8" t="s">
        <v>901</v>
      </c>
      <c r="I63" s="8">
        <v>0.745</v>
      </c>
      <c r="J63" s="373">
        <v>0.85</v>
      </c>
      <c r="K63" s="372"/>
      <c r="L63" s="26"/>
    </row>
    <row r="64" spans="1:18" x14ac:dyDescent="0.25">
      <c r="A64" s="210"/>
      <c r="B64" s="13"/>
      <c r="C64" s="13"/>
      <c r="D64" s="13"/>
      <c r="E64" s="13"/>
      <c r="F64" s="14"/>
      <c r="J64" s="372"/>
      <c r="K64" s="372"/>
      <c r="L64" s="26"/>
      <c r="P64" t="s">
        <v>902</v>
      </c>
      <c r="Q64">
        <f>Q62/Q61</f>
        <v>28.333333333333332</v>
      </c>
      <c r="R64" t="s">
        <v>903</v>
      </c>
    </row>
    <row r="65" spans="1:26" x14ac:dyDescent="0.25">
      <c r="J65" s="372"/>
      <c r="K65" s="372"/>
      <c r="L65" s="26"/>
      <c r="Q65">
        <f>0.25%*Q64</f>
        <v>7.0833333333333331E-2</v>
      </c>
    </row>
    <row r="66" spans="1:26" x14ac:dyDescent="0.25">
      <c r="J66" s="372"/>
      <c r="K66" s="372"/>
      <c r="L66" s="26"/>
    </row>
    <row r="69" spans="1:26" x14ac:dyDescent="0.25">
      <c r="E69" t="s">
        <v>904</v>
      </c>
      <c r="F69" t="s">
        <v>905</v>
      </c>
      <c r="G69" t="s">
        <v>906</v>
      </c>
      <c r="P69" t="s">
        <v>907</v>
      </c>
      <c r="Z69" t="s">
        <v>908</v>
      </c>
    </row>
    <row r="70" spans="1:26" x14ac:dyDescent="0.25">
      <c r="A70" s="26" t="s">
        <v>909</v>
      </c>
      <c r="E70" t="s">
        <v>910</v>
      </c>
      <c r="F70" t="s">
        <v>911</v>
      </c>
      <c r="G70" t="str">
        <f>E70</f>
        <v>USA$ million</v>
      </c>
      <c r="Y70">
        <v>2000</v>
      </c>
      <c r="Z70">
        <v>93.1</v>
      </c>
    </row>
    <row r="71" spans="1:26" x14ac:dyDescent="0.25">
      <c r="C71" t="s">
        <v>912</v>
      </c>
      <c r="E71">
        <v>380</v>
      </c>
      <c r="F71">
        <v>116</v>
      </c>
      <c r="G71">
        <v>122</v>
      </c>
      <c r="P71" s="254" t="s">
        <v>913</v>
      </c>
      <c r="Y71">
        <v>2010</v>
      </c>
      <c r="Z71">
        <v>114.5</v>
      </c>
    </row>
    <row r="72" spans="1:26" x14ac:dyDescent="0.25">
      <c r="C72" t="s">
        <v>266</v>
      </c>
      <c r="E72">
        <v>135</v>
      </c>
      <c r="F72">
        <v>116</v>
      </c>
      <c r="G72">
        <v>122</v>
      </c>
      <c r="P72" s="8" t="s">
        <v>914</v>
      </c>
      <c r="Q72" s="8"/>
      <c r="R72" s="8"/>
      <c r="S72" s="1">
        <v>7.98</v>
      </c>
      <c r="T72" s="1">
        <v>2.77</v>
      </c>
    </row>
    <row r="73" spans="1:26" x14ac:dyDescent="0.25">
      <c r="P73" s="8" t="s">
        <v>915</v>
      </c>
      <c r="Q73" s="8"/>
      <c r="R73" s="8"/>
      <c r="S73" s="446">
        <v>1.59</v>
      </c>
      <c r="T73" s="374">
        <v>19.5</v>
      </c>
      <c r="Y73" t="s">
        <v>916</v>
      </c>
      <c r="Z73">
        <f>Z71/Z70</f>
        <v>1.2298603651987112</v>
      </c>
    </row>
    <row r="74" spans="1:26" x14ac:dyDescent="0.25">
      <c r="C74" s="26" t="s">
        <v>917</v>
      </c>
      <c r="E74" s="26" t="s">
        <v>918</v>
      </c>
      <c r="F74" s="26" t="s">
        <v>919</v>
      </c>
      <c r="G74" s="26" t="s">
        <v>920</v>
      </c>
      <c r="H74" s="26" t="s">
        <v>865</v>
      </c>
      <c r="I74" s="26" t="s">
        <v>921</v>
      </c>
      <c r="P74" s="8" t="s">
        <v>922</v>
      </c>
      <c r="Q74" s="8"/>
      <c r="R74" s="8"/>
      <c r="S74" s="447"/>
      <c r="T74" s="1">
        <v>11.1</v>
      </c>
    </row>
    <row r="75" spans="1:26" x14ac:dyDescent="0.25">
      <c r="A75" s="375" t="s">
        <v>923</v>
      </c>
      <c r="B75" s="375"/>
      <c r="C75" s="375" t="s">
        <v>924</v>
      </c>
      <c r="D75" s="375" t="s">
        <v>925</v>
      </c>
      <c r="E75" s="375" t="s">
        <v>911</v>
      </c>
      <c r="F75" s="375" t="s">
        <v>926</v>
      </c>
      <c r="G75" s="375" t="s">
        <v>855</v>
      </c>
      <c r="H75" s="375" t="s">
        <v>240</v>
      </c>
      <c r="I75" s="375" t="s">
        <v>859</v>
      </c>
      <c r="J75" s="375" t="s">
        <v>927</v>
      </c>
      <c r="P75" t="s">
        <v>928</v>
      </c>
      <c r="Y75">
        <v>11.3</v>
      </c>
      <c r="Z75" t="s">
        <v>929</v>
      </c>
    </row>
    <row r="76" spans="1:26" x14ac:dyDescent="0.25">
      <c r="A76" s="8" t="s">
        <v>8</v>
      </c>
      <c r="B76" s="8" t="s">
        <v>930</v>
      </c>
      <c r="C76" s="8" t="s">
        <v>931</v>
      </c>
      <c r="D76" s="8" t="s">
        <v>932</v>
      </c>
      <c r="E76" s="8">
        <f>8+61</f>
        <v>69</v>
      </c>
      <c r="F76" s="8">
        <v>62</v>
      </c>
      <c r="G76" s="360">
        <f>D25</f>
        <v>20</v>
      </c>
      <c r="H76" s="360">
        <f>F25</f>
        <v>77.040000000000006</v>
      </c>
      <c r="I76" s="8">
        <f>(F76*$AN$29/H76)*(AE40/Y40)</f>
        <v>7.8800652079419287</v>
      </c>
      <c r="J76" s="8">
        <v>2018</v>
      </c>
    </row>
    <row r="77" spans="1:26" x14ac:dyDescent="0.25">
      <c r="A77" s="8" t="s">
        <v>8</v>
      </c>
      <c r="B77" s="8" t="s">
        <v>933</v>
      </c>
      <c r="C77" s="8" t="s">
        <v>931</v>
      </c>
      <c r="D77" s="8" t="s">
        <v>934</v>
      </c>
      <c r="E77" s="8">
        <v>62</v>
      </c>
      <c r="F77" s="8">
        <v>71</v>
      </c>
      <c r="G77" s="360">
        <f>G76</f>
        <v>20</v>
      </c>
      <c r="H77" s="360">
        <f>H76</f>
        <v>77.040000000000006</v>
      </c>
      <c r="I77" s="8">
        <f>(F77*FuelDistribution!$AN$29/H77)*(AE40/Y40)</f>
        <v>9.0239456413528547</v>
      </c>
      <c r="J77" s="8">
        <v>2018</v>
      </c>
      <c r="P77" s="254" t="s">
        <v>913</v>
      </c>
    </row>
    <row r="78" spans="1:26" x14ac:dyDescent="0.25">
      <c r="A78" s="8" t="s">
        <v>935</v>
      </c>
      <c r="B78" s="8"/>
      <c r="C78" s="8" t="s">
        <v>931</v>
      </c>
      <c r="D78" s="8" t="s">
        <v>936</v>
      </c>
      <c r="E78" s="8"/>
      <c r="F78" s="8"/>
      <c r="G78" s="8"/>
      <c r="H78" s="8"/>
      <c r="I78" s="8"/>
      <c r="J78" s="8"/>
      <c r="P78" s="8" t="s">
        <v>914</v>
      </c>
      <c r="Q78" s="8"/>
      <c r="R78" s="8"/>
      <c r="S78" s="374">
        <f>S72*$Z$73</f>
        <v>9.8142857142857167</v>
      </c>
      <c r="T78" s="374">
        <f>T72*$Z$73</f>
        <v>3.4067132116004299</v>
      </c>
    </row>
    <row r="79" spans="1:26" x14ac:dyDescent="0.25">
      <c r="A79" s="8" t="s">
        <v>935</v>
      </c>
      <c r="B79" s="8"/>
      <c r="C79" s="8" t="s">
        <v>931</v>
      </c>
      <c r="D79" s="8" t="s">
        <v>937</v>
      </c>
      <c r="E79" s="8"/>
      <c r="F79" s="8"/>
      <c r="G79" s="8"/>
      <c r="H79" s="8"/>
      <c r="I79" s="8"/>
      <c r="J79" s="8"/>
      <c r="P79" s="8" t="s">
        <v>915</v>
      </c>
      <c r="Q79" s="8"/>
      <c r="R79" s="8"/>
      <c r="S79" s="448">
        <f>S73*Z73</f>
        <v>1.955477980665951</v>
      </c>
      <c r="T79" s="374">
        <f>T73*$Z$73</f>
        <v>23.982277121374867</v>
      </c>
    </row>
    <row r="80" spans="1:26" x14ac:dyDescent="0.25">
      <c r="A80" s="8" t="s">
        <v>935</v>
      </c>
      <c r="B80" s="8"/>
      <c r="C80" s="8" t="s">
        <v>938</v>
      </c>
      <c r="D80" s="8"/>
      <c r="E80" s="8">
        <v>105</v>
      </c>
      <c r="F80" s="8">
        <v>75</v>
      </c>
      <c r="G80" s="361">
        <f>C42</f>
        <v>5.6437499999999998</v>
      </c>
      <c r="H80" s="361">
        <f>D42</f>
        <v>8.5589468503937027</v>
      </c>
      <c r="I80" s="361">
        <f>F80*FuelDistribution!$AN$29/H80+$H$42</f>
        <v>80.994982809790869</v>
      </c>
      <c r="J80" s="8">
        <v>2020</v>
      </c>
      <c r="P80" s="8" t="s">
        <v>922</v>
      </c>
      <c r="Q80" s="8"/>
      <c r="R80" s="8"/>
      <c r="S80" s="449"/>
      <c r="T80" s="374">
        <f>T74*$Z$73</f>
        <v>13.651450053705695</v>
      </c>
    </row>
    <row r="81" spans="1:21" x14ac:dyDescent="0.25">
      <c r="A81" s="8" t="s">
        <v>935</v>
      </c>
      <c r="B81" s="8"/>
      <c r="C81" s="8" t="s">
        <v>939</v>
      </c>
      <c r="D81" s="8"/>
      <c r="E81" s="8">
        <v>8</v>
      </c>
      <c r="F81" s="8">
        <v>5.5</v>
      </c>
      <c r="G81" s="361">
        <f>G80</f>
        <v>5.6437499999999998</v>
      </c>
      <c r="H81" s="361">
        <f>H80</f>
        <v>8.5589468503937027</v>
      </c>
      <c r="I81" s="361">
        <f>F81*FuelDistribution!$AN$29/H81+$H$42</f>
        <v>14.445554501900389</v>
      </c>
      <c r="J81" s="8">
        <v>2020</v>
      </c>
      <c r="P81" t="s">
        <v>940</v>
      </c>
    </row>
    <row r="82" spans="1:21" x14ac:dyDescent="0.25">
      <c r="A82" s="8"/>
      <c r="B82" s="8"/>
      <c r="C82" s="8" t="s">
        <v>941</v>
      </c>
      <c r="D82" s="8"/>
      <c r="E82" s="8">
        <v>13</v>
      </c>
      <c r="F82" s="8">
        <f>8.5</f>
        <v>8.5</v>
      </c>
      <c r="G82" s="361">
        <f>G81</f>
        <v>5.6437499999999998</v>
      </c>
      <c r="H82" s="361">
        <f>H81</f>
        <v>8.5589468503937027</v>
      </c>
      <c r="I82" s="361">
        <f>F82*FuelDistribution!$AN$29/H82+$H$42</f>
        <v>17.318191695046742</v>
      </c>
      <c r="J82" s="8">
        <v>2020</v>
      </c>
    </row>
    <row r="83" spans="1:21" x14ac:dyDescent="0.25">
      <c r="P83" s="254" t="s">
        <v>913</v>
      </c>
      <c r="U83" t="s">
        <v>942</v>
      </c>
    </row>
    <row r="84" spans="1:21" x14ac:dyDescent="0.25">
      <c r="D84" t="s">
        <v>943</v>
      </c>
      <c r="E84" t="s">
        <v>944</v>
      </c>
      <c r="F84" t="s">
        <v>945</v>
      </c>
      <c r="G84" t="s">
        <v>131</v>
      </c>
      <c r="H84" s="237" t="s">
        <v>946</v>
      </c>
      <c r="P84" s="8" t="s">
        <v>914</v>
      </c>
      <c r="Q84" s="8"/>
      <c r="R84" s="8"/>
      <c r="S84" s="374">
        <f>S78*$Y$75</f>
        <v>110.90142857142861</v>
      </c>
      <c r="T84" s="374">
        <f>T78*$Y$75</f>
        <v>38.495859291084862</v>
      </c>
    </row>
    <row r="85" spans="1:21" x14ac:dyDescent="0.25">
      <c r="D85" t="s">
        <v>859</v>
      </c>
      <c r="H85" s="237" t="s">
        <v>859</v>
      </c>
      <c r="P85" s="8" t="s">
        <v>915</v>
      </c>
      <c r="Q85" s="8"/>
      <c r="R85" s="8"/>
      <c r="S85" s="448">
        <f>S79*Y75</f>
        <v>22.096901181525247</v>
      </c>
      <c r="T85" s="374">
        <f>T79*$Y$75</f>
        <v>270.99973147153599</v>
      </c>
    </row>
    <row r="86" spans="1:21" x14ac:dyDescent="0.25">
      <c r="C86" t="s">
        <v>947</v>
      </c>
      <c r="D86" s="342">
        <f>AVERAGE(I80:I82)</f>
        <v>37.586243002246</v>
      </c>
      <c r="F86" s="342">
        <f>D86*10%</f>
        <v>3.7586243002246</v>
      </c>
      <c r="G86">
        <v>60</v>
      </c>
      <c r="H86" s="82">
        <f>$T$89</f>
        <v>425.26111707841039</v>
      </c>
      <c r="P86" s="8" t="s">
        <v>922</v>
      </c>
      <c r="Q86" s="8"/>
      <c r="R86" s="8"/>
      <c r="S86" s="449"/>
      <c r="T86" s="374">
        <f>T80*$Y$75</f>
        <v>154.26138560687437</v>
      </c>
    </row>
    <row r="87" spans="1:21" x14ac:dyDescent="0.25">
      <c r="C87" t="s">
        <v>948</v>
      </c>
      <c r="D87" s="342">
        <f>D86</f>
        <v>37.586243002246</v>
      </c>
      <c r="F87" s="342">
        <f>D87*10%</f>
        <v>3.7586243002246</v>
      </c>
      <c r="G87">
        <v>60</v>
      </c>
      <c r="H87" s="82">
        <f>H86*0.95</f>
        <v>403.99806122448985</v>
      </c>
      <c r="P87" t="s">
        <v>949</v>
      </c>
    </row>
    <row r="88" spans="1:21" x14ac:dyDescent="0.25">
      <c r="C88" t="s">
        <v>950</v>
      </c>
      <c r="D88" s="342">
        <f>D87</f>
        <v>37.586243002246</v>
      </c>
      <c r="F88" s="342">
        <f>D88*10%</f>
        <v>3.7586243002246</v>
      </c>
      <c r="G88">
        <v>60</v>
      </c>
      <c r="H88" s="82">
        <f>H86</f>
        <v>425.26111707841039</v>
      </c>
    </row>
    <row r="89" spans="1:21" x14ac:dyDescent="0.25">
      <c r="C89" t="s">
        <v>951</v>
      </c>
      <c r="D89" s="342">
        <f>D88</f>
        <v>37.586243002246</v>
      </c>
      <c r="F89" s="342">
        <f>D89*10%</f>
        <v>3.7586243002246</v>
      </c>
      <c r="G89">
        <v>60</v>
      </c>
      <c r="H89" s="82">
        <f>H87</f>
        <v>403.99806122448985</v>
      </c>
      <c r="P89" s="254"/>
      <c r="S89" s="257" t="s">
        <v>952</v>
      </c>
      <c r="T89" s="82">
        <f>T86+T85</f>
        <v>425.26111707841039</v>
      </c>
      <c r="U89" t="s">
        <v>903</v>
      </c>
    </row>
    <row r="90" spans="1:21" x14ac:dyDescent="0.25">
      <c r="S90" s="257" t="s">
        <v>953</v>
      </c>
      <c r="T90">
        <v>0.7</v>
      </c>
    </row>
    <row r="91" spans="1:21" x14ac:dyDescent="0.25">
      <c r="C91" t="s">
        <v>954</v>
      </c>
      <c r="D91" s="82">
        <f>I57</f>
        <v>25.463596835812123</v>
      </c>
      <c r="G91">
        <v>60</v>
      </c>
      <c r="T91">
        <f>T90*T89</f>
        <v>297.68278195488728</v>
      </c>
      <c r="U91" t="s">
        <v>903</v>
      </c>
    </row>
    <row r="92" spans="1:21" x14ac:dyDescent="0.25">
      <c r="C92" t="s">
        <v>955</v>
      </c>
      <c r="D92" s="82">
        <f>J57</f>
        <v>25.827936915797132</v>
      </c>
      <c r="G92">
        <v>60</v>
      </c>
    </row>
    <row r="94" spans="1:21" x14ac:dyDescent="0.25">
      <c r="A94" s="26" t="s">
        <v>956</v>
      </c>
    </row>
    <row r="95" spans="1:21" x14ac:dyDescent="0.25">
      <c r="B95" t="s">
        <v>5</v>
      </c>
      <c r="C95" t="s">
        <v>6</v>
      </c>
      <c r="D95" t="s">
        <v>7</v>
      </c>
      <c r="E95" t="s">
        <v>8</v>
      </c>
      <c r="F95" t="s">
        <v>9</v>
      </c>
      <c r="G95" t="s">
        <v>10</v>
      </c>
      <c r="H95" t="s">
        <v>11</v>
      </c>
    </row>
    <row r="96" spans="1:21" x14ac:dyDescent="0.25">
      <c r="A96" t="s">
        <v>171</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209</v>
      </c>
      <c r="E97" s="82">
        <f>I57</f>
        <v>25.463596835812123</v>
      </c>
    </row>
    <row r="98" spans="1:15" x14ac:dyDescent="0.25">
      <c r="A98" t="s">
        <v>207</v>
      </c>
      <c r="E98" s="82">
        <f>J57</f>
        <v>25.827936915797132</v>
      </c>
      <c r="O98">
        <f>_xlfn.SINGLE(zar.2010)</f>
        <v>1.3094103081137336</v>
      </c>
    </row>
    <row r="101" spans="1:15" x14ac:dyDescent="0.25">
      <c r="A101" t="s">
        <v>957</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958</v>
      </c>
      <c r="B102" s="254">
        <v>0.08</v>
      </c>
    </row>
    <row r="103" spans="1:15" x14ac:dyDescent="0.25">
      <c r="A103" t="s">
        <v>131</v>
      </c>
      <c r="B103">
        <v>60</v>
      </c>
    </row>
    <row r="106" spans="1:15" x14ac:dyDescent="0.25">
      <c r="A106" t="s">
        <v>959</v>
      </c>
      <c r="B106" t="s">
        <v>960</v>
      </c>
      <c r="C106" t="s">
        <v>959</v>
      </c>
      <c r="D106" t="s">
        <v>960</v>
      </c>
    </row>
    <row r="107" spans="1:15" x14ac:dyDescent="0.25">
      <c r="A107" s="255" t="s">
        <v>961</v>
      </c>
      <c r="B107" s="376" t="s">
        <v>961</v>
      </c>
      <c r="C107" s="255" t="s">
        <v>962</v>
      </c>
      <c r="D107" s="376" t="s">
        <v>851</v>
      </c>
    </row>
    <row r="108" spans="1:15" x14ac:dyDescent="0.25">
      <c r="A108" s="26" t="s">
        <v>856</v>
      </c>
      <c r="B108" s="377" t="s">
        <v>855</v>
      </c>
      <c r="C108" s="26" t="s">
        <v>963</v>
      </c>
      <c r="D108" s="377" t="s">
        <v>964</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965</v>
      </c>
      <c r="B117" s="378" t="s">
        <v>966</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2023-09-25T13:40:52Z</dcterms:modified>
</cp:coreProperties>
</file>