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ATIMGE_02\CGE\"/>
    </mc:Choice>
  </mc:AlternateContent>
  <xr:revisionPtr revIDLastSave="0" documentId="13_ncr:1_{58AC2118-8D1A-429B-992A-FAC735777A57}" xr6:coauthVersionLast="34" xr6:coauthVersionMax="34" xr10:uidLastSave="{00000000-0000-0000-0000-000000000000}"/>
  <bookViews>
    <workbookView xWindow="0" yWindow="0" windowWidth="22044" windowHeight="9708" tabRatio="738" activeTab="6" xr2:uid="{9F3C3482-07EC-424C-9137-167A16203894}"/>
  </bookViews>
  <sheets>
    <sheet name="Concordance" sheetId="2" r:id="rId1"/>
    <sheet name="2012 SAM" sheetId="1" r:id="rId2"/>
    <sheet name="QLFS_Quantec" sheetId="3" r:id="rId3"/>
    <sheet name="QLFS_NT" sheetId="5" r:id="rId4"/>
    <sheet name="Employment Comparison" sheetId="6" r:id="rId5"/>
    <sheet name="Employment Wagebill" sheetId="7" r:id="rId6"/>
    <sheet name="Calc" sheetId="8" r:id="rId7"/>
    <sheet name="For CGE" sheetId="9" r:id="rId8"/>
    <sheet name="Sheet5" sheetId="10" r:id="rId9"/>
  </sheets>
  <externalReferences>
    <externalReference r:id="rId10"/>
  </externalReferenc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D25" i="8" l="1"/>
  <c r="BC16" i="8"/>
  <c r="BD24" i="8"/>
  <c r="BD23" i="8"/>
  <c r="BD22" i="8"/>
  <c r="BD21" i="8"/>
  <c r="BD20" i="8"/>
  <c r="BD19" i="8"/>
  <c r="BD18" i="8"/>
  <c r="BD17" i="8"/>
  <c r="BD16" i="8"/>
  <c r="L17" i="3"/>
  <c r="K17" i="3"/>
  <c r="J17" i="3"/>
  <c r="I17" i="3"/>
  <c r="H17" i="3"/>
  <c r="G17" i="3"/>
  <c r="F17" i="3"/>
  <c r="E17" i="3"/>
  <c r="D17" i="3"/>
  <c r="AI36" i="8"/>
  <c r="AH36" i="8"/>
  <c r="AG36" i="8"/>
  <c r="AF36" i="8"/>
  <c r="BG18" i="8" l="1"/>
  <c r="BG25" i="8"/>
  <c r="BG24" i="8"/>
  <c r="BG23" i="8"/>
  <c r="BG22" i="8"/>
  <c r="BG21" i="8"/>
  <c r="BG20" i="8"/>
  <c r="BG19" i="8"/>
  <c r="BG17" i="8"/>
  <c r="BG16" i="8"/>
  <c r="D2" i="6" l="1" a="1"/>
  <c r="D2" i="6" s="1"/>
  <c r="D4" i="6"/>
  <c r="D5" i="6"/>
  <c r="D8" i="6"/>
  <c r="BD9" i="8" s="1"/>
  <c r="D9" i="6"/>
  <c r="BD10" i="8"/>
  <c r="BD6" i="8"/>
  <c r="BD5" i="8"/>
  <c r="BD3" i="8"/>
  <c r="J49" i="8"/>
  <c r="J48" i="8"/>
  <c r="J47" i="8"/>
  <c r="J46" i="8"/>
  <c r="J45" i="8"/>
  <c r="J44" i="8"/>
  <c r="J43" i="8"/>
  <c r="J42" i="8"/>
  <c r="J41" i="8"/>
  <c r="J40" i="8"/>
  <c r="J39" i="8"/>
  <c r="J38" i="8"/>
  <c r="J37" i="8"/>
  <c r="J36" i="8"/>
  <c r="J35" i="8"/>
  <c r="J34" i="8"/>
  <c r="J33" i="8"/>
  <c r="J32" i="8"/>
  <c r="J31" i="8"/>
  <c r="J30" i="8"/>
  <c r="J29" i="8"/>
  <c r="J28" i="8"/>
  <c r="J27" i="8"/>
  <c r="J26" i="8"/>
  <c r="J25" i="8"/>
  <c r="J24" i="8"/>
  <c r="J23" i="8"/>
  <c r="J22" i="8"/>
  <c r="J21" i="8"/>
  <c r="J20" i="8"/>
  <c r="J19" i="8"/>
  <c r="J18" i="8"/>
  <c r="J17" i="8"/>
  <c r="J16" i="8"/>
  <c r="J15" i="8"/>
  <c r="J14" i="8"/>
  <c r="J13" i="8"/>
  <c r="J12" i="8"/>
  <c r="J11" i="8"/>
  <c r="J10" i="8"/>
  <c r="J9" i="8"/>
  <c r="J8" i="8"/>
  <c r="J7" i="8"/>
  <c r="J6" i="8"/>
  <c r="J5" i="8"/>
  <c r="J4" i="8"/>
  <c r="J3" i="8"/>
  <c r="B64" i="8"/>
  <c r="A64" i="8"/>
  <c r="B63" i="8"/>
  <c r="A63" i="8"/>
  <c r="B62" i="8"/>
  <c r="A62" i="8"/>
  <c r="B61" i="8"/>
  <c r="A61" i="8"/>
  <c r="B60" i="8"/>
  <c r="A60" i="8"/>
  <c r="B59" i="8"/>
  <c r="A59" i="8"/>
  <c r="B58" i="8"/>
  <c r="A58" i="8"/>
  <c r="B57" i="8"/>
  <c r="A57" i="8"/>
  <c r="B56" i="8"/>
  <c r="A56" i="8"/>
  <c r="B55" i="8"/>
  <c r="A55" i="8"/>
  <c r="B54" i="8"/>
  <c r="A54" i="8"/>
  <c r="B53" i="8"/>
  <c r="A53" i="8"/>
  <c r="B52" i="8"/>
  <c r="A52" i="8"/>
  <c r="B51" i="8"/>
  <c r="A51" i="8"/>
  <c r="B50" i="8"/>
  <c r="A50" i="8"/>
  <c r="B49" i="8"/>
  <c r="A49" i="8"/>
  <c r="B48" i="8"/>
  <c r="A48" i="8"/>
  <c r="B47" i="8"/>
  <c r="A47" i="8"/>
  <c r="B46" i="8"/>
  <c r="A46" i="8"/>
  <c r="B45" i="8"/>
  <c r="A45" i="8"/>
  <c r="B44" i="8"/>
  <c r="A44" i="8"/>
  <c r="B43" i="8"/>
  <c r="A43" i="8"/>
  <c r="B42" i="8"/>
  <c r="A42" i="8"/>
  <c r="B41" i="8"/>
  <c r="A41" i="8"/>
  <c r="B40" i="8"/>
  <c r="A40" i="8"/>
  <c r="B39" i="8"/>
  <c r="A39" i="8"/>
  <c r="B38" i="8"/>
  <c r="A38" i="8"/>
  <c r="B37" i="8"/>
  <c r="A37" i="8"/>
  <c r="B36" i="8"/>
  <c r="A36" i="8"/>
  <c r="B35" i="8"/>
  <c r="A35" i="8"/>
  <c r="B34" i="8"/>
  <c r="A34" i="8"/>
  <c r="B33" i="8"/>
  <c r="A33" i="8"/>
  <c r="B32" i="8"/>
  <c r="A32" i="8"/>
  <c r="B31" i="8"/>
  <c r="A31" i="8"/>
  <c r="B30" i="8"/>
  <c r="A30" i="8"/>
  <c r="B29" i="8"/>
  <c r="A29" i="8"/>
  <c r="B28" i="8"/>
  <c r="A28" i="8"/>
  <c r="B27" i="8"/>
  <c r="A27" i="8"/>
  <c r="B26" i="8"/>
  <c r="A26" i="8"/>
  <c r="B25" i="8"/>
  <c r="A25" i="8"/>
  <c r="B24" i="8"/>
  <c r="A24" i="8"/>
  <c r="B23" i="8"/>
  <c r="A23" i="8"/>
  <c r="B22" i="8"/>
  <c r="A22" i="8"/>
  <c r="B21" i="8"/>
  <c r="A21" i="8"/>
  <c r="B20" i="8"/>
  <c r="A20" i="8"/>
  <c r="B19" i="8"/>
  <c r="A19" i="8"/>
  <c r="B18" i="8"/>
  <c r="A18" i="8"/>
  <c r="B17" i="8"/>
  <c r="A17" i="8"/>
  <c r="B16" i="8"/>
  <c r="A16" i="8"/>
  <c r="B15" i="8"/>
  <c r="A15" i="8"/>
  <c r="B14" i="8"/>
  <c r="A14" i="8"/>
  <c r="B13" i="8"/>
  <c r="A13" i="8"/>
  <c r="B12" i="8"/>
  <c r="A12" i="8"/>
  <c r="B11" i="8"/>
  <c r="A11" i="8"/>
  <c r="B10" i="8"/>
  <c r="A10" i="8"/>
  <c r="B9" i="8"/>
  <c r="A9" i="8"/>
  <c r="B8" i="8"/>
  <c r="A8" i="8"/>
  <c r="B7" i="8"/>
  <c r="A7" i="8"/>
  <c r="B6" i="8"/>
  <c r="A6" i="8"/>
  <c r="B5" i="8"/>
  <c r="A5" i="8"/>
  <c r="B4" i="8"/>
  <c r="A4" i="8"/>
  <c r="A3" i="8"/>
  <c r="B3" i="8"/>
  <c r="A64" i="5"/>
  <c r="A63" i="5"/>
  <c r="A62" i="5"/>
  <c r="A61" i="5"/>
  <c r="A60" i="5"/>
  <c r="A59" i="5"/>
  <c r="A58" i="5"/>
  <c r="A57" i="5"/>
  <c r="A56" i="5"/>
  <c r="A55" i="5"/>
  <c r="A54" i="5"/>
  <c r="A53" i="5"/>
  <c r="A52" i="5"/>
  <c r="A51" i="5"/>
  <c r="A50" i="5"/>
  <c r="A49" i="5"/>
  <c r="A48" i="5"/>
  <c r="A47" i="5"/>
  <c r="A46" i="5"/>
  <c r="A45" i="5"/>
  <c r="A44" i="5"/>
  <c r="A43" i="5"/>
  <c r="A42" i="5"/>
  <c r="A41" i="5"/>
  <c r="A40" i="5"/>
  <c r="A39" i="5"/>
  <c r="A38" i="5"/>
  <c r="A37" i="5"/>
  <c r="A36" i="5"/>
  <c r="A35" i="5"/>
  <c r="A34" i="5"/>
  <c r="A33" i="5"/>
  <c r="A32" i="5"/>
  <c r="A31" i="5"/>
  <c r="A30" i="5"/>
  <c r="A29" i="5"/>
  <c r="A28" i="5"/>
  <c r="A27" i="5"/>
  <c r="A26" i="5"/>
  <c r="A25" i="5"/>
  <c r="A24" i="5"/>
  <c r="A23" i="5"/>
  <c r="A22" i="5"/>
  <c r="A21" i="5"/>
  <c r="A20" i="5"/>
  <c r="A19" i="5"/>
  <c r="A18" i="5"/>
  <c r="A17" i="5"/>
  <c r="A16" i="5"/>
  <c r="A15" i="5"/>
  <c r="A14" i="5"/>
  <c r="A13" i="5"/>
  <c r="A12" i="5"/>
  <c r="A11" i="5"/>
  <c r="A10" i="5"/>
  <c r="A9" i="5"/>
  <c r="A8" i="5"/>
  <c r="A7" i="5"/>
  <c r="A6" i="5"/>
  <c r="A5" i="5"/>
  <c r="A4" i="5"/>
  <c r="X12" i="5" s="1"/>
  <c r="J4" i="7" s="1"/>
  <c r="A3" i="5"/>
  <c r="D7" i="6" l="1"/>
  <c r="BD8" i="8" s="1"/>
  <c r="D3" i="6"/>
  <c r="BD4" i="8" s="1"/>
  <c r="BD12" i="8" s="1"/>
  <c r="D10" i="6"/>
  <c r="BD11" i="8" s="1"/>
  <c r="D6" i="6"/>
  <c r="BD7" i="8" s="1"/>
  <c r="X15" i="5"/>
  <c r="J7" i="7" s="1"/>
  <c r="U6" i="5"/>
  <c r="X11" i="5"/>
  <c r="J3" i="7" s="1"/>
  <c r="W15" i="5"/>
  <c r="I7" i="7" s="1"/>
  <c r="Y4" i="5"/>
  <c r="Y6" i="5"/>
  <c r="Y8" i="5"/>
  <c r="T12" i="5"/>
  <c r="F4" i="7" s="1"/>
  <c r="T14" i="5"/>
  <c r="F6" i="7" s="1"/>
  <c r="U8" i="5"/>
  <c r="X13" i="5"/>
  <c r="J5" i="7" s="1"/>
  <c r="U7" i="5"/>
  <c r="U4" i="5"/>
  <c r="Z15" i="5"/>
  <c r="L7" i="7" s="1"/>
  <c r="Z14" i="5"/>
  <c r="L6" i="7" s="1"/>
  <c r="Z13" i="5"/>
  <c r="L5" i="7" s="1"/>
  <c r="Z12" i="5"/>
  <c r="L4" i="7" s="1"/>
  <c r="Z11" i="5"/>
  <c r="L3" i="7" s="1"/>
  <c r="R15" i="5"/>
  <c r="D7" i="7" s="1"/>
  <c r="S8" i="5"/>
  <c r="S7" i="5"/>
  <c r="S6" i="5"/>
  <c r="S5" i="5"/>
  <c r="S4" i="5"/>
  <c r="V15" i="5"/>
  <c r="H7" i="7" s="1"/>
  <c r="V14" i="5"/>
  <c r="H6" i="7" s="1"/>
  <c r="V13" i="5"/>
  <c r="H5" i="7" s="1"/>
  <c r="V12" i="5"/>
  <c r="H4" i="7" s="1"/>
  <c r="V11" i="5"/>
  <c r="H3" i="7" s="1"/>
  <c r="R11" i="5"/>
  <c r="D3" i="7" s="1"/>
  <c r="W8" i="5"/>
  <c r="W7" i="5"/>
  <c r="W6" i="5"/>
  <c r="W5" i="5"/>
  <c r="W4" i="5"/>
  <c r="R5" i="5"/>
  <c r="R4" i="5"/>
  <c r="U5" i="5"/>
  <c r="R13" i="5"/>
  <c r="D5" i="7" s="1"/>
  <c r="X14" i="5"/>
  <c r="J6" i="7" s="1"/>
  <c r="R7" i="5"/>
  <c r="Y5" i="5"/>
  <c r="Y7" i="5"/>
  <c r="T11" i="5"/>
  <c r="F3" i="7" s="1"/>
  <c r="T13" i="5"/>
  <c r="F5" i="7" s="1"/>
  <c r="T15" i="5"/>
  <c r="F7" i="7" s="1"/>
  <c r="R8" i="5"/>
  <c r="V4" i="5"/>
  <c r="Z4" i="5"/>
  <c r="V5" i="5"/>
  <c r="Z5" i="5"/>
  <c r="V6" i="5"/>
  <c r="Z6" i="5"/>
  <c r="V7" i="5"/>
  <c r="Z7" i="5"/>
  <c r="V8" i="5"/>
  <c r="Z8" i="5"/>
  <c r="R14" i="5"/>
  <c r="D6" i="7" s="1"/>
  <c r="U11" i="5"/>
  <c r="G3" i="7" s="1"/>
  <c r="Y11" i="5"/>
  <c r="K3" i="7" s="1"/>
  <c r="U12" i="5"/>
  <c r="G4" i="7" s="1"/>
  <c r="Y12" i="5"/>
  <c r="K4" i="7" s="1"/>
  <c r="U13" i="5"/>
  <c r="G5" i="7" s="1"/>
  <c r="Y13" i="5"/>
  <c r="K5" i="7" s="1"/>
  <c r="U14" i="5"/>
  <c r="G6" i="7" s="1"/>
  <c r="Y14" i="5"/>
  <c r="K6" i="7" s="1"/>
  <c r="U15" i="5"/>
  <c r="G7" i="7" s="1"/>
  <c r="Y15" i="5"/>
  <c r="K7" i="7" s="1"/>
  <c r="R6" i="5"/>
  <c r="T4" i="5"/>
  <c r="X4" i="5"/>
  <c r="T5" i="5"/>
  <c r="X5" i="5"/>
  <c r="T6" i="5"/>
  <c r="X6" i="5"/>
  <c r="T7" i="5"/>
  <c r="X7" i="5"/>
  <c r="T8" i="5"/>
  <c r="X8" i="5"/>
  <c r="R12" i="5"/>
  <c r="D4" i="7" s="1"/>
  <c r="S11" i="5"/>
  <c r="E3" i="7" s="1"/>
  <c r="W11" i="5"/>
  <c r="I3" i="7" s="1"/>
  <c r="S12" i="5"/>
  <c r="E4" i="7" s="1"/>
  <c r="W12" i="5"/>
  <c r="I4" i="7" s="1"/>
  <c r="S13" i="5"/>
  <c r="E5" i="7" s="1"/>
  <c r="W13" i="5"/>
  <c r="I5" i="7" s="1"/>
  <c r="S14" i="5"/>
  <c r="E6" i="7" s="1"/>
  <c r="W14" i="5"/>
  <c r="I6" i="7" s="1"/>
  <c r="S15" i="5"/>
  <c r="E7" i="7" s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L12" i="3"/>
  <c r="L11" i="3"/>
  <c r="L10" i="3"/>
  <c r="L9" i="3"/>
  <c r="L8" i="3"/>
  <c r="L7" i="3"/>
  <c r="L6" i="3"/>
  <c r="L5" i="3"/>
  <c r="L4" i="3"/>
  <c r="L3" i="3"/>
  <c r="L2" i="3"/>
  <c r="D12" i="6" l="1"/>
  <c r="C2" i="6" a="1"/>
  <c r="C4" i="1" a="1"/>
  <c r="F10" i="1" s="1"/>
  <c r="L9" i="9" l="1"/>
  <c r="C2" i="6"/>
  <c r="F2" i="6" s="1"/>
  <c r="C9" i="6"/>
  <c r="F9" i="6" s="1"/>
  <c r="C10" i="6"/>
  <c r="F10" i="6" s="1"/>
  <c r="C7" i="6"/>
  <c r="F7" i="6" s="1"/>
  <c r="C6" i="6"/>
  <c r="F6" i="6" s="1"/>
  <c r="C8" i="6"/>
  <c r="F8" i="6" s="1"/>
  <c r="C3" i="6"/>
  <c r="C5" i="6"/>
  <c r="F5" i="6" s="1"/>
  <c r="C4" i="6"/>
  <c r="F4" i="6" s="1"/>
  <c r="F70" i="1"/>
  <c r="F66" i="1"/>
  <c r="F62" i="1"/>
  <c r="L61" i="9" s="1"/>
  <c r="F58" i="1"/>
  <c r="L57" i="9" s="1"/>
  <c r="F54" i="1"/>
  <c r="F50" i="1"/>
  <c r="L49" i="9" s="1"/>
  <c r="F46" i="1"/>
  <c r="L45" i="9" s="1"/>
  <c r="F42" i="1"/>
  <c r="F38" i="1"/>
  <c r="F34" i="1"/>
  <c r="F30" i="1"/>
  <c r="F26" i="1"/>
  <c r="L25" i="9" s="1"/>
  <c r="C22" i="1"/>
  <c r="C14" i="1"/>
  <c r="C70" i="1"/>
  <c r="C66" i="1"/>
  <c r="C62" i="1"/>
  <c r="I61" i="9" s="1"/>
  <c r="C58" i="1"/>
  <c r="I57" i="9" s="1"/>
  <c r="C54" i="1"/>
  <c r="C50" i="1"/>
  <c r="I49" i="9" s="1"/>
  <c r="C46" i="1"/>
  <c r="I45" i="9" s="1"/>
  <c r="C42" i="1"/>
  <c r="C38" i="1"/>
  <c r="C34" i="1"/>
  <c r="C30" i="1"/>
  <c r="C26" i="1"/>
  <c r="I25" i="9" s="1"/>
  <c r="C21" i="1"/>
  <c r="C13" i="1"/>
  <c r="I12" i="9" s="1"/>
  <c r="F67" i="1"/>
  <c r="F65" i="1"/>
  <c r="L64" i="9" s="1"/>
  <c r="F63" i="1"/>
  <c r="F61" i="1"/>
  <c r="L60" i="9" s="1"/>
  <c r="F59" i="1"/>
  <c r="L58" i="9" s="1"/>
  <c r="F57" i="1"/>
  <c r="F55" i="1"/>
  <c r="F53" i="1"/>
  <c r="F51" i="1"/>
  <c r="L50" i="9" s="1"/>
  <c r="F49" i="1"/>
  <c r="L48" i="9" s="1"/>
  <c r="F47" i="1"/>
  <c r="L46" i="9" s="1"/>
  <c r="F45" i="1"/>
  <c r="L44" i="9" s="1"/>
  <c r="F43" i="1"/>
  <c r="F41" i="1"/>
  <c r="F39" i="1"/>
  <c r="F37" i="1"/>
  <c r="F35" i="1"/>
  <c r="F33" i="1"/>
  <c r="F31" i="1"/>
  <c r="F29" i="1"/>
  <c r="F27" i="1"/>
  <c r="F25" i="1"/>
  <c r="L24" i="9" s="1"/>
  <c r="F23" i="1"/>
  <c r="C20" i="1"/>
  <c r="C16" i="1"/>
  <c r="C12" i="1"/>
  <c r="I11" i="9" s="1"/>
  <c r="C8" i="1"/>
  <c r="F68" i="1"/>
  <c r="F64" i="1"/>
  <c r="L63" i="9" s="1"/>
  <c r="F60" i="1"/>
  <c r="F56" i="1"/>
  <c r="F52" i="1"/>
  <c r="F48" i="1"/>
  <c r="L47" i="9" s="1"/>
  <c r="F44" i="1"/>
  <c r="L43" i="9" s="1"/>
  <c r="F40" i="1"/>
  <c r="F36" i="1"/>
  <c r="F32" i="1"/>
  <c r="F28" i="1"/>
  <c r="F24" i="1"/>
  <c r="L23" i="9" s="1"/>
  <c r="C18" i="1"/>
  <c r="C10" i="1"/>
  <c r="C68" i="1"/>
  <c r="C64" i="1"/>
  <c r="I63" i="9" s="1"/>
  <c r="C60" i="1"/>
  <c r="C56" i="1"/>
  <c r="C52" i="1"/>
  <c r="C48" i="1"/>
  <c r="I47" i="9" s="1"/>
  <c r="C44" i="1"/>
  <c r="I43" i="9" s="1"/>
  <c r="C40" i="1"/>
  <c r="C36" i="1"/>
  <c r="C32" i="1"/>
  <c r="C28" i="1"/>
  <c r="C24" i="1"/>
  <c r="I23" i="9" s="1"/>
  <c r="C17" i="1"/>
  <c r="C9" i="1"/>
  <c r="F69" i="1"/>
  <c r="C69" i="1"/>
  <c r="C67" i="1"/>
  <c r="C65" i="1"/>
  <c r="I64" i="9" s="1"/>
  <c r="C63" i="1"/>
  <c r="C61" i="1"/>
  <c r="I60" i="9" s="1"/>
  <c r="C59" i="1"/>
  <c r="I58" i="9" s="1"/>
  <c r="C57" i="1"/>
  <c r="C55" i="1"/>
  <c r="C53" i="1"/>
  <c r="C51" i="1"/>
  <c r="I50" i="9" s="1"/>
  <c r="C49" i="1"/>
  <c r="I48" i="9" s="1"/>
  <c r="C47" i="1"/>
  <c r="I46" i="9" s="1"/>
  <c r="C45" i="1"/>
  <c r="I44" i="9" s="1"/>
  <c r="C43" i="1"/>
  <c r="C41" i="1"/>
  <c r="C39" i="1"/>
  <c r="C37" i="1"/>
  <c r="C35" i="1"/>
  <c r="C33" i="1"/>
  <c r="C31" i="1"/>
  <c r="C29" i="1"/>
  <c r="C27" i="1"/>
  <c r="C25" i="1"/>
  <c r="I24" i="9" s="1"/>
  <c r="C23" i="1"/>
  <c r="C19" i="1"/>
  <c r="C15" i="1"/>
  <c r="C11" i="1"/>
  <c r="I10" i="9" s="1"/>
  <c r="C7" i="1"/>
  <c r="C6" i="1"/>
  <c r="E70" i="1"/>
  <c r="E69" i="1"/>
  <c r="E68" i="1"/>
  <c r="E67" i="1"/>
  <c r="E66" i="1"/>
  <c r="E65" i="1"/>
  <c r="K64" i="9" s="1"/>
  <c r="E64" i="1"/>
  <c r="K63" i="9" s="1"/>
  <c r="E63" i="1"/>
  <c r="E62" i="1"/>
  <c r="K61" i="9" s="1"/>
  <c r="E61" i="1"/>
  <c r="K60" i="9" s="1"/>
  <c r="E60" i="1"/>
  <c r="E59" i="1"/>
  <c r="K58" i="9" s="1"/>
  <c r="E58" i="1"/>
  <c r="K57" i="9" s="1"/>
  <c r="E57" i="1"/>
  <c r="E56" i="1"/>
  <c r="E55" i="1"/>
  <c r="E54" i="1"/>
  <c r="E53" i="1"/>
  <c r="E52" i="1"/>
  <c r="E51" i="1"/>
  <c r="K50" i="9" s="1"/>
  <c r="E50" i="1"/>
  <c r="K49" i="9" s="1"/>
  <c r="E49" i="1"/>
  <c r="K48" i="9" s="1"/>
  <c r="E48" i="1"/>
  <c r="K47" i="9" s="1"/>
  <c r="E47" i="1"/>
  <c r="K46" i="9" s="1"/>
  <c r="E46" i="1"/>
  <c r="K45" i="9" s="1"/>
  <c r="E45" i="1"/>
  <c r="K44" i="9" s="1"/>
  <c r="E44" i="1"/>
  <c r="K43" i="9" s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K25" i="9" s="1"/>
  <c r="E25" i="1"/>
  <c r="K24" i="9" s="1"/>
  <c r="E24" i="1"/>
  <c r="K23" i="9" s="1"/>
  <c r="E23" i="1"/>
  <c r="E22" i="1"/>
  <c r="E21" i="1"/>
  <c r="E20" i="1"/>
  <c r="E19" i="1"/>
  <c r="E18" i="1"/>
  <c r="E17" i="1"/>
  <c r="E16" i="1"/>
  <c r="E15" i="1"/>
  <c r="E14" i="1"/>
  <c r="E13" i="1"/>
  <c r="K12" i="9" s="1"/>
  <c r="E12" i="1"/>
  <c r="K11" i="9" s="1"/>
  <c r="E11" i="1"/>
  <c r="K10" i="9" s="1"/>
  <c r="E10" i="1"/>
  <c r="E9" i="1"/>
  <c r="E8" i="1"/>
  <c r="E7" i="1"/>
  <c r="E6" i="1"/>
  <c r="E5" i="1"/>
  <c r="E4" i="1"/>
  <c r="F22" i="1"/>
  <c r="F21" i="1"/>
  <c r="F20" i="1"/>
  <c r="F19" i="1"/>
  <c r="F18" i="1"/>
  <c r="F17" i="1"/>
  <c r="F16" i="1"/>
  <c r="F15" i="1"/>
  <c r="F14" i="1"/>
  <c r="F13" i="1"/>
  <c r="L12" i="9" s="1"/>
  <c r="F12" i="1"/>
  <c r="L11" i="9" s="1"/>
  <c r="F11" i="1"/>
  <c r="L10" i="9" s="1"/>
  <c r="F9" i="1"/>
  <c r="F8" i="1"/>
  <c r="F7" i="1"/>
  <c r="F6" i="1"/>
  <c r="F5" i="1"/>
  <c r="F4" i="1"/>
  <c r="D70" i="1"/>
  <c r="D69" i="1"/>
  <c r="D68" i="1"/>
  <c r="D67" i="1"/>
  <c r="D66" i="1"/>
  <c r="D65" i="1"/>
  <c r="J64" i="9" s="1"/>
  <c r="D64" i="1"/>
  <c r="J63" i="9" s="1"/>
  <c r="D63" i="1"/>
  <c r="D62" i="1"/>
  <c r="J61" i="9" s="1"/>
  <c r="D61" i="1"/>
  <c r="J60" i="9" s="1"/>
  <c r="D60" i="1"/>
  <c r="D59" i="1"/>
  <c r="J58" i="9" s="1"/>
  <c r="D58" i="1"/>
  <c r="J57" i="9" s="1"/>
  <c r="D57" i="1"/>
  <c r="D56" i="1"/>
  <c r="D55" i="1"/>
  <c r="D54" i="1"/>
  <c r="D53" i="1"/>
  <c r="D52" i="1"/>
  <c r="D51" i="1"/>
  <c r="J50" i="9" s="1"/>
  <c r="D50" i="1"/>
  <c r="J49" i="9" s="1"/>
  <c r="D49" i="1"/>
  <c r="J48" i="9" s="1"/>
  <c r="D48" i="1"/>
  <c r="J47" i="9" s="1"/>
  <c r="D47" i="1"/>
  <c r="J46" i="9" s="1"/>
  <c r="D46" i="1"/>
  <c r="J45" i="9" s="1"/>
  <c r="D45" i="1"/>
  <c r="J44" i="9" s="1"/>
  <c r="D44" i="1"/>
  <c r="J43" i="9" s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J25" i="9" s="1"/>
  <c r="D25" i="1"/>
  <c r="J24" i="9" s="1"/>
  <c r="D24" i="1"/>
  <c r="J23" i="9" s="1"/>
  <c r="D23" i="1"/>
  <c r="D22" i="1"/>
  <c r="D21" i="1"/>
  <c r="D20" i="1"/>
  <c r="D19" i="1"/>
  <c r="D18" i="1"/>
  <c r="D17" i="1"/>
  <c r="D16" i="1"/>
  <c r="D15" i="1"/>
  <c r="D14" i="1"/>
  <c r="D13" i="1"/>
  <c r="J12" i="9" s="1"/>
  <c r="D12" i="1"/>
  <c r="J11" i="9" s="1"/>
  <c r="D11" i="1"/>
  <c r="J10" i="9" s="1"/>
  <c r="D10" i="1"/>
  <c r="D9" i="1"/>
  <c r="D8" i="1"/>
  <c r="D7" i="1"/>
  <c r="D6" i="1"/>
  <c r="D5" i="1"/>
  <c r="D4" i="1"/>
  <c r="C5" i="1"/>
  <c r="C4" i="1"/>
  <c r="J3" i="9" l="1"/>
  <c r="S3" i="8"/>
  <c r="J7" i="9"/>
  <c r="S7" i="8"/>
  <c r="J31" i="9"/>
  <c r="S25" i="8"/>
  <c r="J39" i="9"/>
  <c r="S33" i="8"/>
  <c r="J51" i="9"/>
  <c r="S37" i="8"/>
  <c r="J59" i="9"/>
  <c r="S42" i="8"/>
  <c r="L8" i="9"/>
  <c r="U8" i="8"/>
  <c r="T15" i="8"/>
  <c r="K18" i="9"/>
  <c r="T20" i="8"/>
  <c r="K26" i="9"/>
  <c r="T28" i="8"/>
  <c r="K34" i="9"/>
  <c r="T32" i="8"/>
  <c r="K38" i="9"/>
  <c r="T36" i="8"/>
  <c r="K42" i="9"/>
  <c r="I18" i="9"/>
  <c r="R15" i="8"/>
  <c r="I68" i="9"/>
  <c r="R48" i="8"/>
  <c r="I39" i="9"/>
  <c r="R33" i="8"/>
  <c r="R44" i="8"/>
  <c r="V44" i="8" s="1"/>
  <c r="I55" i="9"/>
  <c r="L31" i="9"/>
  <c r="U25" i="8"/>
  <c r="I15" i="9"/>
  <c r="R12" i="8"/>
  <c r="V12" i="8" s="1"/>
  <c r="L34" i="9"/>
  <c r="U28" i="8"/>
  <c r="U36" i="8"/>
  <c r="L42" i="9"/>
  <c r="I29" i="9"/>
  <c r="R23" i="8"/>
  <c r="L37" i="9"/>
  <c r="U31" i="8"/>
  <c r="U39" i="8"/>
  <c r="L53" i="9"/>
  <c r="J4" i="9"/>
  <c r="S4" i="8"/>
  <c r="J8" i="9"/>
  <c r="S8" i="8"/>
  <c r="J16" i="9"/>
  <c r="S13" i="8"/>
  <c r="J28" i="9"/>
  <c r="S22" i="8"/>
  <c r="J36" i="9"/>
  <c r="S30" i="8"/>
  <c r="J40" i="9"/>
  <c r="S34" i="8"/>
  <c r="J10" i="1"/>
  <c r="J52" i="9"/>
  <c r="S38" i="8"/>
  <c r="J56" i="9"/>
  <c r="S41" i="8"/>
  <c r="L5" i="9"/>
  <c r="U5" i="8"/>
  <c r="T25" i="8"/>
  <c r="K31" i="9"/>
  <c r="T37" i="8"/>
  <c r="K51" i="9"/>
  <c r="I7" i="1"/>
  <c r="I6" i="9"/>
  <c r="R6" i="8"/>
  <c r="V6" i="8" s="1"/>
  <c r="I22" i="9"/>
  <c r="R19" i="8"/>
  <c r="I38" i="9"/>
  <c r="R32" i="8"/>
  <c r="V32" i="8" s="1"/>
  <c r="I17" i="9"/>
  <c r="R14" i="8"/>
  <c r="U47" i="8"/>
  <c r="L67" i="9"/>
  <c r="L28" i="9"/>
  <c r="U22" i="8"/>
  <c r="L10" i="1"/>
  <c r="U38" i="8"/>
  <c r="L52" i="9"/>
  <c r="I33" i="9"/>
  <c r="R27" i="8"/>
  <c r="I65" i="9"/>
  <c r="R45" i="8"/>
  <c r="J65" i="9"/>
  <c r="S45" i="8"/>
  <c r="L6" i="9"/>
  <c r="U6" i="8"/>
  <c r="L15" i="9"/>
  <c r="U12" i="8"/>
  <c r="L19" i="9"/>
  <c r="U16" i="8"/>
  <c r="T4" i="8"/>
  <c r="K4" i="9"/>
  <c r="T8" i="8"/>
  <c r="K8" i="9"/>
  <c r="T13" i="8"/>
  <c r="K16" i="9"/>
  <c r="T17" i="8"/>
  <c r="K20" i="9"/>
  <c r="T22" i="8"/>
  <c r="K28" i="9"/>
  <c r="T26" i="8"/>
  <c r="K32" i="9"/>
  <c r="T30" i="8"/>
  <c r="K36" i="9"/>
  <c r="K40" i="9"/>
  <c r="T34" i="8"/>
  <c r="K10" i="1"/>
  <c r="K52" i="9"/>
  <c r="T38" i="8"/>
  <c r="K56" i="9"/>
  <c r="T41" i="8"/>
  <c r="T48" i="8"/>
  <c r="K68" i="9"/>
  <c r="I32" i="9"/>
  <c r="R26" i="8"/>
  <c r="R34" i="8"/>
  <c r="I40" i="9"/>
  <c r="I56" i="9"/>
  <c r="R41" i="8"/>
  <c r="I8" i="9"/>
  <c r="R8" i="8"/>
  <c r="V8" i="8" s="1"/>
  <c r="I31" i="9"/>
  <c r="R25" i="8"/>
  <c r="V25" i="8" s="1"/>
  <c r="L39" i="9"/>
  <c r="U33" i="8"/>
  <c r="U44" i="8"/>
  <c r="L55" i="9"/>
  <c r="I7" i="9"/>
  <c r="R7" i="8"/>
  <c r="U19" i="8"/>
  <c r="L22" i="9"/>
  <c r="L30" i="9"/>
  <c r="U24" i="8"/>
  <c r="L38" i="9"/>
  <c r="U32" i="8"/>
  <c r="U40" i="8"/>
  <c r="L54" i="9"/>
  <c r="U43" i="8"/>
  <c r="L62" i="9"/>
  <c r="I20" i="9"/>
  <c r="R17" i="8"/>
  <c r="V17" i="8" s="1"/>
  <c r="I37" i="9"/>
  <c r="R31" i="8"/>
  <c r="R39" i="8"/>
  <c r="I53" i="9"/>
  <c r="I69" i="9"/>
  <c r="R49" i="8"/>
  <c r="L29" i="9"/>
  <c r="U23" i="8"/>
  <c r="J15" i="9"/>
  <c r="S12" i="8"/>
  <c r="J19" i="9"/>
  <c r="S16" i="8"/>
  <c r="J27" i="9"/>
  <c r="S21" i="8"/>
  <c r="J35" i="9"/>
  <c r="S29" i="8"/>
  <c r="J55" i="9"/>
  <c r="S44" i="8"/>
  <c r="J67" i="9"/>
  <c r="S47" i="8"/>
  <c r="L4" i="9"/>
  <c r="U4" i="8"/>
  <c r="L13" i="9"/>
  <c r="U10" i="8"/>
  <c r="L17" i="9"/>
  <c r="U14" i="8"/>
  <c r="L21" i="9"/>
  <c r="U18" i="8"/>
  <c r="T6" i="8"/>
  <c r="K6" i="9"/>
  <c r="T11" i="8"/>
  <c r="K14" i="9"/>
  <c r="T19" i="8"/>
  <c r="K22" i="9"/>
  <c r="T24" i="8"/>
  <c r="K30" i="9"/>
  <c r="K54" i="9"/>
  <c r="T40" i="8"/>
  <c r="T43" i="8"/>
  <c r="K62" i="9"/>
  <c r="T46" i="8"/>
  <c r="K66" i="9"/>
  <c r="I5" i="9"/>
  <c r="R5" i="8"/>
  <c r="V5" i="8" s="1"/>
  <c r="I28" i="9"/>
  <c r="R22" i="8"/>
  <c r="V22" i="8" s="1"/>
  <c r="I36" i="9"/>
  <c r="R30" i="8"/>
  <c r="V30" i="8" s="1"/>
  <c r="I10" i="1"/>
  <c r="R38" i="8"/>
  <c r="I52" i="9"/>
  <c r="R9" i="8"/>
  <c r="I9" i="9"/>
  <c r="L26" i="9"/>
  <c r="U20" i="8"/>
  <c r="U46" i="8"/>
  <c r="L66" i="9"/>
  <c r="I21" i="9"/>
  <c r="R18" i="8"/>
  <c r="U49" i="8"/>
  <c r="L69" i="9"/>
  <c r="J20" i="9"/>
  <c r="S17" i="8"/>
  <c r="J32" i="9"/>
  <c r="S26" i="8"/>
  <c r="J14" i="1"/>
  <c r="J68" i="9"/>
  <c r="S48" i="8"/>
  <c r="L14" i="9"/>
  <c r="U11" i="8"/>
  <c r="L18" i="9"/>
  <c r="U15" i="8"/>
  <c r="K6" i="1"/>
  <c r="T3" i="8"/>
  <c r="K3" i="9"/>
  <c r="T7" i="8"/>
  <c r="K7" i="9"/>
  <c r="T12" i="8"/>
  <c r="K15" i="9"/>
  <c r="T16" i="8"/>
  <c r="K19" i="9"/>
  <c r="T21" i="8"/>
  <c r="K27" i="9"/>
  <c r="T29" i="8"/>
  <c r="K35" i="9"/>
  <c r="T33" i="8"/>
  <c r="K39" i="9"/>
  <c r="K12" i="1"/>
  <c r="T44" i="8"/>
  <c r="K55" i="9"/>
  <c r="T42" i="8"/>
  <c r="K59" i="9"/>
  <c r="T47" i="8"/>
  <c r="K67" i="9"/>
  <c r="I30" i="9"/>
  <c r="R24" i="8"/>
  <c r="V24" i="8" s="1"/>
  <c r="R40" i="8"/>
  <c r="I54" i="9"/>
  <c r="I62" i="9"/>
  <c r="R43" i="8"/>
  <c r="V43" i="8" s="1"/>
  <c r="L14" i="1"/>
  <c r="U48" i="8"/>
  <c r="L68" i="9"/>
  <c r="I27" i="9"/>
  <c r="R21" i="8"/>
  <c r="I59" i="9"/>
  <c r="R42" i="8"/>
  <c r="L35" i="9"/>
  <c r="U29" i="8"/>
  <c r="U37" i="8"/>
  <c r="L51" i="9"/>
  <c r="I19" i="9"/>
  <c r="R16" i="8"/>
  <c r="L36" i="9"/>
  <c r="U30" i="8"/>
  <c r="U35" i="8"/>
  <c r="L41" i="9"/>
  <c r="I6" i="1"/>
  <c r="I3" i="9"/>
  <c r="R3" i="8"/>
  <c r="J5" i="9"/>
  <c r="S5" i="8"/>
  <c r="J9" i="9"/>
  <c r="S9" i="8"/>
  <c r="J13" i="9"/>
  <c r="S10" i="8"/>
  <c r="J17" i="9"/>
  <c r="S14" i="8"/>
  <c r="J21" i="9"/>
  <c r="S18" i="8"/>
  <c r="J29" i="9"/>
  <c r="S23" i="8"/>
  <c r="J33" i="9"/>
  <c r="S27" i="8"/>
  <c r="J37" i="9"/>
  <c r="S31" i="8"/>
  <c r="J41" i="9"/>
  <c r="S35" i="8"/>
  <c r="J11" i="1"/>
  <c r="J53" i="9"/>
  <c r="S39" i="8"/>
  <c r="J69" i="9"/>
  <c r="S49" i="8"/>
  <c r="I4" i="9"/>
  <c r="R4" i="8"/>
  <c r="J6" i="9"/>
  <c r="S6" i="8"/>
  <c r="J14" i="9"/>
  <c r="S11" i="8"/>
  <c r="J18" i="9"/>
  <c r="S15" i="8"/>
  <c r="J22" i="9"/>
  <c r="S19" i="8"/>
  <c r="J26" i="9"/>
  <c r="S20" i="8"/>
  <c r="J30" i="9"/>
  <c r="S24" i="8"/>
  <c r="J34" i="9"/>
  <c r="S28" i="8"/>
  <c r="J38" i="9"/>
  <c r="S32" i="8"/>
  <c r="J42" i="9"/>
  <c r="S36" i="8"/>
  <c r="J54" i="9"/>
  <c r="S40" i="8"/>
  <c r="J62" i="9"/>
  <c r="S43" i="8"/>
  <c r="J66" i="9"/>
  <c r="S46" i="8"/>
  <c r="U3" i="8"/>
  <c r="L3" i="9"/>
  <c r="L7" i="9"/>
  <c r="U7" i="8"/>
  <c r="L16" i="9"/>
  <c r="U13" i="8"/>
  <c r="L20" i="9"/>
  <c r="U17" i="8"/>
  <c r="T5" i="8"/>
  <c r="K5" i="9"/>
  <c r="K9" i="9"/>
  <c r="T9" i="8"/>
  <c r="T10" i="8"/>
  <c r="K13" i="9"/>
  <c r="T14" i="8"/>
  <c r="K17" i="9"/>
  <c r="T18" i="8"/>
  <c r="K21" i="9"/>
  <c r="T23" i="8"/>
  <c r="K29" i="9"/>
  <c r="T27" i="8"/>
  <c r="K33" i="9"/>
  <c r="T31" i="8"/>
  <c r="K37" i="9"/>
  <c r="K41" i="9"/>
  <c r="T35" i="8"/>
  <c r="T39" i="8"/>
  <c r="K53" i="9"/>
  <c r="T45" i="8"/>
  <c r="K65" i="9"/>
  <c r="T49" i="8"/>
  <c r="K69" i="9"/>
  <c r="I14" i="9"/>
  <c r="R11" i="8"/>
  <c r="V11" i="8" s="1"/>
  <c r="I26" i="9"/>
  <c r="R20" i="8"/>
  <c r="I34" i="9"/>
  <c r="R28" i="8"/>
  <c r="V28" i="8" s="1"/>
  <c r="I42" i="9"/>
  <c r="R36" i="8"/>
  <c r="I13" i="1"/>
  <c r="I66" i="9"/>
  <c r="R46" i="8"/>
  <c r="V46" i="8" s="1"/>
  <c r="I16" i="9"/>
  <c r="R13" i="8"/>
  <c r="I35" i="9"/>
  <c r="R29" i="8"/>
  <c r="V29" i="8" s="1"/>
  <c r="R37" i="8"/>
  <c r="I51" i="9"/>
  <c r="I67" i="9"/>
  <c r="R47" i="8"/>
  <c r="V47" i="8" s="1"/>
  <c r="L27" i="9"/>
  <c r="U21" i="8"/>
  <c r="U42" i="8"/>
  <c r="L59" i="9"/>
  <c r="L32" i="9"/>
  <c r="U26" i="8"/>
  <c r="U34" i="8"/>
  <c r="L40" i="9"/>
  <c r="L56" i="9"/>
  <c r="U41" i="8"/>
  <c r="R35" i="8"/>
  <c r="I41" i="9"/>
  <c r="I13" i="9"/>
  <c r="R10" i="8"/>
  <c r="L33" i="9"/>
  <c r="U27" i="8"/>
  <c r="U45" i="8"/>
  <c r="L65" i="9"/>
  <c r="U9" i="8"/>
  <c r="F47" i="8"/>
  <c r="N44" i="8" s="1"/>
  <c r="Z44" i="8" s="1"/>
  <c r="AH44" i="8" s="1"/>
  <c r="E46" i="8"/>
  <c r="M43" i="8" s="1"/>
  <c r="G46" i="8"/>
  <c r="O43" i="8" s="1"/>
  <c r="AA43" i="8" s="1"/>
  <c r="F45" i="8"/>
  <c r="N42" i="8" s="1"/>
  <c r="G47" i="8"/>
  <c r="O44" i="8" s="1"/>
  <c r="AA44" i="8" s="1"/>
  <c r="AI44" i="8" s="1"/>
  <c r="E45" i="8"/>
  <c r="M42" i="8" s="1"/>
  <c r="D44" i="8"/>
  <c r="L41" i="8" s="1"/>
  <c r="F44" i="8"/>
  <c r="N41" i="8" s="1"/>
  <c r="Z41" i="8" s="1"/>
  <c r="AH41" i="8" s="1"/>
  <c r="E48" i="8"/>
  <c r="M45" i="8" s="1"/>
  <c r="Y45" i="8" s="1"/>
  <c r="AG45" i="8" s="1"/>
  <c r="E44" i="8"/>
  <c r="M41" i="8" s="1"/>
  <c r="D45" i="8"/>
  <c r="D48" i="8"/>
  <c r="L45" i="8" s="1"/>
  <c r="E47" i="8"/>
  <c r="M44" i="8" s="1"/>
  <c r="Y44" i="8" s="1"/>
  <c r="AG44" i="8" s="1"/>
  <c r="F48" i="8"/>
  <c r="N45" i="8" s="1"/>
  <c r="F46" i="8"/>
  <c r="N43" i="8" s="1"/>
  <c r="G44" i="8"/>
  <c r="O41" i="8" s="1"/>
  <c r="AA41" i="8" s="1"/>
  <c r="AI41" i="8" s="1"/>
  <c r="D46" i="8"/>
  <c r="L43" i="8" s="1"/>
  <c r="D47" i="8"/>
  <c r="L44" i="8" s="1"/>
  <c r="G48" i="8"/>
  <c r="O45" i="8" s="1"/>
  <c r="AA45" i="8" s="1"/>
  <c r="AI45" i="8" s="1"/>
  <c r="G45" i="8"/>
  <c r="O42" i="8" s="1"/>
  <c r="F51" i="8"/>
  <c r="F56" i="8"/>
  <c r="F52" i="8"/>
  <c r="D50" i="8"/>
  <c r="G55" i="8"/>
  <c r="D51" i="8"/>
  <c r="E53" i="8"/>
  <c r="E54" i="8"/>
  <c r="G52" i="8"/>
  <c r="E56" i="8"/>
  <c r="D56" i="8"/>
  <c r="E50" i="8"/>
  <c r="E49" i="8"/>
  <c r="F53" i="8"/>
  <c r="F49" i="8"/>
  <c r="F54" i="8"/>
  <c r="E52" i="8"/>
  <c r="G49" i="8"/>
  <c r="D53" i="8"/>
  <c r="G54" i="8"/>
  <c r="G53" i="8"/>
  <c r="E51" i="8"/>
  <c r="D52" i="8"/>
  <c r="G56" i="8"/>
  <c r="F55" i="8"/>
  <c r="F50" i="8"/>
  <c r="G50" i="8"/>
  <c r="D54" i="8"/>
  <c r="G51" i="8"/>
  <c r="D55" i="8"/>
  <c r="E55" i="8"/>
  <c r="D49" i="8"/>
  <c r="L46" i="8" s="1"/>
  <c r="F57" i="8"/>
  <c r="N48" i="8" s="1"/>
  <c r="Z48" i="8" s="1"/>
  <c r="F61" i="8"/>
  <c r="F59" i="8"/>
  <c r="E59" i="8"/>
  <c r="E61" i="8"/>
  <c r="D60" i="8"/>
  <c r="F62" i="8"/>
  <c r="G60" i="8"/>
  <c r="G58" i="8"/>
  <c r="G64" i="8"/>
  <c r="D58" i="8"/>
  <c r="G63" i="8"/>
  <c r="D59" i="8"/>
  <c r="D61" i="8"/>
  <c r="G61" i="8"/>
  <c r="G62" i="8"/>
  <c r="F64" i="8"/>
  <c r="E60" i="8"/>
  <c r="G57" i="8"/>
  <c r="O48" i="8" s="1"/>
  <c r="AA48" i="8" s="1"/>
  <c r="E58" i="8"/>
  <c r="E62" i="8"/>
  <c r="F58" i="8"/>
  <c r="D57" i="8"/>
  <c r="L48" i="8" s="1"/>
  <c r="E64" i="8"/>
  <c r="E57" i="8"/>
  <c r="M48" i="8" s="1"/>
  <c r="Y48" i="8" s="1"/>
  <c r="F63" i="8"/>
  <c r="D62" i="8"/>
  <c r="G59" i="8"/>
  <c r="D63" i="8"/>
  <c r="E63" i="8"/>
  <c r="F60" i="8"/>
  <c r="D64" i="8"/>
  <c r="F35" i="8"/>
  <c r="N34" i="8" s="1"/>
  <c r="E11" i="8"/>
  <c r="M11" i="8" s="1"/>
  <c r="Y11" i="8" s="1"/>
  <c r="E33" i="8"/>
  <c r="E31" i="8"/>
  <c r="M31" i="8" s="1"/>
  <c r="E35" i="8"/>
  <c r="M34" i="8" s="1"/>
  <c r="G14" i="8"/>
  <c r="O14" i="8" s="1"/>
  <c r="F32" i="8"/>
  <c r="N32" i="8" s="1"/>
  <c r="Z32" i="8" s="1"/>
  <c r="F24" i="8"/>
  <c r="N24" i="8" s="1"/>
  <c r="D16" i="8"/>
  <c r="L16" i="8" s="1"/>
  <c r="G32" i="8"/>
  <c r="O32" i="8" s="1"/>
  <c r="F31" i="8"/>
  <c r="N31" i="8" s="1"/>
  <c r="F23" i="8"/>
  <c r="N23" i="8" s="1"/>
  <c r="D14" i="8"/>
  <c r="L14" i="8" s="1"/>
  <c r="F34" i="8"/>
  <c r="F30" i="8"/>
  <c r="N30" i="8" s="1"/>
  <c r="Z30" i="8" s="1"/>
  <c r="G28" i="8"/>
  <c r="O28" i="8" s="1"/>
  <c r="AA28" i="8" s="1"/>
  <c r="AI28" i="8" s="1"/>
  <c r="F15" i="8"/>
  <c r="N15" i="8" s="1"/>
  <c r="Z15" i="8" s="1"/>
  <c r="G26" i="8"/>
  <c r="O26" i="8" s="1"/>
  <c r="F14" i="8"/>
  <c r="N14" i="8" s="1"/>
  <c r="G16" i="8"/>
  <c r="O16" i="8" s="1"/>
  <c r="G10" i="8"/>
  <c r="O10" i="8" s="1"/>
  <c r="D26" i="8"/>
  <c r="L26" i="8" s="1"/>
  <c r="D34" i="8"/>
  <c r="E21" i="8"/>
  <c r="M21" i="8" s="1"/>
  <c r="Y21" i="8" s="1"/>
  <c r="G15" i="8"/>
  <c r="O15" i="8" s="1"/>
  <c r="AA15" i="8" s="1"/>
  <c r="G23" i="8"/>
  <c r="O23" i="8" s="1"/>
  <c r="G31" i="8"/>
  <c r="O31" i="8" s="1"/>
  <c r="D11" i="8"/>
  <c r="L11" i="8" s="1"/>
  <c r="D19" i="8"/>
  <c r="L19" i="8" s="1"/>
  <c r="D27" i="8"/>
  <c r="L27" i="8" s="1"/>
  <c r="D35" i="8"/>
  <c r="L34" i="8" s="1"/>
  <c r="E27" i="8"/>
  <c r="M27" i="8" s="1"/>
  <c r="Y27" i="8" s="1"/>
  <c r="AG27" i="8" s="1"/>
  <c r="D28" i="8"/>
  <c r="L28" i="8" s="1"/>
  <c r="E34" i="8"/>
  <c r="F26" i="8"/>
  <c r="N26" i="8" s="1"/>
  <c r="F11" i="8"/>
  <c r="N11" i="8" s="1"/>
  <c r="Z11" i="8" s="1"/>
  <c r="D32" i="8"/>
  <c r="L32" i="8" s="1"/>
  <c r="E17" i="8"/>
  <c r="M17" i="8" s="1"/>
  <c r="E18" i="8"/>
  <c r="M18" i="8" s="1"/>
  <c r="Y18" i="8" s="1"/>
  <c r="AG18" i="8" s="1"/>
  <c r="D36" i="8"/>
  <c r="L35" i="8" s="1"/>
  <c r="D12" i="8"/>
  <c r="L12" i="8" s="1"/>
  <c r="E26" i="8"/>
  <c r="M26" i="8" s="1"/>
  <c r="Y26" i="8" s="1"/>
  <c r="E30" i="8"/>
  <c r="M30" i="8" s="1"/>
  <c r="E22" i="8"/>
  <c r="M22" i="8" s="1"/>
  <c r="F29" i="8"/>
  <c r="N29" i="8" s="1"/>
  <c r="Z29" i="8" s="1"/>
  <c r="AH29" i="8" s="1"/>
  <c r="F22" i="8"/>
  <c r="G36" i="8"/>
  <c r="O35" i="8" s="1"/>
  <c r="D18" i="8"/>
  <c r="L18" i="8" s="1"/>
  <c r="E32" i="8"/>
  <c r="M32" i="8" s="1"/>
  <c r="Y32" i="8" s="1"/>
  <c r="G18" i="8"/>
  <c r="O18" i="8" s="1"/>
  <c r="G12" i="8"/>
  <c r="O12" i="8" s="1"/>
  <c r="E28" i="8"/>
  <c r="M28" i="8" s="1"/>
  <c r="Y28" i="8" s="1"/>
  <c r="AG28" i="8" s="1"/>
  <c r="E36" i="8"/>
  <c r="M35" i="8" s="1"/>
  <c r="Y35" i="8" s="1"/>
  <c r="F21" i="8"/>
  <c r="N21" i="8" s="1"/>
  <c r="G17" i="8"/>
  <c r="O17" i="8" s="1"/>
  <c r="AA17" i="8" s="1"/>
  <c r="G25" i="8"/>
  <c r="O25" i="8" s="1"/>
  <c r="AA25" i="8" s="1"/>
  <c r="G33" i="8"/>
  <c r="D13" i="8"/>
  <c r="L13" i="8" s="1"/>
  <c r="D21" i="8"/>
  <c r="L21" i="8" s="1"/>
  <c r="D29" i="8"/>
  <c r="L29" i="8" s="1"/>
  <c r="E29" i="8"/>
  <c r="M29" i="8" s="1"/>
  <c r="Y29" i="8" s="1"/>
  <c r="AG29" i="8" s="1"/>
  <c r="E10" i="8"/>
  <c r="M10" i="8" s="1"/>
  <c r="D20" i="8"/>
  <c r="L20" i="8" s="1"/>
  <c r="F17" i="8"/>
  <c r="N17" i="8" s="1"/>
  <c r="F28" i="8"/>
  <c r="N28" i="8" s="1"/>
  <c r="Z28" i="8" s="1"/>
  <c r="AH28" i="8" s="1"/>
  <c r="F12" i="8"/>
  <c r="N12" i="8" s="1"/>
  <c r="D24" i="8"/>
  <c r="F13" i="8"/>
  <c r="N13" i="8" s="1"/>
  <c r="Z13" i="8" s="1"/>
  <c r="G13" i="8"/>
  <c r="O13" i="8" s="1"/>
  <c r="AA13" i="8" s="1"/>
  <c r="G29" i="8"/>
  <c r="O29" i="8" s="1"/>
  <c r="AA29" i="8" s="1"/>
  <c r="AI29" i="8" s="1"/>
  <c r="D17" i="8"/>
  <c r="L17" i="8" s="1"/>
  <c r="D33" i="8"/>
  <c r="L33" i="8" s="1"/>
  <c r="E25" i="8"/>
  <c r="M25" i="8" s="1"/>
  <c r="Y25" i="8" s="1"/>
  <c r="E19" i="8"/>
  <c r="M19" i="8" s="1"/>
  <c r="Y19" i="8" s="1"/>
  <c r="AG19" i="8" s="1"/>
  <c r="E15" i="8"/>
  <c r="M15" i="8" s="1"/>
  <c r="G22" i="8"/>
  <c r="O22" i="8" s="1"/>
  <c r="F16" i="8"/>
  <c r="N16" i="8" s="1"/>
  <c r="G30" i="8"/>
  <c r="O30" i="8" s="1"/>
  <c r="G24" i="8"/>
  <c r="O24" i="8" s="1"/>
  <c r="F18" i="8"/>
  <c r="N18" i="8" s="1"/>
  <c r="Z18" i="8" s="1"/>
  <c r="AH18" i="8" s="1"/>
  <c r="F27" i="8"/>
  <c r="N27" i="8" s="1"/>
  <c r="Z27" i="8" s="1"/>
  <c r="AH27" i="8" s="1"/>
  <c r="F19" i="8"/>
  <c r="N19" i="8" s="1"/>
  <c r="Z19" i="8" s="1"/>
  <c r="AH19" i="8" s="1"/>
  <c r="F33" i="8"/>
  <c r="N33" i="8" s="1"/>
  <c r="Z33" i="8" s="1"/>
  <c r="F36" i="8"/>
  <c r="N35" i="8" s="1"/>
  <c r="Z35" i="8" s="1"/>
  <c r="D10" i="8"/>
  <c r="L10" i="8" s="1"/>
  <c r="E16" i="8"/>
  <c r="M16" i="8" s="1"/>
  <c r="E14" i="8"/>
  <c r="M14" i="8" s="1"/>
  <c r="F20" i="8"/>
  <c r="N20" i="8" s="1"/>
  <c r="G34" i="8"/>
  <c r="F10" i="8"/>
  <c r="N10" i="8" s="1"/>
  <c r="G20" i="8"/>
  <c r="O20" i="8" s="1"/>
  <c r="D22" i="8"/>
  <c r="L22" i="8" s="1"/>
  <c r="D30" i="8"/>
  <c r="L30" i="8" s="1"/>
  <c r="E13" i="8"/>
  <c r="M13" i="8" s="1"/>
  <c r="G11" i="8"/>
  <c r="O11" i="8" s="1"/>
  <c r="AA11" i="8" s="1"/>
  <c r="G19" i="8"/>
  <c r="O19" i="8" s="1"/>
  <c r="AA19" i="8" s="1"/>
  <c r="AI19" i="8" s="1"/>
  <c r="G27" i="8"/>
  <c r="O27" i="8" s="1"/>
  <c r="AA27" i="8" s="1"/>
  <c r="AI27" i="8" s="1"/>
  <c r="G35" i="8"/>
  <c r="O34" i="8" s="1"/>
  <c r="D15" i="8"/>
  <c r="L15" i="8" s="1"/>
  <c r="D23" i="8"/>
  <c r="L23" i="8" s="1"/>
  <c r="D31" i="8"/>
  <c r="L31" i="8" s="1"/>
  <c r="E23" i="8"/>
  <c r="M23" i="8" s="1"/>
  <c r="E12" i="8"/>
  <c r="M12" i="8" s="1"/>
  <c r="F25" i="8"/>
  <c r="N25" i="8" s="1"/>
  <c r="Z25" i="8" s="1"/>
  <c r="E20" i="8"/>
  <c r="M20" i="8" s="1"/>
  <c r="E24" i="8"/>
  <c r="M24" i="8" s="1"/>
  <c r="G21" i="8"/>
  <c r="O21" i="8" s="1"/>
  <c r="AA21" i="8" s="1"/>
  <c r="D25" i="8"/>
  <c r="L25" i="8" s="1"/>
  <c r="E3" i="8"/>
  <c r="M3" i="8" s="1"/>
  <c r="E5" i="8"/>
  <c r="M5" i="8" s="1"/>
  <c r="D4" i="8"/>
  <c r="L4" i="8" s="1"/>
  <c r="G3" i="8"/>
  <c r="O3" i="8" s="1"/>
  <c r="F3" i="8"/>
  <c r="N3" i="8" s="1"/>
  <c r="F4" i="8"/>
  <c r="N4" i="8" s="1"/>
  <c r="F5" i="8"/>
  <c r="N5" i="8" s="1"/>
  <c r="Z5" i="8" s="1"/>
  <c r="D5" i="8"/>
  <c r="L5" i="8" s="1"/>
  <c r="D3" i="8"/>
  <c r="L3" i="8" s="1"/>
  <c r="E4" i="8"/>
  <c r="M4" i="8" s="1"/>
  <c r="G4" i="8"/>
  <c r="O4" i="8" s="1"/>
  <c r="G5" i="8"/>
  <c r="O5" i="8" s="1"/>
  <c r="AA5" i="8" s="1"/>
  <c r="G39" i="8"/>
  <c r="O38" i="8" s="1"/>
  <c r="AA38" i="8" s="1"/>
  <c r="AI38" i="8" s="1"/>
  <c r="E39" i="8"/>
  <c r="M38" i="8" s="1"/>
  <c r="Y38" i="8" s="1"/>
  <c r="AG38" i="8" s="1"/>
  <c r="F39" i="8"/>
  <c r="N38" i="8" s="1"/>
  <c r="D39" i="8"/>
  <c r="L38" i="8" s="1"/>
  <c r="F37" i="8"/>
  <c r="N36" i="8" s="1"/>
  <c r="E37" i="8"/>
  <c r="M36" i="8" s="1"/>
  <c r="G38" i="8"/>
  <c r="O37" i="8" s="1"/>
  <c r="AA37" i="8" s="1"/>
  <c r="G37" i="8"/>
  <c r="O36" i="8" s="1"/>
  <c r="D37" i="8"/>
  <c r="F38" i="8"/>
  <c r="N37" i="8" s="1"/>
  <c r="E38" i="8"/>
  <c r="D38" i="8"/>
  <c r="L37" i="8" s="1"/>
  <c r="E43" i="8"/>
  <c r="M40" i="8" s="1"/>
  <c r="Y40" i="8" s="1"/>
  <c r="AG40" i="8" s="1"/>
  <c r="F41" i="8"/>
  <c r="G42" i="8"/>
  <c r="D42" i="8"/>
  <c r="D43" i="8"/>
  <c r="L40" i="8" s="1"/>
  <c r="F43" i="8"/>
  <c r="N40" i="8" s="1"/>
  <c r="D41" i="8"/>
  <c r="E41" i="8"/>
  <c r="G40" i="8"/>
  <c r="F42" i="8"/>
  <c r="G41" i="8"/>
  <c r="E40" i="8"/>
  <c r="M39" i="8" s="1"/>
  <c r="Y39" i="8" s="1"/>
  <c r="AG39" i="8" s="1"/>
  <c r="F40" i="8"/>
  <c r="N39" i="8" s="1"/>
  <c r="Z39" i="8" s="1"/>
  <c r="AH39" i="8" s="1"/>
  <c r="G43" i="8"/>
  <c r="O40" i="8" s="1"/>
  <c r="E42" i="8"/>
  <c r="D40" i="8"/>
  <c r="L39" i="8" s="1"/>
  <c r="C12" i="6"/>
  <c r="F12" i="6" s="1"/>
  <c r="F3" i="6"/>
  <c r="K14" i="1"/>
  <c r="J8" i="1"/>
  <c r="L12" i="1"/>
  <c r="L7" i="1"/>
  <c r="I11" i="1"/>
  <c r="J7" i="1"/>
  <c r="J9" i="1"/>
  <c r="J13" i="1"/>
  <c r="L6" i="1"/>
  <c r="K8" i="1"/>
  <c r="K11" i="1"/>
  <c r="I9" i="1"/>
  <c r="I8" i="1"/>
  <c r="J6" i="1"/>
  <c r="J12" i="1"/>
  <c r="L8" i="1"/>
  <c r="K7" i="1"/>
  <c r="K9" i="1"/>
  <c r="K13" i="1"/>
  <c r="I14" i="1"/>
  <c r="I12" i="1"/>
  <c r="L9" i="1"/>
  <c r="L13" i="1"/>
  <c r="L11" i="1"/>
  <c r="M10" i="1" l="1"/>
  <c r="H16" i="3" s="1"/>
  <c r="M14" i="1"/>
  <c r="L16" i="3" s="1"/>
  <c r="M49" i="8"/>
  <c r="Y49" i="8" s="1"/>
  <c r="AG49" i="8" s="1"/>
  <c r="AH49" i="8" s="1"/>
  <c r="Z40" i="8"/>
  <c r="AH40" i="8" s="1"/>
  <c r="AU40" i="8" s="1"/>
  <c r="Z21" i="8"/>
  <c r="AA32" i="8"/>
  <c r="AA14" i="8"/>
  <c r="V3" i="8"/>
  <c r="R50" i="8"/>
  <c r="V9" i="8"/>
  <c r="V7" i="8"/>
  <c r="Z17" i="8"/>
  <c r="Y31" i="8"/>
  <c r="AG31" i="8" s="1"/>
  <c r="D37" i="9" s="1"/>
  <c r="V35" i="8"/>
  <c r="I70" i="9"/>
  <c r="V42" i="8"/>
  <c r="K70" i="9"/>
  <c r="V18" i="8"/>
  <c r="V34" i="8"/>
  <c r="Y14" i="8"/>
  <c r="Y15" i="8"/>
  <c r="Y30" i="8"/>
  <c r="Z26" i="8"/>
  <c r="Z31" i="8"/>
  <c r="AH31" i="8" s="1"/>
  <c r="AU31" i="8" s="1"/>
  <c r="V10" i="8"/>
  <c r="V13" i="8"/>
  <c r="U50" i="8"/>
  <c r="T50" i="8"/>
  <c r="V38" i="8"/>
  <c r="V49" i="8"/>
  <c r="V31" i="8"/>
  <c r="V41" i="8"/>
  <c r="V26" i="8"/>
  <c r="V14" i="8"/>
  <c r="V19" i="8"/>
  <c r="V23" i="8"/>
  <c r="V33" i="8"/>
  <c r="V15" i="8"/>
  <c r="S50" i="8"/>
  <c r="V48" i="8"/>
  <c r="Z23" i="8"/>
  <c r="L70" i="9"/>
  <c r="V39" i="8"/>
  <c r="V27" i="8"/>
  <c r="Z38" i="8"/>
  <c r="AH38" i="8" s="1"/>
  <c r="E52" i="9" s="1"/>
  <c r="AA35" i="8"/>
  <c r="AA31" i="8"/>
  <c r="AI31" i="8" s="1"/>
  <c r="AV31" i="8" s="1"/>
  <c r="Z14" i="8"/>
  <c r="Z43" i="8"/>
  <c r="AA40" i="8"/>
  <c r="AI40" i="8" s="1"/>
  <c r="F54" i="9" s="1"/>
  <c r="Z37" i="8"/>
  <c r="Y5" i="8"/>
  <c r="Y23" i="8"/>
  <c r="Y13" i="8"/>
  <c r="AA30" i="8"/>
  <c r="AA18" i="8"/>
  <c r="AI18" i="8" s="1"/>
  <c r="AV18" i="8" s="1"/>
  <c r="Y17" i="8"/>
  <c r="AA23" i="8"/>
  <c r="AA26" i="8"/>
  <c r="Z45" i="8"/>
  <c r="AH45" i="8" s="1"/>
  <c r="AP45" i="8" s="1"/>
  <c r="Y41" i="8"/>
  <c r="AG41" i="8" s="1"/>
  <c r="AT41" i="8" s="1"/>
  <c r="Y43" i="8"/>
  <c r="V37" i="8"/>
  <c r="V36" i="8"/>
  <c r="V20" i="8"/>
  <c r="V4" i="8"/>
  <c r="V16" i="8"/>
  <c r="V21" i="8"/>
  <c r="V40" i="8"/>
  <c r="V45" i="8"/>
  <c r="J70" i="9"/>
  <c r="X37" i="8"/>
  <c r="P25" i="8"/>
  <c r="AB25" i="8" s="1"/>
  <c r="X25" i="8"/>
  <c r="P23" i="8"/>
  <c r="X23" i="8"/>
  <c r="Z20" i="8"/>
  <c r="AH20" i="8"/>
  <c r="AA22" i="8"/>
  <c r="AI22" i="8"/>
  <c r="D34" i="9"/>
  <c r="AT28" i="8"/>
  <c r="P35" i="8"/>
  <c r="X35" i="8"/>
  <c r="P11" i="8"/>
  <c r="AB11" i="8" s="1"/>
  <c r="X11" i="8"/>
  <c r="F34" i="9"/>
  <c r="AQ28" i="8"/>
  <c r="AV28" i="8"/>
  <c r="AG32" i="8"/>
  <c r="F58" i="9"/>
  <c r="F57" i="9"/>
  <c r="F56" i="9"/>
  <c r="AQ41" i="8"/>
  <c r="AV41" i="8"/>
  <c r="E58" i="9"/>
  <c r="E57" i="9"/>
  <c r="E56" i="9"/>
  <c r="AU41" i="8"/>
  <c r="AP41" i="8"/>
  <c r="AH42" i="8"/>
  <c r="Z42" i="8"/>
  <c r="O39" i="8"/>
  <c r="AA39" i="8" s="1"/>
  <c r="AI39" i="8" s="1"/>
  <c r="M37" i="8"/>
  <c r="Y37" i="8" s="1"/>
  <c r="AU38" i="8"/>
  <c r="AI4" i="8"/>
  <c r="AA4" i="8"/>
  <c r="X4" i="8"/>
  <c r="AF4" i="8"/>
  <c r="P4" i="8"/>
  <c r="AB4" i="8" s="1"/>
  <c r="AG12" i="8"/>
  <c r="Y12" i="8"/>
  <c r="X15" i="8"/>
  <c r="P15" i="8"/>
  <c r="AB15" i="8" s="1"/>
  <c r="AI20" i="8"/>
  <c r="AA20" i="8"/>
  <c r="AI24" i="8"/>
  <c r="AA24" i="8"/>
  <c r="X17" i="8"/>
  <c r="P17" i="8"/>
  <c r="AB17" i="8" s="1"/>
  <c r="L24" i="8"/>
  <c r="P20" i="8"/>
  <c r="AB20" i="8" s="1"/>
  <c r="AF20" i="8"/>
  <c r="X20" i="8"/>
  <c r="X21" i="8"/>
  <c r="P21" i="8"/>
  <c r="AI12" i="8"/>
  <c r="AA12" i="8"/>
  <c r="D21" i="9"/>
  <c r="AT18" i="8"/>
  <c r="AF34" i="8"/>
  <c r="X34" i="8"/>
  <c r="P34" i="8"/>
  <c r="E37" i="9"/>
  <c r="M33" i="8"/>
  <c r="Y33" i="8" s="1"/>
  <c r="P48" i="8"/>
  <c r="AB48" i="8" s="1"/>
  <c r="X48" i="8"/>
  <c r="L49" i="8"/>
  <c r="L47" i="8"/>
  <c r="N46" i="8"/>
  <c r="N47" i="8"/>
  <c r="Z47" i="8" s="1"/>
  <c r="AH47" i="8" s="1"/>
  <c r="AQ47" i="8" s="1"/>
  <c r="F65" i="9"/>
  <c r="AV45" i="8"/>
  <c r="AQ45" i="8"/>
  <c r="L42" i="8"/>
  <c r="P42" i="8" s="1"/>
  <c r="P41" i="8"/>
  <c r="X41" i="8"/>
  <c r="AF41" i="8" s="1"/>
  <c r="P39" i="8"/>
  <c r="AB39" i="8" s="1"/>
  <c r="X39" i="8"/>
  <c r="AF39" i="8" s="1"/>
  <c r="P38" i="8"/>
  <c r="AB38" i="8" s="1"/>
  <c r="X38" i="8"/>
  <c r="AF38" i="8" s="1"/>
  <c r="AA3" i="8"/>
  <c r="AI3" i="8" s="1"/>
  <c r="F25" i="9"/>
  <c r="F24" i="9"/>
  <c r="F23" i="9"/>
  <c r="F22" i="9"/>
  <c r="AV19" i="8"/>
  <c r="AQ19" i="8"/>
  <c r="X29" i="8"/>
  <c r="AF29" i="8" s="1"/>
  <c r="AO29" i="8" s="1"/>
  <c r="P29" i="8"/>
  <c r="AB29" i="8" s="1"/>
  <c r="X18" i="8"/>
  <c r="AF18" i="8" s="1"/>
  <c r="P18" i="8"/>
  <c r="AG26" i="8"/>
  <c r="D33" i="9"/>
  <c r="AT27" i="8"/>
  <c r="AA16" i="8"/>
  <c r="AI16" i="8"/>
  <c r="Z24" i="8"/>
  <c r="AH24" i="8"/>
  <c r="X46" i="8"/>
  <c r="AF48" i="8"/>
  <c r="AF46" i="8"/>
  <c r="P45" i="8"/>
  <c r="X45" i="8"/>
  <c r="AF45" i="8" s="1"/>
  <c r="E54" i="9"/>
  <c r="Y36" i="8"/>
  <c r="D52" i="9"/>
  <c r="AT38" i="8"/>
  <c r="AG4" i="8"/>
  <c r="Y4" i="8"/>
  <c r="AH4" i="8"/>
  <c r="Z4" i="8"/>
  <c r="AG24" i="8"/>
  <c r="Y24" i="8"/>
  <c r="AI34" i="8"/>
  <c r="AA34" i="8"/>
  <c r="Z10" i="8"/>
  <c r="AH10" i="8"/>
  <c r="AG16" i="8"/>
  <c r="Y16" i="8"/>
  <c r="E25" i="9"/>
  <c r="E24" i="9"/>
  <c r="E23" i="9"/>
  <c r="E22" i="9"/>
  <c r="AP19" i="8"/>
  <c r="AU19" i="8"/>
  <c r="D23" i="9"/>
  <c r="D22" i="9"/>
  <c r="D25" i="9"/>
  <c r="D24" i="9"/>
  <c r="AT19" i="8"/>
  <c r="AI30" i="8"/>
  <c r="F35" i="9"/>
  <c r="AV29" i="8"/>
  <c r="AQ29" i="8"/>
  <c r="AH12" i="8"/>
  <c r="Z12" i="8"/>
  <c r="Y10" i="8"/>
  <c r="AG10" i="8"/>
  <c r="X13" i="8"/>
  <c r="P13" i="8"/>
  <c r="F21" i="9"/>
  <c r="N22" i="8"/>
  <c r="Z22" i="8" s="1"/>
  <c r="P27" i="8"/>
  <c r="AB27" i="8" s="1"/>
  <c r="X27" i="8"/>
  <c r="AF27" i="8" s="1"/>
  <c r="P26" i="8"/>
  <c r="AB26" i="8" s="1"/>
  <c r="X26" i="8"/>
  <c r="N49" i="8"/>
  <c r="Z49" i="8" s="1"/>
  <c r="O46" i="8"/>
  <c r="P44" i="8"/>
  <c r="AB44" i="8" s="1"/>
  <c r="X44" i="8"/>
  <c r="AF44" i="8" s="1"/>
  <c r="D57" i="9"/>
  <c r="D56" i="9"/>
  <c r="Y42" i="8"/>
  <c r="AG42" i="8"/>
  <c r="D53" i="9"/>
  <c r="AT39" i="8"/>
  <c r="AA36" i="8"/>
  <c r="P5" i="8"/>
  <c r="AB5" i="8" s="1"/>
  <c r="X5" i="8"/>
  <c r="X22" i="8"/>
  <c r="AF22" i="8"/>
  <c r="E21" i="9"/>
  <c r="AP18" i="8"/>
  <c r="AU18" i="8"/>
  <c r="Y22" i="8"/>
  <c r="AG22" i="8"/>
  <c r="D69" i="9"/>
  <c r="AT49" i="8"/>
  <c r="AA42" i="8"/>
  <c r="AI42" i="8"/>
  <c r="G6" i="8"/>
  <c r="O6" i="8" s="1"/>
  <c r="AA6" i="8" s="1"/>
  <c r="AI6" i="8" s="1"/>
  <c r="F9" i="8"/>
  <c r="G7" i="8"/>
  <c r="O7" i="8" s="1"/>
  <c r="AA7" i="8" s="1"/>
  <c r="AI7" i="8" s="1"/>
  <c r="E9" i="8"/>
  <c r="M9" i="8" s="1"/>
  <c r="Y9" i="8" s="1"/>
  <c r="AG9" i="8" s="1"/>
  <c r="E7" i="8"/>
  <c r="M7" i="8" s="1"/>
  <c r="Y7" i="8" s="1"/>
  <c r="AG7" i="8" s="1"/>
  <c r="D6" i="8"/>
  <c r="L6" i="8" s="1"/>
  <c r="E6" i="8"/>
  <c r="M6" i="8" s="1"/>
  <c r="Y6" i="8" s="1"/>
  <c r="AG6" i="8" s="1"/>
  <c r="G9" i="8"/>
  <c r="O9" i="8" s="1"/>
  <c r="AA9" i="8" s="1"/>
  <c r="AI9" i="8" s="1"/>
  <c r="F8" i="8"/>
  <c r="N8" i="8" s="1"/>
  <c r="Z8" i="8" s="1"/>
  <c r="AH8" i="8" s="1"/>
  <c r="D8" i="8"/>
  <c r="L8" i="8" s="1"/>
  <c r="F7" i="8"/>
  <c r="N7" i="8" s="1"/>
  <c r="Z7" i="8" s="1"/>
  <c r="AH7" i="8" s="1"/>
  <c r="F6" i="8"/>
  <c r="N6" i="8" s="1"/>
  <c r="Z6" i="8" s="1"/>
  <c r="AH6" i="8" s="1"/>
  <c r="D7" i="8"/>
  <c r="L7" i="8" s="1"/>
  <c r="E8" i="8"/>
  <c r="M8" i="8" s="1"/>
  <c r="Y8" i="8" s="1"/>
  <c r="AG8" i="8" s="1"/>
  <c r="G8" i="8"/>
  <c r="O8" i="8" s="1"/>
  <c r="AA8" i="8" s="1"/>
  <c r="AI8" i="8" s="1"/>
  <c r="D9" i="8"/>
  <c r="L9" i="8" s="1"/>
  <c r="E53" i="9"/>
  <c r="AU39" i="8"/>
  <c r="AP39" i="8"/>
  <c r="P40" i="8"/>
  <c r="AB40" i="8" s="1"/>
  <c r="X40" i="8"/>
  <c r="AF40" i="8" s="1"/>
  <c r="D54" i="9"/>
  <c r="AT40" i="8"/>
  <c r="L36" i="8"/>
  <c r="Z36" i="8"/>
  <c r="F52" i="9"/>
  <c r="AV38" i="8"/>
  <c r="AQ38" i="8"/>
  <c r="X3" i="8"/>
  <c r="AF3" i="8" s="1"/>
  <c r="P3" i="8"/>
  <c r="Z3" i="8"/>
  <c r="AH3" i="8" s="1"/>
  <c r="Y3" i="8"/>
  <c r="AG3" i="8" s="1"/>
  <c r="AG20" i="8"/>
  <c r="Y20" i="8"/>
  <c r="P31" i="8"/>
  <c r="X31" i="8"/>
  <c r="AF31" i="8" s="1"/>
  <c r="AO31" i="8" s="1"/>
  <c r="AI26" i="8"/>
  <c r="F33" i="9"/>
  <c r="AQ27" i="8"/>
  <c r="AV27" i="8"/>
  <c r="X30" i="8"/>
  <c r="P30" i="8"/>
  <c r="AB30" i="8" s="1"/>
  <c r="AF10" i="8"/>
  <c r="X10" i="8"/>
  <c r="P10" i="8"/>
  <c r="AB10" i="8" s="1"/>
  <c r="AH26" i="8"/>
  <c r="E33" i="9"/>
  <c r="AP27" i="8"/>
  <c r="AU27" i="8"/>
  <c r="AH16" i="8"/>
  <c r="Z16" i="8"/>
  <c r="E34" i="9"/>
  <c r="AP28" i="8"/>
  <c r="AU28" i="8"/>
  <c r="AG30" i="8"/>
  <c r="D35" i="9"/>
  <c r="AT29" i="8"/>
  <c r="O33" i="8"/>
  <c r="AA33" i="8" s="1"/>
  <c r="AH30" i="8"/>
  <c r="E35" i="9"/>
  <c r="AU29" i="8"/>
  <c r="AP29" i="8"/>
  <c r="X12" i="8"/>
  <c r="P12" i="8"/>
  <c r="AB12" i="8" s="1"/>
  <c r="AF12" i="8"/>
  <c r="P32" i="8"/>
  <c r="AB32" i="8" s="1"/>
  <c r="X32" i="8"/>
  <c r="X28" i="8"/>
  <c r="AF28" i="8" s="1"/>
  <c r="P28" i="8"/>
  <c r="AB28" i="8" s="1"/>
  <c r="X19" i="8"/>
  <c r="AF19" i="8" s="1"/>
  <c r="P19" i="8"/>
  <c r="AI10" i="8"/>
  <c r="AA10" i="8"/>
  <c r="X14" i="8"/>
  <c r="P14" i="8"/>
  <c r="P16" i="8"/>
  <c r="AB16" i="8" s="1"/>
  <c r="AF16" i="8"/>
  <c r="X16" i="8"/>
  <c r="AG34" i="8"/>
  <c r="Y34" i="8"/>
  <c r="AH34" i="8"/>
  <c r="Z34" i="8"/>
  <c r="O49" i="8"/>
  <c r="AA49" i="8" s="1"/>
  <c r="M47" i="8"/>
  <c r="Y47" i="8" s="1"/>
  <c r="AG47" i="8" s="1"/>
  <c r="M46" i="8"/>
  <c r="O47" i="8"/>
  <c r="AA47" i="8" s="1"/>
  <c r="AI47" i="8" s="1"/>
  <c r="F67" i="9" s="1"/>
  <c r="X43" i="8"/>
  <c r="P43" i="8"/>
  <c r="AB43" i="8" s="1"/>
  <c r="D55" i="9"/>
  <c r="AT44" i="8"/>
  <c r="D65" i="9"/>
  <c r="AT45" i="8"/>
  <c r="F55" i="9"/>
  <c r="AQ44" i="8"/>
  <c r="AV44" i="8"/>
  <c r="E55" i="9"/>
  <c r="AU44" i="8"/>
  <c r="AP44" i="8"/>
  <c r="H17" i="8"/>
  <c r="H61" i="8"/>
  <c r="H64" i="8"/>
  <c r="H40" i="8"/>
  <c r="H21" i="8"/>
  <c r="H13" i="8"/>
  <c r="H10" i="8"/>
  <c r="H62" i="8"/>
  <c r="H23" i="8"/>
  <c r="H44" i="8"/>
  <c r="H58" i="8"/>
  <c r="H4" i="8"/>
  <c r="H34" i="8"/>
  <c r="H20" i="8"/>
  <c r="H18" i="8"/>
  <c r="H27" i="8"/>
  <c r="H32" i="8"/>
  <c r="H51" i="8"/>
  <c r="H59" i="8"/>
  <c r="H25" i="8"/>
  <c r="H30" i="8"/>
  <c r="H16" i="8"/>
  <c r="H26" i="8"/>
  <c r="H14" i="8"/>
  <c r="H15" i="8"/>
  <c r="H31" i="8"/>
  <c r="H36" i="8"/>
  <c r="H50" i="8"/>
  <c r="H55" i="8"/>
  <c r="H46" i="8"/>
  <c r="H45" i="8"/>
  <c r="H63" i="8"/>
  <c r="H41" i="8"/>
  <c r="H37" i="8"/>
  <c r="H5" i="8"/>
  <c r="H33" i="8"/>
  <c r="H28" i="8"/>
  <c r="H53" i="8"/>
  <c r="H56" i="8"/>
  <c r="H38" i="8"/>
  <c r="H3" i="8"/>
  <c r="H29" i="8"/>
  <c r="H11" i="8"/>
  <c r="H48" i="8"/>
  <c r="M6" i="1"/>
  <c r="D16" i="3" s="1"/>
  <c r="H39" i="8"/>
  <c r="H24" i="8"/>
  <c r="H12" i="8"/>
  <c r="H22" i="8"/>
  <c r="H19" i="8"/>
  <c r="H35" i="8"/>
  <c r="H54" i="8"/>
  <c r="H49" i="8"/>
  <c r="H52" i="8"/>
  <c r="H47" i="8"/>
  <c r="H57" i="8"/>
  <c r="H60" i="8"/>
  <c r="H42" i="8"/>
  <c r="H43" i="8"/>
  <c r="M12" i="1"/>
  <c r="J16" i="3" s="1"/>
  <c r="M9" i="1"/>
  <c r="G16" i="3" s="1"/>
  <c r="M13" i="1"/>
  <c r="K16" i="3" s="1"/>
  <c r="K4" i="1"/>
  <c r="M7" i="1"/>
  <c r="E16" i="3" s="1"/>
  <c r="J4" i="1"/>
  <c r="M8" i="1"/>
  <c r="F16" i="3" s="1"/>
  <c r="I4" i="1"/>
  <c r="L4" i="1"/>
  <c r="M11" i="1"/>
  <c r="I16" i="3" s="1"/>
  <c r="AB14" i="8" l="1"/>
  <c r="D58" i="9"/>
  <c r="AP38" i="8"/>
  <c r="AT31" i="8"/>
  <c r="E65" i="9"/>
  <c r="AO41" i="8"/>
  <c r="AB35" i="8"/>
  <c r="L50" i="8"/>
  <c r="AH32" i="8"/>
  <c r="AB23" i="8"/>
  <c r="AV47" i="8"/>
  <c r="AU45" i="8"/>
  <c r="AQ18" i="8"/>
  <c r="AP40" i="8"/>
  <c r="AB41" i="8"/>
  <c r="AP31" i="8"/>
  <c r="F37" i="9"/>
  <c r="AB21" i="8"/>
  <c r="AQ40" i="8"/>
  <c r="AS16" i="8"/>
  <c r="AB3" i="8"/>
  <c r="AB42" i="8"/>
  <c r="P35" i="9"/>
  <c r="P69" i="9"/>
  <c r="P25" i="9"/>
  <c r="Q52" i="9"/>
  <c r="P37" i="9"/>
  <c r="R34" i="9"/>
  <c r="P65" i="9"/>
  <c r="Q33" i="9"/>
  <c r="P22" i="9"/>
  <c r="Q22" i="9"/>
  <c r="R24" i="9"/>
  <c r="R65" i="9"/>
  <c r="Q58" i="9"/>
  <c r="R57" i="9"/>
  <c r="Q55" i="9"/>
  <c r="Q53" i="9"/>
  <c r="P58" i="9"/>
  <c r="Q25" i="9"/>
  <c r="R23" i="9"/>
  <c r="R56" i="9"/>
  <c r="R67" i="9"/>
  <c r="R33" i="9"/>
  <c r="R52" i="9"/>
  <c r="Q21" i="9"/>
  <c r="P53" i="9"/>
  <c r="P56" i="9"/>
  <c r="P23" i="9"/>
  <c r="Q23" i="9"/>
  <c r="P52" i="9"/>
  <c r="R25" i="9"/>
  <c r="P21" i="9"/>
  <c r="R58" i="9"/>
  <c r="P34" i="9"/>
  <c r="Q35" i="9"/>
  <c r="Q34" i="9"/>
  <c r="R35" i="9"/>
  <c r="R54" i="9"/>
  <c r="Q57" i="9"/>
  <c r="R55" i="9"/>
  <c r="P55" i="9"/>
  <c r="P54" i="9"/>
  <c r="P57" i="9"/>
  <c r="Q65" i="9"/>
  <c r="R21" i="9"/>
  <c r="P24" i="9"/>
  <c r="Q24" i="9"/>
  <c r="Q54" i="9"/>
  <c r="P33" i="9"/>
  <c r="R22" i="9"/>
  <c r="Q37" i="9"/>
  <c r="Q56" i="9"/>
  <c r="AB19" i="8"/>
  <c r="AI32" i="8"/>
  <c r="AI33" i="8" s="1"/>
  <c r="AB31" i="8"/>
  <c r="AB13" i="8"/>
  <c r="AV40" i="8"/>
  <c r="AB18" i="8"/>
  <c r="AQ31" i="8"/>
  <c r="AB34" i="8"/>
  <c r="V50" i="8"/>
  <c r="AB45" i="8"/>
  <c r="X50" i="8"/>
  <c r="D67" i="9"/>
  <c r="AT47" i="8"/>
  <c r="AI11" i="8"/>
  <c r="F13" i="9"/>
  <c r="AV10" i="8"/>
  <c r="AQ10" i="8"/>
  <c r="AG21" i="8"/>
  <c r="D26" i="9"/>
  <c r="AO20" i="8"/>
  <c r="AT20" i="8"/>
  <c r="D8" i="9"/>
  <c r="AT8" i="8"/>
  <c r="N9" i="8"/>
  <c r="N50" i="8" s="1"/>
  <c r="Z50" i="8" s="1"/>
  <c r="AV32" i="8"/>
  <c r="AQ32" i="8"/>
  <c r="AG35" i="8"/>
  <c r="D40" i="9"/>
  <c r="AT34" i="8"/>
  <c r="AO34" i="8"/>
  <c r="E36" i="9"/>
  <c r="AU30" i="8"/>
  <c r="AP30" i="8"/>
  <c r="C37" i="9"/>
  <c r="AF32" i="8"/>
  <c r="AS31" i="8"/>
  <c r="M50" i="8"/>
  <c r="Y50" i="8" s="1"/>
  <c r="P36" i="8"/>
  <c r="AB36" i="8" s="1"/>
  <c r="X36" i="8"/>
  <c r="AS40" i="8"/>
  <c r="C54" i="9"/>
  <c r="AO40" i="8"/>
  <c r="P7" i="8"/>
  <c r="AB7" i="8" s="1"/>
  <c r="X7" i="8"/>
  <c r="AF7" i="8" s="1"/>
  <c r="AO7" i="8" s="1"/>
  <c r="E8" i="9"/>
  <c r="AU8" i="8"/>
  <c r="AP8" i="8"/>
  <c r="D7" i="9"/>
  <c r="AT7" i="8"/>
  <c r="AV6" i="8"/>
  <c r="F6" i="9"/>
  <c r="AQ6" i="8"/>
  <c r="AF23" i="8"/>
  <c r="C28" i="9"/>
  <c r="AS22" i="8"/>
  <c r="AH22" i="8"/>
  <c r="AQ22" i="8" s="1"/>
  <c r="AG25" i="8"/>
  <c r="D30" i="9"/>
  <c r="AT24" i="8"/>
  <c r="AG5" i="8"/>
  <c r="D4" i="9"/>
  <c r="AT4" i="8"/>
  <c r="AO4" i="8"/>
  <c r="AG37" i="8"/>
  <c r="D47" i="9"/>
  <c r="D43" i="9"/>
  <c r="D50" i="9"/>
  <c r="D46" i="9"/>
  <c r="D42" i="9"/>
  <c r="D49" i="9"/>
  <c r="D45" i="9"/>
  <c r="D48" i="9"/>
  <c r="D44" i="9"/>
  <c r="AT36" i="8"/>
  <c r="AS45" i="8"/>
  <c r="C65" i="9"/>
  <c r="AO45" i="8"/>
  <c r="D32" i="9"/>
  <c r="AT26" i="8"/>
  <c r="AF30" i="8"/>
  <c r="C35" i="9"/>
  <c r="AS29" i="8"/>
  <c r="AW29" i="8" s="1"/>
  <c r="AX29" i="8" s="1"/>
  <c r="O50" i="8"/>
  <c r="AA50" i="8" s="1"/>
  <c r="C53" i="9"/>
  <c r="AS39" i="8"/>
  <c r="X49" i="8"/>
  <c r="AF49" i="8" s="1"/>
  <c r="P49" i="8"/>
  <c r="AB49" i="8" s="1"/>
  <c r="X24" i="8"/>
  <c r="P24" i="8"/>
  <c r="AB24" i="8" s="1"/>
  <c r="AI5" i="8"/>
  <c r="F4" i="9"/>
  <c r="AV4" i="8"/>
  <c r="AQ4" i="8"/>
  <c r="AH43" i="8"/>
  <c r="E61" i="9"/>
  <c r="E60" i="9"/>
  <c r="E59" i="9"/>
  <c r="AP42" i="8"/>
  <c r="AU42" i="8"/>
  <c r="AI23" i="8"/>
  <c r="F28" i="9"/>
  <c r="AV22" i="8"/>
  <c r="P37" i="8"/>
  <c r="AB37" i="8" s="1"/>
  <c r="F32" i="9"/>
  <c r="AV26" i="8"/>
  <c r="AQ26" i="8"/>
  <c r="E3" i="9"/>
  <c r="AU3" i="8"/>
  <c r="AP3" i="8"/>
  <c r="AH37" i="8"/>
  <c r="E50" i="9"/>
  <c r="E49" i="9"/>
  <c r="E48" i="9"/>
  <c r="E47" i="9"/>
  <c r="E46" i="9"/>
  <c r="E45" i="9"/>
  <c r="E44" i="9"/>
  <c r="E43" i="9"/>
  <c r="E42" i="9"/>
  <c r="AP36" i="8"/>
  <c r="AU36" i="8"/>
  <c r="X6" i="8"/>
  <c r="AF6" i="8" s="1"/>
  <c r="P6" i="8"/>
  <c r="AB6" i="8" s="1"/>
  <c r="C55" i="9"/>
  <c r="AS44" i="8"/>
  <c r="AW44" i="8" s="1"/>
  <c r="AX44" i="8" s="1"/>
  <c r="C68" i="9"/>
  <c r="AS48" i="8"/>
  <c r="AG13" i="8"/>
  <c r="D15" i="9"/>
  <c r="AO12" i="8"/>
  <c r="AT12" i="8"/>
  <c r="AO44" i="8"/>
  <c r="AS19" i="8"/>
  <c r="AW19" i="8" s="1"/>
  <c r="AX19" i="8" s="1"/>
  <c r="C25" i="9"/>
  <c r="C24" i="9"/>
  <c r="C23" i="9"/>
  <c r="C22" i="9"/>
  <c r="AO19" i="8"/>
  <c r="D36" i="9"/>
  <c r="AT30" i="8"/>
  <c r="AO30" i="8"/>
  <c r="AF11" i="8"/>
  <c r="C13" i="9"/>
  <c r="AS10" i="8"/>
  <c r="D3" i="9"/>
  <c r="AT3" i="8"/>
  <c r="AO3" i="8"/>
  <c r="X9" i="8"/>
  <c r="AF9" i="8" s="1"/>
  <c r="AU6" i="8"/>
  <c r="E6" i="9"/>
  <c r="AP6" i="8"/>
  <c r="F12" i="9"/>
  <c r="F11" i="9"/>
  <c r="F10" i="9"/>
  <c r="F9" i="9"/>
  <c r="AV9" i="8"/>
  <c r="D11" i="9"/>
  <c r="D10" i="9"/>
  <c r="D9" i="9"/>
  <c r="D12" i="9"/>
  <c r="AT9" i="8"/>
  <c r="AI43" i="8"/>
  <c r="F61" i="9"/>
  <c r="F60" i="9"/>
  <c r="F59" i="9"/>
  <c r="AQ42" i="8"/>
  <c r="AV42" i="8"/>
  <c r="P22" i="8"/>
  <c r="AB22" i="8" s="1"/>
  <c r="AG43" i="8"/>
  <c r="D61" i="9"/>
  <c r="D60" i="9"/>
  <c r="D59" i="9"/>
  <c r="AT42" i="8"/>
  <c r="P46" i="8"/>
  <c r="AB46" i="8" s="1"/>
  <c r="AA46" i="8"/>
  <c r="AI46" i="8"/>
  <c r="AI48" i="8"/>
  <c r="AF26" i="8"/>
  <c r="AO26" i="8" s="1"/>
  <c r="C33" i="9"/>
  <c r="AS27" i="8"/>
  <c r="AW27" i="8" s="1"/>
  <c r="AX27" i="8" s="1"/>
  <c r="AH13" i="8"/>
  <c r="E15" i="9"/>
  <c r="AU12" i="8"/>
  <c r="AP12" i="8"/>
  <c r="AV30" i="8"/>
  <c r="F36" i="9"/>
  <c r="AQ30" i="8"/>
  <c r="AH25" i="8"/>
  <c r="E30" i="9"/>
  <c r="AU24" i="8"/>
  <c r="AP24" i="8"/>
  <c r="P33" i="8"/>
  <c r="AB33" i="8" s="1"/>
  <c r="F3" i="9"/>
  <c r="AV3" i="8"/>
  <c r="AQ3" i="8"/>
  <c r="AF42" i="8"/>
  <c r="E67" i="9"/>
  <c r="AU47" i="8"/>
  <c r="AP47" i="8"/>
  <c r="AF24" i="8"/>
  <c r="AO24" i="8" s="1"/>
  <c r="AI25" i="8"/>
  <c r="F30" i="9"/>
  <c r="AV24" i="8"/>
  <c r="AQ24" i="8"/>
  <c r="AF5" i="8"/>
  <c r="C4" i="9"/>
  <c r="AS4" i="8"/>
  <c r="D38" i="9"/>
  <c r="AG33" i="8"/>
  <c r="AT32" i="8"/>
  <c r="C34" i="9"/>
  <c r="AS28" i="8"/>
  <c r="AW28" i="8" s="1"/>
  <c r="AX28" i="8" s="1"/>
  <c r="P8" i="8"/>
  <c r="AB8" i="8" s="1"/>
  <c r="X8" i="8"/>
  <c r="AF8" i="8" s="1"/>
  <c r="AO8" i="8" s="1"/>
  <c r="AG23" i="8"/>
  <c r="D28" i="9"/>
  <c r="AT22" i="8"/>
  <c r="AO22" i="8"/>
  <c r="AH11" i="8"/>
  <c r="E13" i="9"/>
  <c r="AU10" i="8"/>
  <c r="AP10" i="8"/>
  <c r="AI17" i="8"/>
  <c r="F19" i="9"/>
  <c r="AV16" i="8"/>
  <c r="AQ16" i="8"/>
  <c r="X47" i="8"/>
  <c r="AF47" i="8" s="1"/>
  <c r="P47" i="8"/>
  <c r="AB47" i="8" s="1"/>
  <c r="E38" i="9"/>
  <c r="AH33" i="8"/>
  <c r="AU32" i="8"/>
  <c r="AP32" i="8"/>
  <c r="AI21" i="8"/>
  <c r="F26" i="9"/>
  <c r="AV20" i="8"/>
  <c r="AQ20" i="8"/>
  <c r="Y46" i="8"/>
  <c r="AG46" i="8"/>
  <c r="AG48" i="8"/>
  <c r="AO48" i="8" s="1"/>
  <c r="AH35" i="8"/>
  <c r="E40" i="9"/>
  <c r="AU34" i="8"/>
  <c r="AP34" i="8"/>
  <c r="AF17" i="8"/>
  <c r="C19" i="9"/>
  <c r="AF13" i="8"/>
  <c r="C15" i="9"/>
  <c r="AS12" i="8"/>
  <c r="AH17" i="8"/>
  <c r="E19" i="9"/>
  <c r="AU16" i="8"/>
  <c r="AP16" i="8"/>
  <c r="E32" i="9"/>
  <c r="AP26" i="8"/>
  <c r="AU26" i="8"/>
  <c r="AS3" i="8"/>
  <c r="C3" i="9"/>
  <c r="F8" i="9"/>
  <c r="AV8" i="8"/>
  <c r="AQ8" i="8"/>
  <c r="E7" i="9"/>
  <c r="AU7" i="8"/>
  <c r="AP7" i="8"/>
  <c r="D6" i="9"/>
  <c r="AT6" i="8"/>
  <c r="F7" i="9"/>
  <c r="AV7" i="8"/>
  <c r="AQ7" i="8"/>
  <c r="AI49" i="8"/>
  <c r="E69" i="9"/>
  <c r="AU49" i="8"/>
  <c r="AP49" i="8"/>
  <c r="AI37" i="8"/>
  <c r="F50" i="9"/>
  <c r="F49" i="9"/>
  <c r="F48" i="9"/>
  <c r="F47" i="9"/>
  <c r="F46" i="9"/>
  <c r="F45" i="9"/>
  <c r="F44" i="9"/>
  <c r="F43" i="9"/>
  <c r="F42" i="9"/>
  <c r="AV36" i="8"/>
  <c r="AQ36" i="8"/>
  <c r="AG11" i="8"/>
  <c r="D13" i="9"/>
  <c r="AT10" i="8"/>
  <c r="AO10" i="8"/>
  <c r="AG17" i="8"/>
  <c r="D19" i="9"/>
  <c r="AT16" i="8"/>
  <c r="AO16" i="8"/>
  <c r="AI35" i="8"/>
  <c r="F40" i="9"/>
  <c r="AV34" i="8"/>
  <c r="AQ34" i="8"/>
  <c r="AH5" i="8"/>
  <c r="E4" i="9"/>
  <c r="AU4" i="8"/>
  <c r="AP4" i="8"/>
  <c r="C66" i="9"/>
  <c r="AS46" i="8"/>
  <c r="AO27" i="8"/>
  <c r="AO18" i="8"/>
  <c r="C21" i="9"/>
  <c r="AS18" i="8"/>
  <c r="AW18" i="8" s="1"/>
  <c r="AX18" i="8" s="1"/>
  <c r="AS38" i="8"/>
  <c r="AW38" i="8" s="1"/>
  <c r="BC20" i="8" s="1"/>
  <c r="C52" i="9"/>
  <c r="AO38" i="8"/>
  <c r="AS41" i="8"/>
  <c r="AW41" i="8" s="1"/>
  <c r="C57" i="9"/>
  <c r="C56" i="9"/>
  <c r="C58" i="9"/>
  <c r="AH46" i="8"/>
  <c r="AH48" i="8"/>
  <c r="Z46" i="8"/>
  <c r="AF35" i="8"/>
  <c r="C40" i="9"/>
  <c r="AS34" i="8"/>
  <c r="AI13" i="8"/>
  <c r="F15" i="9"/>
  <c r="AV12" i="8"/>
  <c r="AQ12" i="8"/>
  <c r="AF21" i="8"/>
  <c r="C26" i="9"/>
  <c r="AS20" i="8"/>
  <c r="F53" i="9"/>
  <c r="AQ39" i="8"/>
  <c r="AV39" i="8"/>
  <c r="AO28" i="8"/>
  <c r="AH21" i="8"/>
  <c r="E26" i="9"/>
  <c r="AP20" i="8"/>
  <c r="AU20" i="8"/>
  <c r="AO39" i="8"/>
  <c r="F65" i="8"/>
  <c r="H8" i="8"/>
  <c r="G65" i="8"/>
  <c r="E65" i="8"/>
  <c r="H6" i="8"/>
  <c r="D65" i="8"/>
  <c r="H9" i="8"/>
  <c r="H7" i="8"/>
  <c r="D10" i="7" a="1"/>
  <c r="M4" i="1"/>
  <c r="B16" i="3" s="1"/>
  <c r="AW31" i="8" l="1"/>
  <c r="AX31" i="8" s="1"/>
  <c r="F38" i="9"/>
  <c r="AW34" i="8"/>
  <c r="AW16" i="8"/>
  <c r="AX16" i="8" s="1"/>
  <c r="AW45" i="8"/>
  <c r="AX45" i="8" s="1"/>
  <c r="R37" i="9"/>
  <c r="AW40" i="8"/>
  <c r="AX40" i="8" s="1"/>
  <c r="P9" i="8"/>
  <c r="AB9" i="8" s="1"/>
  <c r="O40" i="9"/>
  <c r="P19" i="9"/>
  <c r="Q69" i="9"/>
  <c r="R8" i="9"/>
  <c r="R30" i="9"/>
  <c r="Q15" i="9"/>
  <c r="P10" i="9"/>
  <c r="O23" i="9"/>
  <c r="Q45" i="9"/>
  <c r="R32" i="9"/>
  <c r="P44" i="9"/>
  <c r="P4" i="9"/>
  <c r="P67" i="9"/>
  <c r="O26" i="9"/>
  <c r="R15" i="9"/>
  <c r="O58" i="9"/>
  <c r="O21" i="9"/>
  <c r="O66" i="9"/>
  <c r="R43" i="9"/>
  <c r="R47" i="9"/>
  <c r="Q7" i="9"/>
  <c r="O3" i="9"/>
  <c r="Q32" i="9"/>
  <c r="O19" i="9"/>
  <c r="Q40" i="9"/>
  <c r="Q38" i="9"/>
  <c r="Q67" i="9"/>
  <c r="R3" i="9"/>
  <c r="Q30" i="9"/>
  <c r="R59" i="9"/>
  <c r="P11" i="9"/>
  <c r="R11" i="9"/>
  <c r="O13" i="9"/>
  <c r="P36" i="9"/>
  <c r="O24" i="9"/>
  <c r="Q42" i="9"/>
  <c r="Q46" i="9"/>
  <c r="Q50" i="9"/>
  <c r="Q3" i="9"/>
  <c r="Q61" i="9"/>
  <c r="R4" i="9"/>
  <c r="O65" i="9"/>
  <c r="P48" i="9"/>
  <c r="P46" i="9"/>
  <c r="P7" i="9"/>
  <c r="P40" i="9"/>
  <c r="P26" i="9"/>
  <c r="R13" i="9"/>
  <c r="Q4" i="9"/>
  <c r="R42" i="9"/>
  <c r="R46" i="9"/>
  <c r="R7" i="9"/>
  <c r="R26" i="9"/>
  <c r="R36" i="9"/>
  <c r="R10" i="9"/>
  <c r="Q6" i="9"/>
  <c r="Q49" i="9"/>
  <c r="O53" i="9"/>
  <c r="P47" i="9"/>
  <c r="Q8" i="9"/>
  <c r="Q26" i="9"/>
  <c r="O56" i="9"/>
  <c r="R44" i="9"/>
  <c r="P6" i="9"/>
  <c r="Q13" i="9"/>
  <c r="P38" i="9"/>
  <c r="R60" i="9"/>
  <c r="R12" i="9"/>
  <c r="O25" i="9"/>
  <c r="Q43" i="9"/>
  <c r="P45" i="9"/>
  <c r="R6" i="9"/>
  <c r="R38" i="9"/>
  <c r="P8" i="9"/>
  <c r="R40" i="9"/>
  <c r="P13" i="9"/>
  <c r="R50" i="9"/>
  <c r="Q19" i="9"/>
  <c r="O4" i="9"/>
  <c r="P61" i="9"/>
  <c r="O55" i="9"/>
  <c r="Q60" i="9"/>
  <c r="P42" i="9"/>
  <c r="O54" i="9"/>
  <c r="O52" i="9"/>
  <c r="R48" i="9"/>
  <c r="R19" i="9"/>
  <c r="P28" i="9"/>
  <c r="P59" i="9"/>
  <c r="P12" i="9"/>
  <c r="O68" i="9"/>
  <c r="Q47" i="9"/>
  <c r="P50" i="9"/>
  <c r="Q36" i="9"/>
  <c r="R53" i="9"/>
  <c r="O57" i="9"/>
  <c r="R45" i="9"/>
  <c r="R49" i="9"/>
  <c r="O15" i="9"/>
  <c r="O34" i="9"/>
  <c r="O33" i="9"/>
  <c r="P60" i="9"/>
  <c r="R61" i="9"/>
  <c r="P9" i="9"/>
  <c r="R9" i="9"/>
  <c r="P3" i="9"/>
  <c r="O22" i="9"/>
  <c r="P15" i="9"/>
  <c r="Q44" i="9"/>
  <c r="Q48" i="9"/>
  <c r="R28" i="9"/>
  <c r="Q59" i="9"/>
  <c r="O35" i="9"/>
  <c r="P32" i="9"/>
  <c r="P49" i="9"/>
  <c r="P43" i="9"/>
  <c r="P30" i="9"/>
  <c r="O28" i="9"/>
  <c r="O37" i="9"/>
  <c r="AW3" i="8"/>
  <c r="AW12" i="8"/>
  <c r="AX12" i="8" s="1"/>
  <c r="C20" i="9"/>
  <c r="AS17" i="8"/>
  <c r="C38" i="9"/>
  <c r="AO32" i="8"/>
  <c r="AS32" i="8"/>
  <c r="AW32" i="8" s="1"/>
  <c r="AX32" i="8" s="1"/>
  <c r="AF33" i="8"/>
  <c r="C39" i="9" s="1"/>
  <c r="D41" i="9"/>
  <c r="AT35" i="8"/>
  <c r="AO35" i="8"/>
  <c r="F39" i="9"/>
  <c r="AQ33" i="8"/>
  <c r="AV33" i="8"/>
  <c r="AW20" i="8"/>
  <c r="E66" i="9"/>
  <c r="AU46" i="8"/>
  <c r="AP46" i="8"/>
  <c r="AX41" i="8"/>
  <c r="D68" i="9"/>
  <c r="AT48" i="8"/>
  <c r="C67" i="9"/>
  <c r="AS47" i="8"/>
  <c r="AW47" i="8" s="1"/>
  <c r="AX47" i="8" s="1"/>
  <c r="F20" i="9"/>
  <c r="AV17" i="8"/>
  <c r="AQ17" i="8"/>
  <c r="E14" i="9"/>
  <c r="AU11" i="8"/>
  <c r="AP11" i="8"/>
  <c r="D29" i="9"/>
  <c r="AT23" i="8"/>
  <c r="AO23" i="8"/>
  <c r="AW4" i="8"/>
  <c r="AX4" i="8" s="1"/>
  <c r="AG14" i="8"/>
  <c r="D16" i="9"/>
  <c r="AT13" i="8"/>
  <c r="AO13" i="8"/>
  <c r="E64" i="9"/>
  <c r="E63" i="9"/>
  <c r="E62" i="9"/>
  <c r="AU43" i="8"/>
  <c r="AP43" i="8"/>
  <c r="F5" i="9"/>
  <c r="AQ5" i="8"/>
  <c r="AV5" i="8"/>
  <c r="C69" i="9"/>
  <c r="AS49" i="8"/>
  <c r="AO49" i="8"/>
  <c r="AT37" i="8"/>
  <c r="D51" i="9"/>
  <c r="D5" i="9"/>
  <c r="AO5" i="8"/>
  <c r="AT5" i="8"/>
  <c r="D31" i="9"/>
  <c r="AT25" i="8"/>
  <c r="C29" i="9"/>
  <c r="AS23" i="8"/>
  <c r="E27" i="9"/>
  <c r="AU21" i="8"/>
  <c r="AP21" i="8"/>
  <c r="E68" i="9"/>
  <c r="AP48" i="8"/>
  <c r="AU48" i="8"/>
  <c r="E41" i="9"/>
  <c r="AP35" i="8"/>
  <c r="AU35" i="8"/>
  <c r="C61" i="9"/>
  <c r="C60" i="9"/>
  <c r="C59" i="9"/>
  <c r="AF43" i="8"/>
  <c r="AO43" i="8" s="1"/>
  <c r="AS42" i="8"/>
  <c r="AW42" i="8" s="1"/>
  <c r="E31" i="9"/>
  <c r="AP25" i="8"/>
  <c r="AU25" i="8"/>
  <c r="AF37" i="8"/>
  <c r="AO37" i="8" s="1"/>
  <c r="C50" i="9"/>
  <c r="C49" i="9"/>
  <c r="C48" i="9"/>
  <c r="C47" i="9"/>
  <c r="C46" i="9"/>
  <c r="C45" i="9"/>
  <c r="C44" i="9"/>
  <c r="C43" i="9"/>
  <c r="C42" i="9"/>
  <c r="AS36" i="8"/>
  <c r="AW36" i="8" s="1"/>
  <c r="AW10" i="8"/>
  <c r="AS6" i="8"/>
  <c r="AW6" i="8" s="1"/>
  <c r="C6" i="9"/>
  <c r="E5" i="9"/>
  <c r="AU5" i="8"/>
  <c r="AP5" i="8"/>
  <c r="F41" i="9"/>
  <c r="AQ35" i="8"/>
  <c r="AV35" i="8"/>
  <c r="D20" i="9"/>
  <c r="AO17" i="8"/>
  <c r="AT17" i="8"/>
  <c r="D14" i="9"/>
  <c r="AO11" i="8"/>
  <c r="AT11" i="8"/>
  <c r="F51" i="9"/>
  <c r="AQ37" i="8"/>
  <c r="AV37" i="8"/>
  <c r="F69" i="9"/>
  <c r="AV49" i="8"/>
  <c r="AQ49" i="8"/>
  <c r="AO6" i="8"/>
  <c r="AF14" i="8"/>
  <c r="C16" i="9"/>
  <c r="AS13" i="8"/>
  <c r="AT46" i="8"/>
  <c r="D66" i="9"/>
  <c r="AO46" i="8"/>
  <c r="E39" i="9"/>
  <c r="AU33" i="8"/>
  <c r="AP33" i="8"/>
  <c r="AS8" i="8"/>
  <c r="AW8" i="8" s="1"/>
  <c r="AX8" i="8" s="1"/>
  <c r="C8" i="9"/>
  <c r="C32" i="9"/>
  <c r="AS26" i="8"/>
  <c r="AW26" i="8" s="1"/>
  <c r="C14" i="9"/>
  <c r="AS11" i="8"/>
  <c r="AW39" i="8"/>
  <c r="AO36" i="8"/>
  <c r="AH23" i="8"/>
  <c r="AQ23" i="8" s="1"/>
  <c r="E28" i="9"/>
  <c r="AU22" i="8"/>
  <c r="AW22" i="8" s="1"/>
  <c r="AX22" i="8" s="1"/>
  <c r="AP22" i="8"/>
  <c r="D27" i="9"/>
  <c r="AO21" i="8"/>
  <c r="AT21" i="8"/>
  <c r="F14" i="9"/>
  <c r="AQ11" i="8"/>
  <c r="AV11" i="8"/>
  <c r="P50" i="8"/>
  <c r="AB50" i="8" s="1"/>
  <c r="AX34" i="8"/>
  <c r="AX38" i="8"/>
  <c r="BC7" i="8"/>
  <c r="BE7" i="8" s="1"/>
  <c r="AF25" i="8"/>
  <c r="AO25" i="8" s="1"/>
  <c r="C30" i="9"/>
  <c r="AS24" i="8"/>
  <c r="AW24" i="8" s="1"/>
  <c r="AX24" i="8" s="1"/>
  <c r="F66" i="9"/>
  <c r="AQ46" i="8"/>
  <c r="AV46" i="8"/>
  <c r="AW46" i="8" s="1"/>
  <c r="D64" i="9"/>
  <c r="D63" i="9"/>
  <c r="D62" i="9"/>
  <c r="AT43" i="8"/>
  <c r="E51" i="9"/>
  <c r="AU37" i="8"/>
  <c r="AP37" i="8"/>
  <c r="C41" i="9"/>
  <c r="AS35" i="8"/>
  <c r="C27" i="9"/>
  <c r="AS21" i="8"/>
  <c r="AI14" i="8"/>
  <c r="F16" i="9"/>
  <c r="AQ13" i="8"/>
  <c r="AV13" i="8"/>
  <c r="E20" i="9"/>
  <c r="AU17" i="8"/>
  <c r="AP17" i="8"/>
  <c r="F27" i="9"/>
  <c r="AV21" i="8"/>
  <c r="AQ21" i="8"/>
  <c r="AT33" i="8"/>
  <c r="D39" i="9"/>
  <c r="C5" i="9"/>
  <c r="AS5" i="8"/>
  <c r="F31" i="9"/>
  <c r="AV25" i="8"/>
  <c r="AQ25" i="8"/>
  <c r="AH14" i="8"/>
  <c r="E16" i="9"/>
  <c r="AP13" i="8"/>
  <c r="AU13" i="8"/>
  <c r="F68" i="9"/>
  <c r="AV48" i="8"/>
  <c r="AQ48" i="8"/>
  <c r="AO42" i="8"/>
  <c r="F64" i="9"/>
  <c r="F63" i="9"/>
  <c r="F62" i="9"/>
  <c r="AV43" i="8"/>
  <c r="AQ43" i="8"/>
  <c r="AO9" i="8"/>
  <c r="C12" i="9"/>
  <c r="C11" i="9"/>
  <c r="C10" i="9"/>
  <c r="C9" i="9"/>
  <c r="AS9" i="8"/>
  <c r="F29" i="9"/>
  <c r="AV23" i="8"/>
  <c r="C36" i="9"/>
  <c r="AS30" i="8"/>
  <c r="AW30" i="8" s="1"/>
  <c r="AS7" i="8"/>
  <c r="AW7" i="8" s="1"/>
  <c r="AX7" i="8" s="1"/>
  <c r="C7" i="9"/>
  <c r="Z9" i="8"/>
  <c r="AH9" i="8" s="1"/>
  <c r="AO47" i="8"/>
  <c r="H65" i="8"/>
  <c r="G10" i="7"/>
  <c r="G17" i="7" s="1"/>
  <c r="K13" i="7"/>
  <c r="K20" i="7" s="1"/>
  <c r="D12" i="7"/>
  <c r="D19" i="7" s="1"/>
  <c r="F10" i="7"/>
  <c r="F17" i="7" s="1"/>
  <c r="F13" i="7"/>
  <c r="F20" i="7" s="1"/>
  <c r="H11" i="7"/>
  <c r="H18" i="7" s="1"/>
  <c r="L14" i="7"/>
  <c r="L21" i="7" s="1"/>
  <c r="E13" i="7"/>
  <c r="E20" i="7" s="1"/>
  <c r="G11" i="7"/>
  <c r="G18" i="7" s="1"/>
  <c r="K14" i="7"/>
  <c r="K21" i="7" s="1"/>
  <c r="D13" i="7"/>
  <c r="D20" i="7" s="1"/>
  <c r="F11" i="7"/>
  <c r="F18" i="7" s="1"/>
  <c r="G13" i="7"/>
  <c r="G20" i="7" s="1"/>
  <c r="I11" i="7"/>
  <c r="I18" i="7" s="1"/>
  <c r="I14" i="7"/>
  <c r="I21" i="7" s="1"/>
  <c r="K12" i="7"/>
  <c r="K19" i="7" s="1"/>
  <c r="D11" i="7"/>
  <c r="D18" i="7" s="1"/>
  <c r="H14" i="7"/>
  <c r="H21" i="7" s="1"/>
  <c r="J12" i="7"/>
  <c r="J19" i="7" s="1"/>
  <c r="L10" i="7"/>
  <c r="L17" i="7" s="1"/>
  <c r="G14" i="7"/>
  <c r="G21" i="7" s="1"/>
  <c r="I12" i="7"/>
  <c r="I19" i="7" s="1"/>
  <c r="K10" i="7"/>
  <c r="K17" i="7" s="1"/>
  <c r="J14" i="7"/>
  <c r="J21" i="7" s="1"/>
  <c r="L12" i="7"/>
  <c r="L19" i="7" s="1"/>
  <c r="E11" i="7"/>
  <c r="E18" i="7" s="1"/>
  <c r="E14" i="7"/>
  <c r="E21" i="7" s="1"/>
  <c r="G12" i="7"/>
  <c r="G19" i="7" s="1"/>
  <c r="I10" i="7"/>
  <c r="I17" i="7" s="1"/>
  <c r="D14" i="7"/>
  <c r="D21" i="7" s="1"/>
  <c r="F12" i="7"/>
  <c r="F19" i="7" s="1"/>
  <c r="H10" i="7"/>
  <c r="H17" i="7" s="1"/>
  <c r="L13" i="7"/>
  <c r="L20" i="7" s="1"/>
  <c r="E12" i="7"/>
  <c r="E19" i="7" s="1"/>
  <c r="F14" i="7"/>
  <c r="F21" i="7" s="1"/>
  <c r="L11" i="7"/>
  <c r="L18" i="7" s="1"/>
  <c r="D10" i="7"/>
  <c r="D17" i="7" s="1"/>
  <c r="J13" i="7"/>
  <c r="J20" i="7" s="1"/>
  <c r="H12" i="7"/>
  <c r="H19" i="7" s="1"/>
  <c r="E10" i="7"/>
  <c r="E17" i="7" s="1"/>
  <c r="H13" i="7"/>
  <c r="H20" i="7" s="1"/>
  <c r="K11" i="7"/>
  <c r="K18" i="7" s="1"/>
  <c r="J10" i="7"/>
  <c r="J17" i="7" s="1"/>
  <c r="I13" i="7"/>
  <c r="I20" i="7" s="1"/>
  <c r="J11" i="7"/>
  <c r="J18" i="7" s="1"/>
  <c r="BC23" i="8" l="1"/>
  <c r="BC21" i="8"/>
  <c r="AX42" i="8"/>
  <c r="AX3" i="8"/>
  <c r="AW48" i="8"/>
  <c r="AW35" i="8"/>
  <c r="AX35" i="8" s="1"/>
  <c r="O41" i="9"/>
  <c r="P66" i="9"/>
  <c r="O6" i="9"/>
  <c r="O50" i="9"/>
  <c r="Q41" i="9"/>
  <c r="O12" i="9"/>
  <c r="R62" i="9"/>
  <c r="P39" i="9"/>
  <c r="R27" i="9"/>
  <c r="P62" i="9"/>
  <c r="O32" i="9"/>
  <c r="P20" i="9"/>
  <c r="O43" i="9"/>
  <c r="O47" i="9"/>
  <c r="O61" i="9"/>
  <c r="P5" i="9"/>
  <c r="Q62" i="9"/>
  <c r="R20" i="9"/>
  <c r="P68" i="9"/>
  <c r="Q66" i="9"/>
  <c r="R39" i="9"/>
  <c r="O39" i="9"/>
  <c r="R29" i="9"/>
  <c r="O5" i="9"/>
  <c r="O30" i="9"/>
  <c r="R69" i="9"/>
  <c r="O42" i="9"/>
  <c r="Q31" i="9"/>
  <c r="O29" i="9"/>
  <c r="O38" i="9"/>
  <c r="R63" i="9"/>
  <c r="R31" i="9"/>
  <c r="P63" i="9"/>
  <c r="Q28" i="9"/>
  <c r="Q39" i="9"/>
  <c r="O48" i="9"/>
  <c r="P31" i="9"/>
  <c r="R5" i="9"/>
  <c r="P16" i="9"/>
  <c r="O20" i="9"/>
  <c r="O11" i="9"/>
  <c r="Q20" i="9"/>
  <c r="R14" i="9"/>
  <c r="R41" i="9"/>
  <c r="O46" i="9"/>
  <c r="O60" i="9"/>
  <c r="P41" i="9"/>
  <c r="O36" i="9"/>
  <c r="O9" i="9"/>
  <c r="Q16" i="9"/>
  <c r="O27" i="9"/>
  <c r="R66" i="9"/>
  <c r="O8" i="9"/>
  <c r="P14" i="9"/>
  <c r="O44" i="9"/>
  <c r="Q27" i="9"/>
  <c r="Q63" i="9"/>
  <c r="Q14" i="9"/>
  <c r="O7" i="9"/>
  <c r="O10" i="9"/>
  <c r="R64" i="9"/>
  <c r="R68" i="9"/>
  <c r="R16" i="9"/>
  <c r="Q51" i="9"/>
  <c r="P64" i="9"/>
  <c r="P27" i="9"/>
  <c r="O14" i="9"/>
  <c r="O16" i="9"/>
  <c r="R51" i="9"/>
  <c r="Q5" i="9"/>
  <c r="O45" i="9"/>
  <c r="O49" i="9"/>
  <c r="O59" i="9"/>
  <c r="Q68" i="9"/>
  <c r="P51" i="9"/>
  <c r="O69" i="9"/>
  <c r="Q64" i="9"/>
  <c r="P29" i="9"/>
  <c r="O67" i="9"/>
  <c r="AW49" i="8"/>
  <c r="BC11" i="8" s="1"/>
  <c r="BE11" i="8" s="1"/>
  <c r="AW17" i="8"/>
  <c r="AX17" i="8" s="1"/>
  <c r="AX48" i="8"/>
  <c r="AH15" i="8"/>
  <c r="E17" i="9"/>
  <c r="AU14" i="8"/>
  <c r="AP14" i="8"/>
  <c r="AI15" i="8"/>
  <c r="F17" i="9"/>
  <c r="AV14" i="8"/>
  <c r="AQ14" i="8"/>
  <c r="AG15" i="8"/>
  <c r="D17" i="9"/>
  <c r="AT14" i="8"/>
  <c r="AO14" i="8"/>
  <c r="AW5" i="8"/>
  <c r="AW13" i="8"/>
  <c r="AW21" i="8"/>
  <c r="AX21" i="8" s="1"/>
  <c r="AX6" i="8"/>
  <c r="C51" i="9"/>
  <c r="AS37" i="8"/>
  <c r="AW37" i="8" s="1"/>
  <c r="AX37" i="8" s="1"/>
  <c r="AX20" i="8"/>
  <c r="AX46" i="8"/>
  <c r="BC10" i="8"/>
  <c r="BE10" i="8" s="1"/>
  <c r="AY34" i="8"/>
  <c r="E29" i="9"/>
  <c r="AP23" i="8"/>
  <c r="AU23" i="8"/>
  <c r="AW23" i="8" s="1"/>
  <c r="AW11" i="8"/>
  <c r="AX11" i="8" s="1"/>
  <c r="AX10" i="8"/>
  <c r="AY10" i="8"/>
  <c r="C64" i="9"/>
  <c r="C63" i="9"/>
  <c r="C62" i="9"/>
  <c r="AS43" i="8"/>
  <c r="AW43" i="8" s="1"/>
  <c r="AX43" i="8" s="1"/>
  <c r="AW33" i="8"/>
  <c r="AX33" i="8" s="1"/>
  <c r="AY16" i="8"/>
  <c r="AX39" i="8"/>
  <c r="BC8" i="8"/>
  <c r="BE8" i="8" s="1"/>
  <c r="AX26" i="8"/>
  <c r="AY26" i="8"/>
  <c r="AF15" i="8"/>
  <c r="C17" i="9"/>
  <c r="AS14" i="8"/>
  <c r="AU9" i="8"/>
  <c r="AW9" i="8" s="1"/>
  <c r="E12" i="9"/>
  <c r="E11" i="9"/>
  <c r="E10" i="9"/>
  <c r="E9" i="9"/>
  <c r="AP9" i="8"/>
  <c r="AQ9" i="8"/>
  <c r="AX30" i="8"/>
  <c r="C31" i="9"/>
  <c r="AS25" i="8"/>
  <c r="AW25" i="8" s="1"/>
  <c r="AX25" i="8" s="1"/>
  <c r="AX36" i="8"/>
  <c r="BC19" i="8" l="1"/>
  <c r="BC24" i="8"/>
  <c r="BC22" i="8"/>
  <c r="AX49" i="8"/>
  <c r="BC17" i="8"/>
  <c r="Q9" i="9"/>
  <c r="R17" i="9"/>
  <c r="Q10" i="9"/>
  <c r="O64" i="9"/>
  <c r="O51" i="9"/>
  <c r="O63" i="9"/>
  <c r="Q17" i="9"/>
  <c r="Q11" i="9"/>
  <c r="O31" i="9"/>
  <c r="P17" i="9"/>
  <c r="O17" i="9"/>
  <c r="Q12" i="9"/>
  <c r="O62" i="9"/>
  <c r="Q29" i="9"/>
  <c r="BC9" i="8"/>
  <c r="BE9" i="8" s="1"/>
  <c r="BC6" i="8"/>
  <c r="BE6" i="8" s="1"/>
  <c r="AW14" i="8"/>
  <c r="AX14" i="8" s="1"/>
  <c r="AX23" i="8"/>
  <c r="AY20" i="8"/>
  <c r="AX9" i="8"/>
  <c r="BC4" i="8"/>
  <c r="BE4" i="8" s="1"/>
  <c r="AX5" i="8"/>
  <c r="BC3" i="8"/>
  <c r="D18" i="9"/>
  <c r="AO15" i="8"/>
  <c r="AT15" i="8"/>
  <c r="AT50" i="8" s="1"/>
  <c r="AX13" i="8"/>
  <c r="C18" i="9"/>
  <c r="AS15" i="8"/>
  <c r="F18" i="9"/>
  <c r="AV15" i="8"/>
  <c r="AV50" i="8" s="1"/>
  <c r="AQ15" i="8"/>
  <c r="E18" i="9"/>
  <c r="AU15" i="8"/>
  <c r="AU50" i="8" s="1"/>
  <c r="AP15" i="8"/>
  <c r="AY29" i="8"/>
  <c r="O18" i="9" l="1"/>
  <c r="O70" i="9" s="1"/>
  <c r="C70" i="9" s="1"/>
  <c r="P18" i="9"/>
  <c r="P70" i="9" s="1"/>
  <c r="D70" i="9" s="1"/>
  <c r="Q18" i="9"/>
  <c r="Q70" i="9" s="1"/>
  <c r="E70" i="9" s="1"/>
  <c r="R18" i="9"/>
  <c r="AW15" i="8"/>
  <c r="BC18" i="8" s="1"/>
  <c r="BE3" i="8"/>
  <c r="AS50" i="8"/>
  <c r="AW50" i="8" s="1"/>
  <c r="BC5" i="8"/>
  <c r="BE5" i="8" s="1"/>
  <c r="AW1" i="8" l="1"/>
  <c r="BC25" i="8"/>
  <c r="AY12" i="8"/>
  <c r="R1" i="9"/>
  <c r="AX15" i="8"/>
  <c r="R70" i="9"/>
  <c r="F70" i="9" s="1"/>
  <c r="BC12" i="8"/>
  <c r="BE12" i="8" s="1"/>
  <c r="BF25" i="8" l="1"/>
  <c r="BF20" i="8"/>
  <c r="BF21" i="8"/>
  <c r="BF23" i="8"/>
  <c r="BF19" i="8"/>
  <c r="BF16" i="8"/>
  <c r="BF17" i="8"/>
  <c r="BF24" i="8"/>
  <c r="BF22" i="8"/>
  <c r="BF18" i="8"/>
</calcChain>
</file>

<file path=xl/sharedStrings.xml><?xml version="1.0" encoding="utf-8"?>
<sst xmlns="http://schemas.openxmlformats.org/spreadsheetml/2006/main" count="1145" uniqueCount="143">
  <si>
    <t>flab-p</t>
  </si>
  <si>
    <t>flab-m</t>
  </si>
  <si>
    <t>flab-s</t>
  </si>
  <si>
    <t>flab-t</t>
  </si>
  <si>
    <t>aagri</t>
  </si>
  <si>
    <t>afore</t>
  </si>
  <si>
    <t>afish</t>
  </si>
  <si>
    <t>acoal</t>
  </si>
  <si>
    <t>agold</t>
  </si>
  <si>
    <t>amore</t>
  </si>
  <si>
    <t>amine</t>
  </si>
  <si>
    <t>acoil</t>
  </si>
  <si>
    <t>angas</t>
  </si>
  <si>
    <t>ahydr</t>
  </si>
  <si>
    <t>afood</t>
  </si>
  <si>
    <t>abevt</t>
  </si>
  <si>
    <t>atext</t>
  </si>
  <si>
    <t>aclth</t>
  </si>
  <si>
    <t>aleat</t>
  </si>
  <si>
    <t>afoot</t>
  </si>
  <si>
    <t>awood</t>
  </si>
  <si>
    <t>apapr</t>
  </si>
  <si>
    <t>aprnt</t>
  </si>
  <si>
    <t>apetr-oil</t>
  </si>
  <si>
    <t>apetr-ctl</t>
  </si>
  <si>
    <t>apetr-gtl</t>
  </si>
  <si>
    <t>apetr-bio</t>
  </si>
  <si>
    <t>abchm</t>
  </si>
  <si>
    <t>aochm</t>
  </si>
  <si>
    <t>arubb</t>
  </si>
  <si>
    <t>aplas</t>
  </si>
  <si>
    <t>aglas</t>
  </si>
  <si>
    <t>anmet</t>
  </si>
  <si>
    <t>airon</t>
  </si>
  <si>
    <t>anfrm</t>
  </si>
  <si>
    <t>ametp</t>
  </si>
  <si>
    <t>amach</t>
  </si>
  <si>
    <t>aemch</t>
  </si>
  <si>
    <t>asequ</t>
  </si>
  <si>
    <t>avehi</t>
  </si>
  <si>
    <t>atequ</t>
  </si>
  <si>
    <t>afurn</t>
  </si>
  <si>
    <t>aoman</t>
  </si>
  <si>
    <t>aelec-clw</t>
  </si>
  <si>
    <t>aelec-nuc</t>
  </si>
  <si>
    <t>aelec-hyd</t>
  </si>
  <si>
    <t>aelec-spv</t>
  </si>
  <si>
    <t>aelec-sth</t>
  </si>
  <si>
    <t>aelec-wnd</t>
  </si>
  <si>
    <t>aelec-was</t>
  </si>
  <si>
    <t>aelec-gas</t>
  </si>
  <si>
    <t>aelec-die</t>
  </si>
  <si>
    <t>awatr</t>
  </si>
  <si>
    <t>acons</t>
  </si>
  <si>
    <t>atrad</t>
  </si>
  <si>
    <t>ahotl</t>
  </si>
  <si>
    <t>atrps</t>
  </si>
  <si>
    <t>altrp_p</t>
  </si>
  <si>
    <t>altrp_f</t>
  </si>
  <si>
    <t>altrp_s</t>
  </si>
  <si>
    <t>awtrp_p</t>
  </si>
  <si>
    <t>awtrp_f</t>
  </si>
  <si>
    <t>awtrp_s</t>
  </si>
  <si>
    <t>aatrp_p</t>
  </si>
  <si>
    <t>aatrp_f</t>
  </si>
  <si>
    <t>aatrp_s</t>
  </si>
  <si>
    <t>acomm</t>
  </si>
  <si>
    <t>afsrv</t>
  </si>
  <si>
    <t>absrv</t>
  </si>
  <si>
    <t>agsrv</t>
  </si>
  <si>
    <t>aosrv</t>
  </si>
  <si>
    <t>2012 SAM Wage Bill</t>
  </si>
  <si>
    <t>Total</t>
  </si>
  <si>
    <t>Agriculture</t>
  </si>
  <si>
    <t>Mining</t>
  </si>
  <si>
    <t>Manufacturing</t>
  </si>
  <si>
    <t>EGW</t>
  </si>
  <si>
    <t>Construction</t>
  </si>
  <si>
    <t>Trade</t>
  </si>
  <si>
    <t>Transport</t>
  </si>
  <si>
    <t>Finance</t>
  </si>
  <si>
    <t>Community</t>
  </si>
  <si>
    <t>Other</t>
  </si>
  <si>
    <t>Domestic</t>
  </si>
  <si>
    <t>Average wage based on SAM</t>
  </si>
  <si>
    <t>Employment</t>
  </si>
  <si>
    <t>Wage bill (Rm)</t>
  </si>
  <si>
    <t>activities</t>
  </si>
  <si>
    <t>total</t>
  </si>
  <si>
    <t>aomin</t>
  </si>
  <si>
    <t>aweav</t>
  </si>
  <si>
    <t>aknit</t>
  </si>
  <si>
    <t>apetr</t>
  </si>
  <si>
    <t>aglss</t>
  </si>
  <si>
    <t>anmmi</t>
  </si>
  <si>
    <t>abisc</t>
  </si>
  <si>
    <t>anfme</t>
  </si>
  <si>
    <t>afabm</t>
  </si>
  <si>
    <t>ardtv</t>
  </si>
  <si>
    <t>amopt</t>
  </si>
  <si>
    <t>amtvp</t>
  </si>
  <si>
    <t>aotrp</t>
  </si>
  <si>
    <t>aomnf</t>
  </si>
  <si>
    <t>aelcg</t>
  </si>
  <si>
    <t>awatd</t>
  </si>
  <si>
    <t>acnst</t>
  </si>
  <si>
    <t>awtrd</t>
  </si>
  <si>
    <t>artrd</t>
  </si>
  <si>
    <t>amtvs</t>
  </si>
  <si>
    <t>aacct</t>
  </si>
  <si>
    <t>altrp</t>
  </si>
  <si>
    <t>awtrp</t>
  </si>
  <si>
    <t>aatrp</t>
  </si>
  <si>
    <t>apost</t>
  </si>
  <si>
    <t>afins</t>
  </si>
  <si>
    <t>ainsp</t>
  </si>
  <si>
    <t>aofin</t>
  </si>
  <si>
    <t>areal</t>
  </si>
  <si>
    <t>arent</t>
  </si>
  <si>
    <t>acomp</t>
  </si>
  <si>
    <t>arsea</t>
  </si>
  <si>
    <t>aobus</t>
  </si>
  <si>
    <t>apuba</t>
  </si>
  <si>
    <t>aeduc</t>
  </si>
  <si>
    <t>aheal</t>
  </si>
  <si>
    <t>awast</t>
  </si>
  <si>
    <t>amorg</t>
  </si>
  <si>
    <t>arecr</t>
  </si>
  <si>
    <t>aoact</t>
  </si>
  <si>
    <t>anobs</t>
  </si>
  <si>
    <t>QLFS_NT</t>
  </si>
  <si>
    <t>QLFS_Quantec</t>
  </si>
  <si>
    <t>Quantec/NT</t>
  </si>
  <si>
    <t>2012 SAM</t>
  </si>
  <si>
    <t>SAM-Wagebill</t>
  </si>
  <si>
    <t>SAM-Average wage</t>
  </si>
  <si>
    <t>Est</t>
  </si>
  <si>
    <t>Actual</t>
  </si>
  <si>
    <t>Average wage</t>
  </si>
  <si>
    <t>Wagebill</t>
  </si>
  <si>
    <t>Employment comparison</t>
  </si>
  <si>
    <t>Wage relative to average wage - QES (incl. bonus)</t>
  </si>
  <si>
    <t>QLFS 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</si>
</sst>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_-* #,##0_-;\-* #,##0_-;_-* &quot;-&quot;??_-;_-@_-"/>
    <numFmt numFmtId="166" formatCode="0.000"/>
    <numFmt numFmtId="167" formatCode="0.0"/>
    <numFmt numFmtId="170" formatCode="0.0%"/>
  </numFmts>
  <fonts count="9" x14ac:knownFonts="1">
    <font>
      <sz val="9"/>
      <color theme="1"/>
      <name val="Calibri"/>
      <family val="2"/>
      <scheme val="minor"/>
    </font>
    <font>
      <sz val="9"/>
      <color theme="1"/>
      <name val="Calibri Light"/>
      <family val="2"/>
      <scheme val="major"/>
    </font>
    <font>
      <sz val="9"/>
      <color theme="1"/>
      <name val="Calibri"/>
      <family val="2"/>
      <scheme val="minor"/>
    </font>
    <font>
      <b/>
      <sz val="9"/>
      <color theme="1"/>
      <name val="Calibri Light"/>
      <family val="2"/>
      <scheme val="major"/>
    </font>
    <font>
      <sz val="9"/>
      <name val="Calibri Light"/>
      <family val="2"/>
      <scheme val="major"/>
    </font>
    <font>
      <sz val="9"/>
      <color theme="0" tint="-0.499984740745262"/>
      <name val="Calibri Light"/>
      <family val="2"/>
      <scheme val="major"/>
    </font>
    <font>
      <b/>
      <sz val="9"/>
      <color theme="0" tint="-0.499984740745262"/>
      <name val="Calibri Light"/>
      <family val="2"/>
      <scheme val="major"/>
    </font>
    <font>
      <sz val="9"/>
      <color theme="1" tint="0.499984740745262"/>
      <name val="Calibri Light"/>
      <family val="2"/>
      <scheme val="major"/>
    </font>
    <font>
      <b/>
      <sz val="9"/>
      <color theme="1" tint="0.499984740745262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33">
    <xf numFmtId="0" fontId="0" fillId="0" borderId="0" xfId="0"/>
    <xf numFmtId="0" fontId="1" fillId="0" borderId="0" xfId="0" applyFont="1"/>
    <xf numFmtId="1" fontId="1" fillId="0" borderId="0" xfId="0" applyNumberFormat="1" applyFont="1"/>
    <xf numFmtId="164" fontId="0" fillId="0" borderId="0" xfId="1" applyNumberFormat="1" applyFont="1"/>
    <xf numFmtId="0" fontId="3" fillId="0" borderId="0" xfId="0" applyFont="1"/>
    <xf numFmtId="164" fontId="1" fillId="0" borderId="0" xfId="1" applyNumberFormat="1" applyFont="1"/>
    <xf numFmtId="164" fontId="1" fillId="0" borderId="0" xfId="0" applyNumberFormat="1" applyFont="1"/>
    <xf numFmtId="164" fontId="0" fillId="0" borderId="0" xfId="0" applyNumberFormat="1"/>
    <xf numFmtId="166" fontId="1" fillId="0" borderId="0" xfId="0" applyNumberFormat="1" applyFont="1"/>
    <xf numFmtId="2" fontId="1" fillId="0" borderId="0" xfId="0" applyNumberFormat="1" applyFont="1"/>
    <xf numFmtId="167" fontId="1" fillId="0" borderId="0" xfId="0" applyNumberFormat="1" applyFont="1"/>
    <xf numFmtId="0" fontId="1" fillId="0" borderId="2" xfId="0" applyFont="1" applyBorder="1"/>
    <xf numFmtId="0" fontId="1" fillId="0" borderId="4" xfId="0" applyFont="1" applyBorder="1"/>
    <xf numFmtId="1" fontId="1" fillId="0" borderId="5" xfId="0" applyNumberFormat="1" applyFont="1" applyBorder="1"/>
    <xf numFmtId="1" fontId="1" fillId="0" borderId="3" xfId="0" applyNumberFormat="1" applyFont="1" applyBorder="1"/>
    <xf numFmtId="1" fontId="1" fillId="0" borderId="1" xfId="0" applyNumberFormat="1" applyFont="1" applyBorder="1"/>
    <xf numFmtId="1" fontId="1" fillId="0" borderId="2" xfId="0" applyNumberFormat="1" applyFont="1" applyBorder="1"/>
    <xf numFmtId="43" fontId="1" fillId="0" borderId="0" xfId="1" applyFont="1"/>
    <xf numFmtId="9" fontId="1" fillId="0" borderId="0" xfId="2" applyFont="1"/>
    <xf numFmtId="10" fontId="1" fillId="0" borderId="0" xfId="2" applyNumberFormat="1" applyFont="1"/>
    <xf numFmtId="0" fontId="1" fillId="0" borderId="0" xfId="0" applyFont="1" applyBorder="1"/>
    <xf numFmtId="1" fontId="1" fillId="0" borderId="0" xfId="0" applyNumberFormat="1" applyFont="1" applyBorder="1"/>
    <xf numFmtId="9" fontId="1" fillId="0" borderId="0" xfId="2" applyFont="1" applyBorder="1"/>
    <xf numFmtId="170" fontId="1" fillId="0" borderId="0" xfId="2" applyNumberFormat="1" applyFont="1" applyBorder="1"/>
    <xf numFmtId="1" fontId="4" fillId="0" borderId="0" xfId="0" applyNumberFormat="1" applyFont="1" applyFill="1"/>
    <xf numFmtId="1" fontId="5" fillId="0" borderId="0" xfId="0" applyNumberFormat="1" applyFont="1" applyFill="1"/>
    <xf numFmtId="1" fontId="6" fillId="0" borderId="0" xfId="0" applyNumberFormat="1" applyFont="1" applyFill="1"/>
    <xf numFmtId="1" fontId="6" fillId="2" borderId="0" xfId="0" applyNumberFormat="1" applyFont="1" applyFill="1"/>
    <xf numFmtId="164" fontId="1" fillId="0" borderId="0" xfId="1" applyNumberFormat="1" applyFont="1" applyBorder="1"/>
    <xf numFmtId="0" fontId="1" fillId="0" borderId="0" xfId="0" applyNumberFormat="1" applyFont="1"/>
    <xf numFmtId="1" fontId="7" fillId="0" borderId="0" xfId="0" applyNumberFormat="1" applyFont="1" applyFill="1"/>
    <xf numFmtId="1" fontId="8" fillId="0" borderId="0" xfId="0" applyNumberFormat="1" applyFont="1" applyFill="1"/>
    <xf numFmtId="166" fontId="0" fillId="0" borderId="0" xfId="0" applyNumberFormat="1"/>
  </cellXfs>
  <cellStyles count="3">
    <cellStyle name="Comma" xfId="1" builtinId="3"/>
    <cellStyle name="Normal" xfId="0" builtinId="0"/>
    <cellStyle name="Percent" xfId="2" builtinId="5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Calc!$BC$15</c:f>
              <c:strCache>
                <c:ptCount val="1"/>
                <c:pt idx="0">
                  <c:v>Est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Calc!$BF$17:$BF$24</c:f>
              <c:numCache>
                <c:formatCode>0.00</c:formatCode>
                <c:ptCount val="8"/>
                <c:pt idx="0">
                  <c:v>2.8720638001655017</c:v>
                </c:pt>
                <c:pt idx="1">
                  <c:v>1.2684506807756044</c:v>
                </c:pt>
                <c:pt idx="2">
                  <c:v>2.8424434080390948</c:v>
                </c:pt>
                <c:pt idx="3">
                  <c:v>0.38930722109974758</c:v>
                </c:pt>
                <c:pt idx="4">
                  <c:v>0.52315884109259125</c:v>
                </c:pt>
                <c:pt idx="5">
                  <c:v>0.97003855874151823</c:v>
                </c:pt>
                <c:pt idx="6">
                  <c:v>1.1979264329214614</c:v>
                </c:pt>
                <c:pt idx="7">
                  <c:v>1.2075874564780291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C04-4364-B48F-230BEFAE61BC}"/>
            </c:ext>
          </c:extLst>
        </c:ser>
        <c:ser>
          <c:idx val="0"/>
          <c:order val="1"/>
          <c:tx>
            <c:v>qes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Calc!$BB$17:$BB$24</c:f>
              <c:strCache>
                <c:ptCount val="8"/>
                <c:pt idx="0">
                  <c:v>Mining</c:v>
                </c:pt>
                <c:pt idx="1">
                  <c:v>Manufacturing</c:v>
                </c:pt>
                <c:pt idx="2">
                  <c:v>EGW</c:v>
                </c:pt>
                <c:pt idx="3">
                  <c:v>Construction</c:v>
                </c:pt>
                <c:pt idx="4">
                  <c:v>Trade</c:v>
                </c:pt>
                <c:pt idx="5">
                  <c:v>Transport</c:v>
                </c:pt>
                <c:pt idx="6">
                  <c:v>Finance</c:v>
                </c:pt>
                <c:pt idx="7">
                  <c:v>Other</c:v>
                </c:pt>
              </c:strCache>
            </c:strRef>
          </c:cat>
          <c:val>
            <c:numRef>
              <c:f>Calc!$BI$17:$BI$24</c:f>
              <c:numCache>
                <c:formatCode>0.00</c:formatCode>
                <c:ptCount val="8"/>
                <c:pt idx="0">
                  <c:v>1.1632496646867216</c:v>
                </c:pt>
                <c:pt idx="1">
                  <c:v>0.87218496519128819</c:v>
                </c:pt>
                <c:pt idx="2">
                  <c:v>2.0412339528645336</c:v>
                </c:pt>
                <c:pt idx="3">
                  <c:v>0.77184645845308808</c:v>
                </c:pt>
                <c:pt idx="4">
                  <c:v>0.66494219837772239</c:v>
                </c:pt>
                <c:pt idx="5">
                  <c:v>1.1861403844925593</c:v>
                </c:pt>
                <c:pt idx="6">
                  <c:v>1.0954589001724468</c:v>
                </c:pt>
                <c:pt idx="7">
                  <c:v>1.2140639969342786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04-4364-B48F-230BEFAE61BC}"/>
            </c:ext>
          </c:extLst>
        </c:ser>
        <c:ser>
          <c:idx val="2"/>
          <c:order val="2"/>
          <c:tx>
            <c:strRef>
              <c:f>Calc!$BD$15</c:f>
              <c:strCache>
                <c:ptCount val="1"/>
                <c:pt idx="0">
                  <c:v>QLFS Nt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Calc!$BG$17:$BG$24</c:f>
              <c:numCache>
                <c:formatCode>0.00</c:formatCode>
                <c:ptCount val="8"/>
                <c:pt idx="0">
                  <c:v>1.1937207759932591</c:v>
                </c:pt>
                <c:pt idx="1">
                  <c:v>1.0076196055662063</c:v>
                </c:pt>
                <c:pt idx="2">
                  <c:v>1.3048977537694932</c:v>
                </c:pt>
                <c:pt idx="3">
                  <c:v>0.75485011983621786</c:v>
                </c:pt>
                <c:pt idx="4">
                  <c:v>0.81640006604981619</c:v>
                </c:pt>
                <c:pt idx="5">
                  <c:v>1.1024944262399603</c:v>
                </c:pt>
                <c:pt idx="6">
                  <c:v>1.4128786820763792</c:v>
                </c:pt>
                <c:pt idx="7">
                  <c:v>1.063594517400311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C04-4364-B48F-230BEFAE61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20306368"/>
        <c:axId val="720306696"/>
      </c:barChart>
      <c:catAx>
        <c:axId val="7203063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0306696"/>
        <c:crosses val="autoZero"/>
        <c:auto val="1"/>
        <c:lblAlgn val="ctr"/>
        <c:lblOffset val="100"/>
        <c:noMultiLvlLbl val="0"/>
      </c:catAx>
      <c:valAx>
        <c:axId val="720306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03063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64</xdr:col>
      <xdr:colOff>143434</xdr:colOff>
      <xdr:row>4</xdr:row>
      <xdr:rowOff>26894</xdr:rowOff>
    </xdr:from>
    <xdr:to>
      <xdr:col>74</xdr:col>
      <xdr:colOff>354105</xdr:colOff>
      <xdr:row>29</xdr:row>
      <xdr:rowOff>40342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C865EC4-1AC7-4674-9EC4-E7B40BAB72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1mode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"/>
      <sheetName val="Index"/>
      <sheetName val="Sets"/>
      <sheetName val="Maps"/>
      <sheetName val="SAM"/>
      <sheetName val="SAM (2)"/>
      <sheetName val="Demand"/>
      <sheetName val="Elasticities"/>
      <sheetName val="Trade"/>
      <sheetName val="Employment"/>
      <sheetName val="Energy"/>
      <sheetName val="SHR"/>
      <sheetName val="FacNest"/>
      <sheetName val="Population"/>
      <sheetName val="Demand_RawData"/>
      <sheetName val="Elasticities_RawData"/>
      <sheetName val="Wagebill_QLFS"/>
      <sheetName val="Employment_Calc"/>
      <sheetName val="Sheet1"/>
    </sheetNames>
    <sheetDataSet>
      <sheetData sheetId="0"/>
      <sheetData sheetId="1"/>
      <sheetData sheetId="2"/>
      <sheetData sheetId="3"/>
      <sheetData sheetId="4">
        <row r="131">
          <cell r="B131">
            <v>4182.3922687332633</v>
          </cell>
          <cell r="C131">
            <v>839.69621724456977</v>
          </cell>
          <cell r="D131">
            <v>183.49647420921713</v>
          </cell>
          <cell r="E131">
            <v>1231.3532734022197</v>
          </cell>
          <cell r="F131">
            <v>2307.1530276613476</v>
          </cell>
          <cell r="G131">
            <v>4749.2565962723284</v>
          </cell>
          <cell r="H131">
            <v>306.13717855478433</v>
          </cell>
          <cell r="I131">
            <v>18.611113259501415</v>
          </cell>
          <cell r="J131">
            <v>11.453710404658416</v>
          </cell>
          <cell r="K131">
            <v>4.8843753826604671E-8</v>
          </cell>
          <cell r="L131">
            <v>1661.4165310113679</v>
          </cell>
          <cell r="M131">
            <v>952.55202364129605</v>
          </cell>
          <cell r="N131">
            <v>124.10196885929525</v>
          </cell>
          <cell r="O131">
            <v>392.47823765892537</v>
          </cell>
          <cell r="P131">
            <v>1.8024676052505684</v>
          </cell>
          <cell r="Q131">
            <v>32.377919602830417</v>
          </cell>
          <cell r="R131">
            <v>1007.3537037474578</v>
          </cell>
          <cell r="S131">
            <v>140.40524688743463</v>
          </cell>
          <cell r="T131">
            <v>188.86746864064065</v>
          </cell>
          <cell r="U131">
            <v>12.554164323130578</v>
          </cell>
          <cell r="V131">
            <v>8.3779301045898293</v>
          </cell>
          <cell r="W131">
            <v>2.1816559261280348</v>
          </cell>
          <cell r="X131">
            <v>1.2865389030728723E-7</v>
          </cell>
          <cell r="Y131">
            <v>23.327236678152797</v>
          </cell>
          <cell r="Z131">
            <v>325.48015831343861</v>
          </cell>
          <cell r="AA131">
            <v>70.975832778491437</v>
          </cell>
          <cell r="AB131">
            <v>198.78244543641884</v>
          </cell>
          <cell r="AC131">
            <v>25.042714733898777</v>
          </cell>
          <cell r="AD131">
            <v>573.87579986928461</v>
          </cell>
          <cell r="AE131">
            <v>578.73103800786589</v>
          </cell>
          <cell r="AF131">
            <v>49.821445459610928</v>
          </cell>
          <cell r="AG131">
            <v>1209.6366130940671</v>
          </cell>
          <cell r="AH131">
            <v>398.37078561264758</v>
          </cell>
          <cell r="AI131">
            <v>356.93202742783933</v>
          </cell>
          <cell r="AJ131">
            <v>7.1613991924958835</v>
          </cell>
          <cell r="AK131">
            <v>369.94076737650454</v>
          </cell>
          <cell r="AM131">
            <v>449.86941563690976</v>
          </cell>
          <cell r="AN131">
            <v>176.38601769164879</v>
          </cell>
          <cell r="AO131">
            <v>319.98423068946039</v>
          </cell>
          <cell r="AP131">
            <v>85.551092335097522</v>
          </cell>
          <cell r="AQ131">
            <v>1.0875958527109988</v>
          </cell>
          <cell r="AR131">
            <v>6.8753935860340487E-6</v>
          </cell>
          <cell r="AS131">
            <v>6.8743106104668606E-6</v>
          </cell>
          <cell r="AT131">
            <v>5.1026648132703453E-2</v>
          </cell>
          <cell r="AU131">
            <v>0.44584766458881742</v>
          </cell>
          <cell r="AV131">
            <v>1.1350708768848514</v>
          </cell>
          <cell r="AW131">
            <v>1.7906347153220143</v>
          </cell>
          <cell r="AX131">
            <v>650.10863830009805</v>
          </cell>
          <cell r="AY131">
            <v>4254.1094206398921</v>
          </cell>
          <cell r="AZ131">
            <v>8567.7226035906824</v>
          </cell>
          <cell r="BA131">
            <v>435.69385902360301</v>
          </cell>
          <cell r="BB131">
            <v>289.57625391490626</v>
          </cell>
          <cell r="BC131">
            <v>1195.130487626848</v>
          </cell>
          <cell r="BD131">
            <v>1966.8308242160797</v>
          </cell>
          <cell r="BE131">
            <v>1.1039688921036022</v>
          </cell>
          <cell r="BI131">
            <v>36.486759383160567</v>
          </cell>
          <cell r="BJ131">
            <v>6.3584123927000613</v>
          </cell>
          <cell r="BK131">
            <v>2.3688734135926253</v>
          </cell>
          <cell r="BL131">
            <v>173.27985087217718</v>
          </cell>
          <cell r="BM131">
            <v>757.00196639052092</v>
          </cell>
          <cell r="BN131">
            <v>1672.400818108224</v>
          </cell>
          <cell r="BO131">
            <v>8848.5033089804692</v>
          </cell>
          <cell r="BP131">
            <v>27721.9713302075</v>
          </cell>
        </row>
        <row r="132">
          <cell r="B132">
            <v>3702.3097164001706</v>
          </cell>
          <cell r="C132">
            <v>428.50230666911682</v>
          </cell>
          <cell r="D132">
            <v>162.09716048085593</v>
          </cell>
          <cell r="E132">
            <v>1691.9171110177235</v>
          </cell>
          <cell r="F132">
            <v>4418.470454693299</v>
          </cell>
          <cell r="G132">
            <v>6241.3215269744433</v>
          </cell>
          <cell r="H132">
            <v>1034.2745973326198</v>
          </cell>
          <cell r="I132">
            <v>62.877046699304856</v>
          </cell>
          <cell r="J132">
            <v>38.69599168799612</v>
          </cell>
          <cell r="K132">
            <v>1.6501704908796233E-7</v>
          </cell>
          <cell r="L132">
            <v>4309.6019019980422</v>
          </cell>
          <cell r="M132">
            <v>1008.2123666214064</v>
          </cell>
          <cell r="N132">
            <v>444.69270330480032</v>
          </cell>
          <cell r="O132">
            <v>1023.7196780984783</v>
          </cell>
          <cell r="P132">
            <v>76.349346465609969</v>
          </cell>
          <cell r="Q132">
            <v>252.74555843457827</v>
          </cell>
          <cell r="R132">
            <v>1913.9845951518889</v>
          </cell>
          <cell r="S132">
            <v>695.08529868611538</v>
          </cell>
          <cell r="T132">
            <v>599.01144400045825</v>
          </cell>
          <cell r="U132">
            <v>139.7930934928138</v>
          </cell>
          <cell r="V132">
            <v>37.349403148852829</v>
          </cell>
          <cell r="W132">
            <v>9.7291943559258662</v>
          </cell>
          <cell r="X132">
            <v>4.5993892520169431E-7</v>
          </cell>
          <cell r="Y132">
            <v>1091.1833432852602</v>
          </cell>
          <cell r="Z132">
            <v>1393.1244392001527</v>
          </cell>
          <cell r="AA132">
            <v>411.62963783838126</v>
          </cell>
          <cell r="AB132">
            <v>1869.5384664117926</v>
          </cell>
          <cell r="AC132">
            <v>279.5239974305166</v>
          </cell>
          <cell r="AD132">
            <v>865.07312130027913</v>
          </cell>
          <cell r="AE132">
            <v>3766.6583615126219</v>
          </cell>
          <cell r="AF132">
            <v>262.87091310409431</v>
          </cell>
          <cell r="AG132">
            <v>3701.6411925006528</v>
          </cell>
          <cell r="AH132">
            <v>1328.7224692908292</v>
          </cell>
          <cell r="AI132">
            <v>1165.8965266429786</v>
          </cell>
          <cell r="AJ132">
            <v>672.37186979921614</v>
          </cell>
          <cell r="AK132">
            <v>1364.4591820975932</v>
          </cell>
          <cell r="AL132">
            <v>625.2052940965882</v>
          </cell>
          <cell r="AM132">
            <v>918.2387252481069</v>
          </cell>
          <cell r="AN132">
            <v>525.92525471800468</v>
          </cell>
          <cell r="AO132">
            <v>419.00990927019586</v>
          </cell>
          <cell r="AP132">
            <v>58.866011277896099</v>
          </cell>
          <cell r="AQ132">
            <v>1.8727351306770696</v>
          </cell>
          <cell r="AR132">
            <v>6.9611934905206765E-6</v>
          </cell>
          <cell r="AS132">
            <v>6.9600970002071595E-6</v>
          </cell>
          <cell r="AT132">
            <v>4.6792137281126328E-2</v>
          </cell>
          <cell r="AU132">
            <v>0.42650370249847358</v>
          </cell>
          <cell r="AV132">
            <v>1.1492357347367856</v>
          </cell>
          <cell r="AW132">
            <v>1.8129805324192558</v>
          </cell>
          <cell r="AX132">
            <v>734.85586515397688</v>
          </cell>
          <cell r="AY132">
            <v>6886.7197256688769</v>
          </cell>
          <cell r="AZ132">
            <v>19849.294243101696</v>
          </cell>
          <cell r="BA132">
            <v>1378.5116677547057</v>
          </cell>
          <cell r="BB132">
            <v>654.76299764809005</v>
          </cell>
          <cell r="BC132">
            <v>2875.4678957273218</v>
          </cell>
          <cell r="BD132">
            <v>4732.1685371698622</v>
          </cell>
          <cell r="BE132">
            <v>2.6561343217249678</v>
          </cell>
          <cell r="BF132">
            <v>5.1807017274862849E-5</v>
          </cell>
          <cell r="BG132">
            <v>0.11298959286627412</v>
          </cell>
          <cell r="BH132">
            <v>1.0853771587571615E-2</v>
          </cell>
          <cell r="BI132">
            <v>31.722820003656263</v>
          </cell>
          <cell r="BJ132">
            <v>5.5282183250215819</v>
          </cell>
          <cell r="BK132">
            <v>2.0595784931650511</v>
          </cell>
          <cell r="BL132">
            <v>824.23213242766599</v>
          </cell>
          <cell r="BM132">
            <v>887.78950736625507</v>
          </cell>
          <cell r="BN132">
            <v>5575.9176792988692</v>
          </cell>
          <cell r="BO132">
            <v>18277.608981111651</v>
          </cell>
          <cell r="BP132">
            <v>33921.406546200305</v>
          </cell>
        </row>
        <row r="133">
          <cell r="B133">
            <v>3692.7111299787157</v>
          </cell>
          <cell r="C133">
            <v>395.04181745474773</v>
          </cell>
          <cell r="D133">
            <v>480.86899768882716</v>
          </cell>
          <cell r="E133">
            <v>4393.0382686078292</v>
          </cell>
          <cell r="F133">
            <v>11612.668366175927</v>
          </cell>
          <cell r="G133">
            <v>13276.679677409393</v>
          </cell>
          <cell r="H133">
            <v>1951.0973676615495</v>
          </cell>
          <cell r="I133">
            <v>118.61380006599229</v>
          </cell>
          <cell r="J133">
            <v>72.997681385789619</v>
          </cell>
          <cell r="K133">
            <v>3.1129482530571834E-7</v>
          </cell>
          <cell r="L133">
            <v>10160.505689394238</v>
          </cell>
          <cell r="M133">
            <v>2348.5742111963409</v>
          </cell>
          <cell r="N133">
            <v>1182.4007712573218</v>
          </cell>
          <cell r="O133">
            <v>1450.4096059772514</v>
          </cell>
          <cell r="P133">
            <v>300.21555309415845</v>
          </cell>
          <cell r="Q133">
            <v>371.34323913899226</v>
          </cell>
          <cell r="R133">
            <v>2380.270416191895</v>
          </cell>
          <cell r="S133">
            <v>1624.7515265999273</v>
          </cell>
          <cell r="T133">
            <v>2278.4811267716736</v>
          </cell>
          <cell r="U133">
            <v>508.98518000752529</v>
          </cell>
          <cell r="V133">
            <v>83.356764372424252</v>
          </cell>
          <cell r="W133">
            <v>21.714123246313193</v>
          </cell>
          <cell r="X133">
            <v>6.5332521234616684E-7</v>
          </cell>
          <cell r="Y133">
            <v>3956.4147559440039</v>
          </cell>
          <cell r="Z133">
            <v>4457.016671844216</v>
          </cell>
          <cell r="AA133">
            <v>1093.256905891833</v>
          </cell>
          <cell r="AB133">
            <v>4130.098616037827</v>
          </cell>
          <cell r="AC133">
            <v>1357.900651248706</v>
          </cell>
          <cell r="AD133">
            <v>1156.6932332356159</v>
          </cell>
          <cell r="AE133">
            <v>4508.2717643412425</v>
          </cell>
          <cell r="AF133">
            <v>845.51025795881344</v>
          </cell>
          <cell r="AG133">
            <v>7056.1864652200147</v>
          </cell>
          <cell r="AH133">
            <v>3777.2504231610419</v>
          </cell>
          <cell r="AI133">
            <v>1348.150535552774</v>
          </cell>
          <cell r="AJ133">
            <v>383.81853776121642</v>
          </cell>
          <cell r="AK133">
            <v>4113.5310878641958</v>
          </cell>
          <cell r="AL133">
            <v>941.44403804086619</v>
          </cell>
          <cell r="AM133">
            <v>1740.2310485421426</v>
          </cell>
          <cell r="AN133">
            <v>1483.6810848203761</v>
          </cell>
          <cell r="AO133">
            <v>2089.3504837997893</v>
          </cell>
          <cell r="AP133">
            <v>317.85833246638242</v>
          </cell>
          <cell r="AQ133">
            <v>13.04113158126054</v>
          </cell>
          <cell r="AR133">
            <v>4.8347294388158087E-5</v>
          </cell>
          <cell r="AS133">
            <v>4.833967897852271E-5</v>
          </cell>
          <cell r="AT133">
            <v>0.29085589309582649</v>
          </cell>
          <cell r="AU133">
            <v>2.673032470934543</v>
          </cell>
          <cell r="AV133">
            <v>7.9817402668625741</v>
          </cell>
          <cell r="AW133">
            <v>12.591620049095518</v>
          </cell>
          <cell r="AX133">
            <v>1398.1068069323157</v>
          </cell>
          <cell r="AY133">
            <v>12405.133882058668</v>
          </cell>
          <cell r="AZ133">
            <v>47242.965373286846</v>
          </cell>
          <cell r="BA133">
            <v>3917.7955107218845</v>
          </cell>
          <cell r="BB133">
            <v>3548.0126794427533</v>
          </cell>
          <cell r="BC133">
            <v>5322.5251029446599</v>
          </cell>
          <cell r="BD133">
            <v>8759.299962234727</v>
          </cell>
          <cell r="BE133">
            <v>4.9165360618982401</v>
          </cell>
          <cell r="BF133">
            <v>1.3185222883716088E-2</v>
          </cell>
          <cell r="BG133">
            <v>28.756586343854622</v>
          </cell>
          <cell r="BH133">
            <v>2.7623554691791625</v>
          </cell>
          <cell r="BI133">
            <v>383.29325732407136</v>
          </cell>
          <cell r="BJ133">
            <v>66.795096046061587</v>
          </cell>
          <cell r="BK133">
            <v>24.88500547141928</v>
          </cell>
          <cell r="BL133">
            <v>4127.9036246201867</v>
          </cell>
          <cell r="BM133">
            <v>31941.892989149605</v>
          </cell>
          <cell r="BN133">
            <v>22393.207856396893</v>
          </cell>
          <cell r="BO133">
            <v>100712.09502257001</v>
          </cell>
          <cell r="BP133">
            <v>24591.611095145789</v>
          </cell>
        </row>
        <row r="134">
          <cell r="B134">
            <v>6613.147433896409</v>
          </cell>
          <cell r="C134">
            <v>622.54480907649861</v>
          </cell>
          <cell r="D134">
            <v>311.54285055090372</v>
          </cell>
          <cell r="E134">
            <v>10171.794272558243</v>
          </cell>
          <cell r="F134">
            <v>13987.432478524532</v>
          </cell>
          <cell r="G134">
            <v>22811.425238869211</v>
          </cell>
          <cell r="H134">
            <v>8798.2284238039429</v>
          </cell>
          <cell r="I134">
            <v>534.87402755649657</v>
          </cell>
          <cell r="J134">
            <v>329.17387204001778</v>
          </cell>
          <cell r="K134">
            <v>1.4037449004764137E-6</v>
          </cell>
          <cell r="L134">
            <v>18954.629991051817</v>
          </cell>
          <cell r="M134">
            <v>8562.0734642942462</v>
          </cell>
          <cell r="N134">
            <v>1689.1124171509116</v>
          </cell>
          <cell r="O134">
            <v>1953.0479458436789</v>
          </cell>
          <cell r="P134">
            <v>119.6562770862848</v>
          </cell>
          <cell r="Q134">
            <v>652.52561844930756</v>
          </cell>
          <cell r="R134">
            <v>2081.5810163212732</v>
          </cell>
          <cell r="S134">
            <v>4951.3611352261196</v>
          </cell>
          <cell r="T134">
            <v>8721.9857079665853</v>
          </cell>
          <cell r="U134">
            <v>2628.9877975118752</v>
          </cell>
          <cell r="V134">
            <v>628.63733049027769</v>
          </cell>
          <cell r="W134">
            <v>163.76140537963411</v>
          </cell>
          <cell r="X134">
            <v>2.773521132880799E-7</v>
          </cell>
          <cell r="Y134">
            <v>4824.6105184644093</v>
          </cell>
          <cell r="Z134">
            <v>14274.165526855653</v>
          </cell>
          <cell r="AA134">
            <v>1015.3135472398361</v>
          </cell>
          <cell r="AB134">
            <v>4356.3113243689149</v>
          </cell>
          <cell r="AC134">
            <v>768.91775605971714</v>
          </cell>
          <cell r="AD134">
            <v>1936.4352267875445</v>
          </cell>
          <cell r="AE134">
            <v>4339.2859052330332</v>
          </cell>
          <cell r="AF134">
            <v>2930.4211526692011</v>
          </cell>
          <cell r="AG134">
            <v>7836.870946720971</v>
          </cell>
          <cell r="AH134">
            <v>11846.819942587188</v>
          </cell>
          <cell r="AI134">
            <v>3000.3015744686577</v>
          </cell>
          <cell r="AJ134">
            <v>2553.1423345374033</v>
          </cell>
          <cell r="AK134">
            <v>13998.42625091743</v>
          </cell>
          <cell r="AL134">
            <v>2580.4442659900856</v>
          </cell>
          <cell r="AM134">
            <v>759.09887765912686</v>
          </cell>
          <cell r="AN134">
            <v>2042.6067745131629</v>
          </cell>
          <cell r="AO134">
            <v>15849.527851163844</v>
          </cell>
          <cell r="AP134">
            <v>3677.0221729976784</v>
          </cell>
          <cell r="AQ134">
            <v>80.964740825374946</v>
          </cell>
          <cell r="AR134">
            <v>5.2643447556722774E-4</v>
          </cell>
          <cell r="AS134">
            <v>5.2635155439804211E-4</v>
          </cell>
          <cell r="AT134">
            <v>2.6659142839138661</v>
          </cell>
          <cell r="AU134">
            <v>26.552466540619974</v>
          </cell>
          <cell r="AV134">
            <v>86.909997853546997</v>
          </cell>
          <cell r="AW134">
            <v>137.10514685411181</v>
          </cell>
          <cell r="AX134">
            <v>3564.1475383217457</v>
          </cell>
          <cell r="AY134">
            <v>19832.605135392911</v>
          </cell>
          <cell r="AZ134">
            <v>81715.585784961499</v>
          </cell>
          <cell r="BA134">
            <v>4970.7711175066552</v>
          </cell>
          <cell r="BB134">
            <v>10374.803136820625</v>
          </cell>
          <cell r="BC134">
            <v>7083.5773270236159</v>
          </cell>
          <cell r="BD134">
            <v>11657.470357210233</v>
          </cell>
          <cell r="BE134">
            <v>6.5432595811128591</v>
          </cell>
          <cell r="BF134">
            <v>2.7114552651415304E-2</v>
          </cell>
          <cell r="BG134">
            <v>59.136048087467877</v>
          </cell>
          <cell r="BH134">
            <v>5.6806042242551609</v>
          </cell>
          <cell r="BI134">
            <v>1564.8753508852733</v>
          </cell>
          <cell r="BJ134">
            <v>272.70503032647991</v>
          </cell>
          <cell r="BK134">
            <v>101.59826953580898</v>
          </cell>
          <cell r="BL134">
            <v>19000.466162248551</v>
          </cell>
          <cell r="BM134">
            <v>104003.12897196467</v>
          </cell>
          <cell r="BN134">
            <v>65782.216112499067</v>
          </cell>
          <cell r="BO134">
            <v>288621.82779987028</v>
          </cell>
          <cell r="BP134">
            <v>44839.589821329049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C60CC-4C6F-4A7C-89FB-465DC295CA5D}">
  <dimension ref="B2:I83"/>
  <sheetViews>
    <sheetView topLeftCell="A31" workbookViewId="0">
      <selection activeCell="I43" sqref="I43"/>
    </sheetView>
  </sheetViews>
  <sheetFormatPr defaultRowHeight="12" x14ac:dyDescent="0.25"/>
  <cols>
    <col min="1" max="2" width="9.140625" style="1"/>
    <col min="3" max="3" width="14" style="1" bestFit="1" customWidth="1"/>
    <col min="4" max="5" width="9.140625" style="1"/>
    <col min="6" max="6" width="13.85546875" style="1" bestFit="1" customWidth="1"/>
    <col min="7" max="16384" width="9.140625" style="1"/>
  </cols>
  <sheetData>
    <row r="2" spans="2:9" x14ac:dyDescent="0.25">
      <c r="B2" s="1" t="s">
        <v>4</v>
      </c>
      <c r="C2" s="1" t="s">
        <v>73</v>
      </c>
      <c r="E2" s="1" t="s">
        <v>4</v>
      </c>
      <c r="F2" s="1" t="s">
        <v>73</v>
      </c>
      <c r="H2" s="1" t="s">
        <v>4</v>
      </c>
      <c r="I2" s="1" t="s">
        <v>4</v>
      </c>
    </row>
    <row r="3" spans="2:9" x14ac:dyDescent="0.25">
      <c r="B3" s="1" t="s">
        <v>5</v>
      </c>
      <c r="C3" s="1" t="s">
        <v>73</v>
      </c>
      <c r="E3" s="1" t="s">
        <v>5</v>
      </c>
      <c r="F3" s="1" t="s">
        <v>73</v>
      </c>
      <c r="H3" s="1" t="s">
        <v>5</v>
      </c>
      <c r="I3" s="1" t="s">
        <v>5</v>
      </c>
    </row>
    <row r="4" spans="2:9" x14ac:dyDescent="0.25">
      <c r="B4" s="1" t="s">
        <v>6</v>
      </c>
      <c r="C4" s="1" t="s">
        <v>73</v>
      </c>
      <c r="E4" s="1" t="s">
        <v>6</v>
      </c>
      <c r="F4" s="1" t="s">
        <v>73</v>
      </c>
      <c r="H4" s="1" t="s">
        <v>6</v>
      </c>
      <c r="I4" s="1" t="s">
        <v>6</v>
      </c>
    </row>
    <row r="5" spans="2:9" x14ac:dyDescent="0.25">
      <c r="B5" s="1" t="s">
        <v>7</v>
      </c>
      <c r="C5" s="1" t="s">
        <v>74</v>
      </c>
      <c r="E5" s="1" t="s">
        <v>7</v>
      </c>
      <c r="F5" s="1" t="s">
        <v>74</v>
      </c>
      <c r="H5" s="1" t="s">
        <v>7</v>
      </c>
      <c r="I5" s="1" t="s">
        <v>7</v>
      </c>
    </row>
    <row r="6" spans="2:9" x14ac:dyDescent="0.25">
      <c r="B6" s="1" t="s">
        <v>8</v>
      </c>
      <c r="C6" s="1" t="s">
        <v>74</v>
      </c>
      <c r="E6" s="1" t="s">
        <v>8</v>
      </c>
      <c r="F6" s="1" t="s">
        <v>74</v>
      </c>
      <c r="H6" s="1" t="s">
        <v>8</v>
      </c>
      <c r="I6" s="1" t="s">
        <v>8</v>
      </c>
    </row>
    <row r="7" spans="2:9" x14ac:dyDescent="0.25">
      <c r="B7" s="1" t="s">
        <v>9</v>
      </c>
      <c r="C7" s="1" t="s">
        <v>74</v>
      </c>
      <c r="E7" s="1" t="s">
        <v>9</v>
      </c>
      <c r="F7" s="1" t="s">
        <v>74</v>
      </c>
      <c r="H7" s="1" t="s">
        <v>9</v>
      </c>
      <c r="I7" s="1" t="s">
        <v>9</v>
      </c>
    </row>
    <row r="8" spans="2:9" x14ac:dyDescent="0.25">
      <c r="B8" s="1" t="s">
        <v>10</v>
      </c>
      <c r="C8" s="1" t="s">
        <v>74</v>
      </c>
      <c r="E8" s="1" t="s">
        <v>89</v>
      </c>
      <c r="F8" s="1" t="s">
        <v>74</v>
      </c>
      <c r="H8" s="1" t="s">
        <v>10</v>
      </c>
      <c r="I8" s="1" t="s">
        <v>89</v>
      </c>
    </row>
    <row r="9" spans="2:9" x14ac:dyDescent="0.25">
      <c r="B9" s="1" t="s">
        <v>11</v>
      </c>
      <c r="C9" s="1" t="s">
        <v>74</v>
      </c>
      <c r="E9" s="1" t="s">
        <v>14</v>
      </c>
      <c r="F9" s="1" t="s">
        <v>75</v>
      </c>
      <c r="H9" s="1" t="s">
        <v>11</v>
      </c>
      <c r="I9" s="1" t="s">
        <v>89</v>
      </c>
    </row>
    <row r="10" spans="2:9" x14ac:dyDescent="0.25">
      <c r="B10" s="1" t="s">
        <v>12</v>
      </c>
      <c r="C10" s="1" t="s">
        <v>74</v>
      </c>
      <c r="E10" s="1" t="s">
        <v>15</v>
      </c>
      <c r="F10" s="1" t="s">
        <v>75</v>
      </c>
      <c r="H10" s="1" t="s">
        <v>12</v>
      </c>
      <c r="I10" s="1" t="s">
        <v>89</v>
      </c>
    </row>
    <row r="11" spans="2:9" x14ac:dyDescent="0.25">
      <c r="B11" s="1" t="s">
        <v>13</v>
      </c>
      <c r="C11" s="1" t="s">
        <v>74</v>
      </c>
      <c r="E11" s="1" t="s">
        <v>90</v>
      </c>
      <c r="F11" s="1" t="s">
        <v>75</v>
      </c>
      <c r="H11" s="1" t="s">
        <v>13</v>
      </c>
      <c r="I11" s="1" t="s">
        <v>89</v>
      </c>
    </row>
    <row r="12" spans="2:9" x14ac:dyDescent="0.25">
      <c r="B12" s="1" t="s">
        <v>14</v>
      </c>
      <c r="C12" s="1" t="s">
        <v>75</v>
      </c>
      <c r="E12" s="1" t="s">
        <v>91</v>
      </c>
      <c r="F12" s="1" t="s">
        <v>75</v>
      </c>
      <c r="H12" s="1" t="s">
        <v>14</v>
      </c>
      <c r="I12" s="1" t="s">
        <v>14</v>
      </c>
    </row>
    <row r="13" spans="2:9" x14ac:dyDescent="0.25">
      <c r="B13" s="1" t="s">
        <v>15</v>
      </c>
      <c r="C13" s="1" t="s">
        <v>75</v>
      </c>
      <c r="E13" s="1" t="s">
        <v>18</v>
      </c>
      <c r="F13" s="1" t="s">
        <v>75</v>
      </c>
      <c r="H13" s="1" t="s">
        <v>15</v>
      </c>
      <c r="I13" s="1" t="s">
        <v>15</v>
      </c>
    </row>
    <row r="14" spans="2:9" x14ac:dyDescent="0.25">
      <c r="B14" s="1" t="s">
        <v>16</v>
      </c>
      <c r="C14" s="1" t="s">
        <v>75</v>
      </c>
      <c r="E14" s="1" t="s">
        <v>19</v>
      </c>
      <c r="F14" s="1" t="s">
        <v>75</v>
      </c>
      <c r="H14" s="1" t="s">
        <v>16</v>
      </c>
      <c r="I14" s="1" t="s">
        <v>90</v>
      </c>
    </row>
    <row r="15" spans="2:9" x14ac:dyDescent="0.25">
      <c r="B15" s="1" t="s">
        <v>17</v>
      </c>
      <c r="C15" s="1" t="s">
        <v>75</v>
      </c>
      <c r="E15" s="1" t="s">
        <v>20</v>
      </c>
      <c r="F15" s="1" t="s">
        <v>75</v>
      </c>
      <c r="H15" s="1" t="s">
        <v>17</v>
      </c>
      <c r="I15" s="1" t="s">
        <v>91</v>
      </c>
    </row>
    <row r="16" spans="2:9" x14ac:dyDescent="0.25">
      <c r="B16" s="1" t="s">
        <v>18</v>
      </c>
      <c r="C16" s="1" t="s">
        <v>75</v>
      </c>
      <c r="E16" s="1" t="s">
        <v>21</v>
      </c>
      <c r="F16" s="1" t="s">
        <v>75</v>
      </c>
      <c r="H16" s="1" t="s">
        <v>18</v>
      </c>
      <c r="I16" s="1" t="s">
        <v>18</v>
      </c>
    </row>
    <row r="17" spans="2:9" x14ac:dyDescent="0.25">
      <c r="B17" s="1" t="s">
        <v>19</v>
      </c>
      <c r="C17" s="1" t="s">
        <v>75</v>
      </c>
      <c r="E17" s="1" t="s">
        <v>22</v>
      </c>
      <c r="F17" s="1" t="s">
        <v>75</v>
      </c>
      <c r="H17" s="1" t="s">
        <v>19</v>
      </c>
      <c r="I17" s="1" t="s">
        <v>19</v>
      </c>
    </row>
    <row r="18" spans="2:9" x14ac:dyDescent="0.25">
      <c r="B18" s="1" t="s">
        <v>20</v>
      </c>
      <c r="C18" s="1" t="s">
        <v>75</v>
      </c>
      <c r="E18" s="1" t="s">
        <v>92</v>
      </c>
      <c r="F18" s="1" t="s">
        <v>75</v>
      </c>
      <c r="H18" s="1" t="s">
        <v>20</v>
      </c>
      <c r="I18" s="1" t="s">
        <v>20</v>
      </c>
    </row>
    <row r="19" spans="2:9" x14ac:dyDescent="0.25">
      <c r="B19" s="1" t="s">
        <v>21</v>
      </c>
      <c r="C19" s="1" t="s">
        <v>75</v>
      </c>
      <c r="E19" s="1" t="s">
        <v>27</v>
      </c>
      <c r="F19" s="1" t="s">
        <v>75</v>
      </c>
      <c r="H19" s="1" t="s">
        <v>21</v>
      </c>
      <c r="I19" s="1" t="s">
        <v>21</v>
      </c>
    </row>
    <row r="20" spans="2:9" x14ac:dyDescent="0.25">
      <c r="B20" s="1" t="s">
        <v>22</v>
      </c>
      <c r="C20" s="1" t="s">
        <v>75</v>
      </c>
      <c r="E20" s="1" t="s">
        <v>28</v>
      </c>
      <c r="F20" s="1" t="s">
        <v>75</v>
      </c>
      <c r="H20" s="1" t="s">
        <v>22</v>
      </c>
      <c r="I20" s="1" t="s">
        <v>22</v>
      </c>
    </row>
    <row r="21" spans="2:9" x14ac:dyDescent="0.25">
      <c r="B21" s="1" t="s">
        <v>23</v>
      </c>
      <c r="C21" s="1" t="s">
        <v>75</v>
      </c>
      <c r="E21" s="1" t="s">
        <v>29</v>
      </c>
      <c r="F21" s="1" t="s">
        <v>75</v>
      </c>
      <c r="H21" s="1" t="s">
        <v>23</v>
      </c>
      <c r="I21" s="1" t="s">
        <v>92</v>
      </c>
    </row>
    <row r="22" spans="2:9" x14ac:dyDescent="0.25">
      <c r="B22" s="1" t="s">
        <v>24</v>
      </c>
      <c r="C22" s="1" t="s">
        <v>75</v>
      </c>
      <c r="E22" s="1" t="s">
        <v>30</v>
      </c>
      <c r="F22" s="1" t="s">
        <v>75</v>
      </c>
      <c r="H22" s="1" t="s">
        <v>24</v>
      </c>
      <c r="I22" s="1" t="s">
        <v>92</v>
      </c>
    </row>
    <row r="23" spans="2:9" x14ac:dyDescent="0.25">
      <c r="B23" s="1" t="s">
        <v>25</v>
      </c>
      <c r="C23" s="1" t="s">
        <v>75</v>
      </c>
      <c r="E23" s="1" t="s">
        <v>93</v>
      </c>
      <c r="F23" s="1" t="s">
        <v>75</v>
      </c>
      <c r="H23" s="1" t="s">
        <v>25</v>
      </c>
      <c r="I23" s="1" t="s">
        <v>92</v>
      </c>
    </row>
    <row r="24" spans="2:9" x14ac:dyDescent="0.25">
      <c r="B24" s="1" t="s">
        <v>26</v>
      </c>
      <c r="C24" s="1" t="s">
        <v>75</v>
      </c>
      <c r="E24" s="1" t="s">
        <v>94</v>
      </c>
      <c r="F24" s="1" t="s">
        <v>75</v>
      </c>
      <c r="H24" s="1" t="s">
        <v>26</v>
      </c>
      <c r="I24" s="1" t="s">
        <v>92</v>
      </c>
    </row>
    <row r="25" spans="2:9" x14ac:dyDescent="0.25">
      <c r="B25" s="1" t="s">
        <v>27</v>
      </c>
      <c r="C25" s="1" t="s">
        <v>75</v>
      </c>
      <c r="E25" s="1" t="s">
        <v>95</v>
      </c>
      <c r="F25" s="1" t="s">
        <v>75</v>
      </c>
      <c r="H25" s="1" t="s">
        <v>27</v>
      </c>
      <c r="I25" s="1" t="s">
        <v>27</v>
      </c>
    </row>
    <row r="26" spans="2:9" x14ac:dyDescent="0.25">
      <c r="B26" s="1" t="s">
        <v>28</v>
      </c>
      <c r="C26" s="1" t="s">
        <v>75</v>
      </c>
      <c r="E26" s="1" t="s">
        <v>96</v>
      </c>
      <c r="F26" s="1" t="s">
        <v>75</v>
      </c>
      <c r="H26" s="1" t="s">
        <v>28</v>
      </c>
      <c r="I26" s="1" t="s">
        <v>28</v>
      </c>
    </row>
    <row r="27" spans="2:9" x14ac:dyDescent="0.25">
      <c r="B27" s="1" t="s">
        <v>29</v>
      </c>
      <c r="C27" s="1" t="s">
        <v>75</v>
      </c>
      <c r="E27" s="1" t="s">
        <v>97</v>
      </c>
      <c r="F27" s="1" t="s">
        <v>75</v>
      </c>
      <c r="H27" s="1" t="s">
        <v>29</v>
      </c>
      <c r="I27" s="1" t="s">
        <v>29</v>
      </c>
    </row>
    <row r="28" spans="2:9" x14ac:dyDescent="0.25">
      <c r="B28" s="1" t="s">
        <v>30</v>
      </c>
      <c r="C28" s="1" t="s">
        <v>75</v>
      </c>
      <c r="E28" s="1" t="s">
        <v>36</v>
      </c>
      <c r="F28" s="1" t="s">
        <v>75</v>
      </c>
      <c r="H28" s="1" t="s">
        <v>30</v>
      </c>
      <c r="I28" s="1" t="s">
        <v>30</v>
      </c>
    </row>
    <row r="29" spans="2:9" x14ac:dyDescent="0.25">
      <c r="B29" s="1" t="s">
        <v>31</v>
      </c>
      <c r="C29" s="1" t="s">
        <v>75</v>
      </c>
      <c r="E29" s="1" t="s">
        <v>37</v>
      </c>
      <c r="F29" s="1" t="s">
        <v>75</v>
      </c>
      <c r="H29" s="1" t="s">
        <v>31</v>
      </c>
      <c r="I29" s="1" t="s">
        <v>93</v>
      </c>
    </row>
    <row r="30" spans="2:9" x14ac:dyDescent="0.25">
      <c r="B30" s="1" t="s">
        <v>32</v>
      </c>
      <c r="C30" s="1" t="s">
        <v>75</v>
      </c>
      <c r="E30" s="1" t="s">
        <v>98</v>
      </c>
      <c r="F30" s="1" t="s">
        <v>75</v>
      </c>
      <c r="H30" s="1" t="s">
        <v>32</v>
      </c>
      <c r="I30" s="1" t="s">
        <v>94</v>
      </c>
    </row>
    <row r="31" spans="2:9" x14ac:dyDescent="0.25">
      <c r="B31" s="1" t="s">
        <v>33</v>
      </c>
      <c r="C31" s="1" t="s">
        <v>75</v>
      </c>
      <c r="E31" s="1" t="s">
        <v>99</v>
      </c>
      <c r="F31" s="1" t="s">
        <v>75</v>
      </c>
      <c r="H31" s="1" t="s">
        <v>33</v>
      </c>
      <c r="I31" s="1" t="s">
        <v>95</v>
      </c>
    </row>
    <row r="32" spans="2:9" x14ac:dyDescent="0.25">
      <c r="B32" s="1" t="s">
        <v>34</v>
      </c>
      <c r="C32" s="1" t="s">
        <v>75</v>
      </c>
      <c r="E32" s="1" t="s">
        <v>100</v>
      </c>
      <c r="F32" s="1" t="s">
        <v>75</v>
      </c>
      <c r="H32" s="1" t="s">
        <v>34</v>
      </c>
      <c r="I32" s="1" t="s">
        <v>96</v>
      </c>
    </row>
    <row r="33" spans="2:9" x14ac:dyDescent="0.25">
      <c r="B33" s="1" t="s">
        <v>35</v>
      </c>
      <c r="C33" s="1" t="s">
        <v>75</v>
      </c>
      <c r="E33" s="1" t="s">
        <v>101</v>
      </c>
      <c r="F33" s="1" t="s">
        <v>75</v>
      </c>
      <c r="H33" s="1" t="s">
        <v>35</v>
      </c>
      <c r="I33" s="1" t="s">
        <v>97</v>
      </c>
    </row>
    <row r="34" spans="2:9" x14ac:dyDescent="0.25">
      <c r="B34" s="1" t="s">
        <v>36</v>
      </c>
      <c r="C34" s="1" t="s">
        <v>75</v>
      </c>
      <c r="E34" s="1" t="s">
        <v>41</v>
      </c>
      <c r="F34" s="1" t="s">
        <v>75</v>
      </c>
      <c r="H34" s="1" t="s">
        <v>36</v>
      </c>
      <c r="I34" s="1" t="s">
        <v>36</v>
      </c>
    </row>
    <row r="35" spans="2:9" x14ac:dyDescent="0.25">
      <c r="B35" s="1" t="s">
        <v>37</v>
      </c>
      <c r="C35" s="1" t="s">
        <v>75</v>
      </c>
      <c r="E35" s="1" t="s">
        <v>102</v>
      </c>
      <c r="F35" s="1" t="s">
        <v>75</v>
      </c>
      <c r="H35" s="1" t="s">
        <v>37</v>
      </c>
      <c r="I35" s="1" t="s">
        <v>37</v>
      </c>
    </row>
    <row r="36" spans="2:9" x14ac:dyDescent="0.25">
      <c r="B36" s="1" t="s">
        <v>38</v>
      </c>
      <c r="C36" s="1" t="s">
        <v>75</v>
      </c>
      <c r="E36" s="1" t="s">
        <v>103</v>
      </c>
      <c r="F36" s="1" t="s">
        <v>76</v>
      </c>
      <c r="H36" s="1" t="s">
        <v>38</v>
      </c>
      <c r="I36" s="1" t="s">
        <v>98</v>
      </c>
    </row>
    <row r="37" spans="2:9" x14ac:dyDescent="0.25">
      <c r="B37" s="1" t="s">
        <v>39</v>
      </c>
      <c r="C37" s="1" t="s">
        <v>75</v>
      </c>
      <c r="E37" s="1" t="s">
        <v>104</v>
      </c>
      <c r="F37" s="1" t="s">
        <v>76</v>
      </c>
      <c r="H37" s="1" t="s">
        <v>39</v>
      </c>
      <c r="I37" s="1" t="s">
        <v>99</v>
      </c>
    </row>
    <row r="38" spans="2:9" x14ac:dyDescent="0.25">
      <c r="B38" s="1" t="s">
        <v>40</v>
      </c>
      <c r="C38" s="1" t="s">
        <v>75</v>
      </c>
      <c r="E38" s="1" t="s">
        <v>105</v>
      </c>
      <c r="F38" s="1" t="s">
        <v>77</v>
      </c>
      <c r="H38" s="1" t="s">
        <v>40</v>
      </c>
      <c r="I38" s="1" t="s">
        <v>100</v>
      </c>
    </row>
    <row r="39" spans="2:9" x14ac:dyDescent="0.25">
      <c r="B39" s="1" t="s">
        <v>41</v>
      </c>
      <c r="C39" s="1" t="s">
        <v>75</v>
      </c>
      <c r="E39" s="1" t="s">
        <v>106</v>
      </c>
      <c r="F39" s="1" t="s">
        <v>78</v>
      </c>
      <c r="H39" s="1" t="s">
        <v>40</v>
      </c>
      <c r="I39" s="1" t="s">
        <v>101</v>
      </c>
    </row>
    <row r="40" spans="2:9" x14ac:dyDescent="0.25">
      <c r="B40" s="1" t="s">
        <v>42</v>
      </c>
      <c r="C40" s="1" t="s">
        <v>75</v>
      </c>
      <c r="E40" s="1" t="s">
        <v>107</v>
      </c>
      <c r="F40" s="1" t="s">
        <v>78</v>
      </c>
      <c r="H40" s="1" t="s">
        <v>41</v>
      </c>
      <c r="I40" s="1" t="s">
        <v>41</v>
      </c>
    </row>
    <row r="41" spans="2:9" x14ac:dyDescent="0.25">
      <c r="B41" s="1" t="s">
        <v>43</v>
      </c>
      <c r="C41" s="1" t="s">
        <v>76</v>
      </c>
      <c r="E41" s="1" t="s">
        <v>108</v>
      </c>
      <c r="F41" s="1" t="s">
        <v>78</v>
      </c>
      <c r="H41" s="1" t="s">
        <v>42</v>
      </c>
      <c r="I41" s="1" t="s">
        <v>102</v>
      </c>
    </row>
    <row r="42" spans="2:9" x14ac:dyDescent="0.25">
      <c r="B42" s="1" t="s">
        <v>44</v>
      </c>
      <c r="C42" s="1" t="s">
        <v>76</v>
      </c>
      <c r="E42" s="1" t="s">
        <v>109</v>
      </c>
      <c r="F42" s="1" t="s">
        <v>78</v>
      </c>
      <c r="H42" s="1" t="s">
        <v>43</v>
      </c>
      <c r="I42" s="1" t="s">
        <v>103</v>
      </c>
    </row>
    <row r="43" spans="2:9" x14ac:dyDescent="0.25">
      <c r="B43" s="1" t="s">
        <v>45</v>
      </c>
      <c r="C43" s="1" t="s">
        <v>76</v>
      </c>
      <c r="E43" s="1" t="s">
        <v>110</v>
      </c>
      <c r="F43" s="1" t="s">
        <v>79</v>
      </c>
      <c r="H43" s="1" t="s">
        <v>44</v>
      </c>
      <c r="I43" s="1" t="s">
        <v>103</v>
      </c>
    </row>
    <row r="44" spans="2:9" x14ac:dyDescent="0.25">
      <c r="B44" s="1" t="s">
        <v>46</v>
      </c>
      <c r="C44" s="1" t="s">
        <v>76</v>
      </c>
      <c r="E44" s="1" t="s">
        <v>111</v>
      </c>
      <c r="F44" s="1" t="s">
        <v>79</v>
      </c>
      <c r="H44" s="1" t="s">
        <v>45</v>
      </c>
      <c r="I44" s="1" t="s">
        <v>103</v>
      </c>
    </row>
    <row r="45" spans="2:9" x14ac:dyDescent="0.25">
      <c r="B45" s="1" t="s">
        <v>47</v>
      </c>
      <c r="C45" s="1" t="s">
        <v>76</v>
      </c>
      <c r="E45" s="1" t="s">
        <v>112</v>
      </c>
      <c r="F45" s="1" t="s">
        <v>79</v>
      </c>
      <c r="H45" s="1" t="s">
        <v>46</v>
      </c>
      <c r="I45" s="1" t="s">
        <v>103</v>
      </c>
    </row>
    <row r="46" spans="2:9" x14ac:dyDescent="0.25">
      <c r="B46" s="1" t="s">
        <v>48</v>
      </c>
      <c r="C46" s="1" t="s">
        <v>76</v>
      </c>
      <c r="E46" s="1" t="s">
        <v>56</v>
      </c>
      <c r="F46" s="1" t="s">
        <v>79</v>
      </c>
      <c r="H46" s="1" t="s">
        <v>47</v>
      </c>
      <c r="I46" s="1" t="s">
        <v>103</v>
      </c>
    </row>
    <row r="47" spans="2:9" x14ac:dyDescent="0.25">
      <c r="B47" s="1" t="s">
        <v>49</v>
      </c>
      <c r="C47" s="1" t="s">
        <v>76</v>
      </c>
      <c r="E47" s="1" t="s">
        <v>113</v>
      </c>
      <c r="F47" s="1" t="s">
        <v>79</v>
      </c>
      <c r="H47" s="1" t="s">
        <v>48</v>
      </c>
      <c r="I47" s="1" t="s">
        <v>103</v>
      </c>
    </row>
    <row r="48" spans="2:9" x14ac:dyDescent="0.25">
      <c r="B48" s="1" t="s">
        <v>50</v>
      </c>
      <c r="C48" s="1" t="s">
        <v>76</v>
      </c>
      <c r="E48" s="1" t="s">
        <v>114</v>
      </c>
      <c r="F48" s="1" t="s">
        <v>80</v>
      </c>
      <c r="H48" s="1" t="s">
        <v>49</v>
      </c>
      <c r="I48" s="1" t="s">
        <v>103</v>
      </c>
    </row>
    <row r="49" spans="2:9" x14ac:dyDescent="0.25">
      <c r="B49" s="1" t="s">
        <v>51</v>
      </c>
      <c r="C49" s="1" t="s">
        <v>76</v>
      </c>
      <c r="E49" s="1" t="s">
        <v>115</v>
      </c>
      <c r="F49" s="1" t="s">
        <v>80</v>
      </c>
      <c r="H49" s="1" t="s">
        <v>50</v>
      </c>
      <c r="I49" s="1" t="s">
        <v>103</v>
      </c>
    </row>
    <row r="50" spans="2:9" x14ac:dyDescent="0.25">
      <c r="B50" s="1" t="s">
        <v>52</v>
      </c>
      <c r="C50" s="1" t="s">
        <v>76</v>
      </c>
      <c r="E50" s="1" t="s">
        <v>116</v>
      </c>
      <c r="F50" s="1" t="s">
        <v>80</v>
      </c>
      <c r="H50" s="1" t="s">
        <v>51</v>
      </c>
      <c r="I50" s="1" t="s">
        <v>103</v>
      </c>
    </row>
    <row r="51" spans="2:9" x14ac:dyDescent="0.25">
      <c r="B51" s="1" t="s">
        <v>53</v>
      </c>
      <c r="C51" s="1" t="s">
        <v>77</v>
      </c>
      <c r="E51" s="1" t="s">
        <v>117</v>
      </c>
      <c r="F51" s="1" t="s">
        <v>80</v>
      </c>
      <c r="H51" s="1" t="s">
        <v>52</v>
      </c>
      <c r="I51" s="1" t="s">
        <v>104</v>
      </c>
    </row>
    <row r="52" spans="2:9" x14ac:dyDescent="0.25">
      <c r="B52" s="1" t="s">
        <v>54</v>
      </c>
      <c r="C52" s="1" t="s">
        <v>78</v>
      </c>
      <c r="E52" s="1" t="s">
        <v>118</v>
      </c>
      <c r="F52" s="1" t="s">
        <v>80</v>
      </c>
      <c r="H52" s="1" t="s">
        <v>53</v>
      </c>
      <c r="I52" s="1" t="s">
        <v>105</v>
      </c>
    </row>
    <row r="53" spans="2:9" x14ac:dyDescent="0.25">
      <c r="B53" s="1" t="s">
        <v>55</v>
      </c>
      <c r="C53" s="1" t="s">
        <v>78</v>
      </c>
      <c r="E53" s="1" t="s">
        <v>119</v>
      </c>
      <c r="F53" s="1" t="s">
        <v>80</v>
      </c>
      <c r="H53" s="1" t="s">
        <v>54</v>
      </c>
      <c r="I53" s="1" t="s">
        <v>106</v>
      </c>
    </row>
    <row r="54" spans="2:9" x14ac:dyDescent="0.25">
      <c r="B54" s="1" t="s">
        <v>56</v>
      </c>
      <c r="C54" s="1" t="s">
        <v>79</v>
      </c>
      <c r="E54" s="1" t="s">
        <v>120</v>
      </c>
      <c r="F54" s="1" t="s">
        <v>80</v>
      </c>
      <c r="H54" s="1" t="s">
        <v>54</v>
      </c>
      <c r="I54" s="1" t="s">
        <v>107</v>
      </c>
    </row>
    <row r="55" spans="2:9" x14ac:dyDescent="0.25">
      <c r="B55" s="1" t="s">
        <v>57</v>
      </c>
      <c r="C55" s="1" t="s">
        <v>79</v>
      </c>
      <c r="E55" s="1" t="s">
        <v>121</v>
      </c>
      <c r="F55" s="1" t="s">
        <v>80</v>
      </c>
      <c r="H55" s="1" t="s">
        <v>54</v>
      </c>
      <c r="I55" s="1" t="s">
        <v>108</v>
      </c>
    </row>
    <row r="56" spans="2:9" x14ac:dyDescent="0.25">
      <c r="B56" s="1" t="s">
        <v>58</v>
      </c>
      <c r="C56" s="1" t="s">
        <v>79</v>
      </c>
      <c r="E56" s="1" t="s">
        <v>122</v>
      </c>
      <c r="F56" s="1" t="s">
        <v>82</v>
      </c>
      <c r="H56" s="1" t="s">
        <v>55</v>
      </c>
      <c r="I56" s="1" t="s">
        <v>109</v>
      </c>
    </row>
    <row r="57" spans="2:9" x14ac:dyDescent="0.25">
      <c r="B57" s="1" t="s">
        <v>59</v>
      </c>
      <c r="C57" s="1" t="s">
        <v>79</v>
      </c>
      <c r="E57" s="1" t="s">
        <v>123</v>
      </c>
      <c r="F57" s="1" t="s">
        <v>82</v>
      </c>
      <c r="H57" s="1" t="s">
        <v>56</v>
      </c>
      <c r="I57" s="1" t="s">
        <v>56</v>
      </c>
    </row>
    <row r="58" spans="2:9" x14ac:dyDescent="0.25">
      <c r="B58" s="1" t="s">
        <v>60</v>
      </c>
      <c r="C58" s="1" t="s">
        <v>79</v>
      </c>
      <c r="E58" s="1" t="s">
        <v>124</v>
      </c>
      <c r="F58" s="1" t="s">
        <v>82</v>
      </c>
      <c r="H58" s="1" t="s">
        <v>57</v>
      </c>
      <c r="I58" s="1" t="s">
        <v>110</v>
      </c>
    </row>
    <row r="59" spans="2:9" x14ac:dyDescent="0.25">
      <c r="B59" s="1" t="s">
        <v>61</v>
      </c>
      <c r="C59" s="1" t="s">
        <v>79</v>
      </c>
      <c r="E59" s="1" t="s">
        <v>125</v>
      </c>
      <c r="F59" s="1" t="s">
        <v>82</v>
      </c>
      <c r="H59" s="1" t="s">
        <v>58</v>
      </c>
      <c r="I59" s="1" t="s">
        <v>110</v>
      </c>
    </row>
    <row r="60" spans="2:9" x14ac:dyDescent="0.25">
      <c r="B60" s="1" t="s">
        <v>62</v>
      </c>
      <c r="C60" s="1" t="s">
        <v>79</v>
      </c>
      <c r="E60" s="1" t="s">
        <v>126</v>
      </c>
      <c r="F60" s="1" t="s">
        <v>82</v>
      </c>
      <c r="H60" s="1" t="s">
        <v>59</v>
      </c>
      <c r="I60" s="1" t="s">
        <v>110</v>
      </c>
    </row>
    <row r="61" spans="2:9" x14ac:dyDescent="0.25">
      <c r="B61" s="1" t="s">
        <v>63</v>
      </c>
      <c r="C61" s="1" t="s">
        <v>79</v>
      </c>
      <c r="E61" s="1" t="s">
        <v>127</v>
      </c>
      <c r="F61" s="1" t="s">
        <v>82</v>
      </c>
      <c r="H61" s="1" t="s">
        <v>60</v>
      </c>
      <c r="I61" s="1" t="s">
        <v>111</v>
      </c>
    </row>
    <row r="62" spans="2:9" x14ac:dyDescent="0.25">
      <c r="B62" s="1" t="s">
        <v>64</v>
      </c>
      <c r="C62" s="1" t="s">
        <v>79</v>
      </c>
      <c r="E62" s="1" t="s">
        <v>128</v>
      </c>
      <c r="F62" s="1" t="s">
        <v>82</v>
      </c>
      <c r="H62" s="1" t="s">
        <v>61</v>
      </c>
      <c r="I62" s="1" t="s">
        <v>111</v>
      </c>
    </row>
    <row r="63" spans="2:9" x14ac:dyDescent="0.25">
      <c r="B63" s="1" t="s">
        <v>65</v>
      </c>
      <c r="C63" s="1" t="s">
        <v>79</v>
      </c>
      <c r="E63" s="1" t="s">
        <v>129</v>
      </c>
      <c r="F63" s="1" t="s">
        <v>82</v>
      </c>
      <c r="H63" s="1" t="s">
        <v>62</v>
      </c>
      <c r="I63" s="1" t="s">
        <v>111</v>
      </c>
    </row>
    <row r="64" spans="2:9" x14ac:dyDescent="0.25">
      <c r="B64" s="1" t="s">
        <v>66</v>
      </c>
      <c r="C64" s="1" t="s">
        <v>79</v>
      </c>
      <c r="H64" s="1" t="s">
        <v>63</v>
      </c>
      <c r="I64" s="1" t="s">
        <v>112</v>
      </c>
    </row>
    <row r="65" spans="2:9" x14ac:dyDescent="0.25">
      <c r="B65" s="1" t="s">
        <v>67</v>
      </c>
      <c r="C65" s="1" t="s">
        <v>80</v>
      </c>
      <c r="H65" s="1" t="s">
        <v>64</v>
      </c>
      <c r="I65" s="1" t="s">
        <v>112</v>
      </c>
    </row>
    <row r="66" spans="2:9" x14ac:dyDescent="0.25">
      <c r="B66" s="1" t="s">
        <v>68</v>
      </c>
      <c r="C66" s="1" t="s">
        <v>80</v>
      </c>
      <c r="H66" s="1" t="s">
        <v>65</v>
      </c>
      <c r="I66" s="1" t="s">
        <v>112</v>
      </c>
    </row>
    <row r="67" spans="2:9" x14ac:dyDescent="0.25">
      <c r="B67" s="1" t="s">
        <v>69</v>
      </c>
      <c r="C67" s="1" t="s">
        <v>82</v>
      </c>
      <c r="H67" s="1" t="s">
        <v>66</v>
      </c>
      <c r="I67" s="1" t="s">
        <v>113</v>
      </c>
    </row>
    <row r="68" spans="2:9" x14ac:dyDescent="0.25">
      <c r="B68" s="1" t="s">
        <v>70</v>
      </c>
      <c r="C68" s="1" t="s">
        <v>82</v>
      </c>
      <c r="H68" s="1" t="s">
        <v>67</v>
      </c>
      <c r="I68" s="1" t="s">
        <v>114</v>
      </c>
    </row>
    <row r="69" spans="2:9" x14ac:dyDescent="0.25">
      <c r="H69" s="1" t="s">
        <v>67</v>
      </c>
      <c r="I69" s="1" t="s">
        <v>115</v>
      </c>
    </row>
    <row r="70" spans="2:9" x14ac:dyDescent="0.25">
      <c r="H70" s="1" t="s">
        <v>67</v>
      </c>
      <c r="I70" s="1" t="s">
        <v>116</v>
      </c>
    </row>
    <row r="71" spans="2:9" x14ac:dyDescent="0.25">
      <c r="H71" s="1" t="s">
        <v>68</v>
      </c>
      <c r="I71" s="1" t="s">
        <v>117</v>
      </c>
    </row>
    <row r="72" spans="2:9" x14ac:dyDescent="0.25">
      <c r="H72" s="1" t="s">
        <v>68</v>
      </c>
      <c r="I72" s="1" t="s">
        <v>118</v>
      </c>
    </row>
    <row r="73" spans="2:9" x14ac:dyDescent="0.25">
      <c r="H73" s="1" t="s">
        <v>68</v>
      </c>
      <c r="I73" s="1" t="s">
        <v>119</v>
      </c>
    </row>
    <row r="74" spans="2:9" x14ac:dyDescent="0.25">
      <c r="H74" s="1" t="s">
        <v>68</v>
      </c>
      <c r="I74" s="1" t="s">
        <v>120</v>
      </c>
    </row>
    <row r="75" spans="2:9" x14ac:dyDescent="0.25">
      <c r="H75" s="1" t="s">
        <v>68</v>
      </c>
      <c r="I75" s="1" t="s">
        <v>121</v>
      </c>
    </row>
    <row r="76" spans="2:9" x14ac:dyDescent="0.25">
      <c r="H76" s="1" t="s">
        <v>69</v>
      </c>
      <c r="I76" s="1" t="s">
        <v>122</v>
      </c>
    </row>
    <row r="77" spans="2:9" x14ac:dyDescent="0.25">
      <c r="H77" s="1" t="s">
        <v>70</v>
      </c>
      <c r="I77" s="1" t="s">
        <v>123</v>
      </c>
    </row>
    <row r="78" spans="2:9" x14ac:dyDescent="0.25">
      <c r="H78" s="1" t="s">
        <v>70</v>
      </c>
      <c r="I78" s="1" t="s">
        <v>124</v>
      </c>
    </row>
    <row r="79" spans="2:9" x14ac:dyDescent="0.25">
      <c r="H79" s="1" t="s">
        <v>70</v>
      </c>
      <c r="I79" s="1" t="s">
        <v>125</v>
      </c>
    </row>
    <row r="80" spans="2:9" x14ac:dyDescent="0.25">
      <c r="H80" s="1" t="s">
        <v>70</v>
      </c>
      <c r="I80" s="1" t="s">
        <v>126</v>
      </c>
    </row>
    <row r="81" spans="8:9" x14ac:dyDescent="0.25">
      <c r="H81" s="1" t="s">
        <v>70</v>
      </c>
      <c r="I81" s="1" t="s">
        <v>127</v>
      </c>
    </row>
    <row r="82" spans="8:9" x14ac:dyDescent="0.25">
      <c r="H82" s="1" t="s">
        <v>70</v>
      </c>
      <c r="I82" s="1" t="s">
        <v>128</v>
      </c>
    </row>
    <row r="83" spans="8:9" x14ac:dyDescent="0.25">
      <c r="H83" s="1" t="s">
        <v>70</v>
      </c>
      <c r="I83" s="1" t="s">
        <v>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626FC-4E7E-4DF4-89E2-5A436265FC54}">
  <dimension ref="A1:M70"/>
  <sheetViews>
    <sheetView topLeftCell="A3" workbookViewId="0">
      <selection activeCell="B3" sqref="B3:F70"/>
    </sheetView>
  </sheetViews>
  <sheetFormatPr defaultRowHeight="12" x14ac:dyDescent="0.25"/>
  <cols>
    <col min="1" max="1" width="13.85546875" style="1" bestFit="1" customWidth="1"/>
    <col min="2" max="2" width="12.7109375" style="1" bestFit="1" customWidth="1"/>
    <col min="3" max="4" width="13.85546875" style="1" bestFit="1" customWidth="1"/>
    <col min="5" max="6" width="14.28515625" style="1" bestFit="1" customWidth="1"/>
    <col min="7" max="7" width="9.140625" style="1"/>
    <col min="8" max="8" width="13.85546875" style="1" bestFit="1" customWidth="1"/>
    <col min="9" max="9" width="11.5703125" style="1" bestFit="1" customWidth="1"/>
    <col min="10" max="12" width="12.7109375" style="1" bestFit="1" customWidth="1"/>
    <col min="13" max="13" width="11.5703125" style="1" bestFit="1" customWidth="1"/>
    <col min="14" max="16384" width="9.140625" style="1"/>
  </cols>
  <sheetData>
    <row r="1" spans="1:13" x14ac:dyDescent="0.25">
      <c r="A1" s="4" t="s">
        <v>71</v>
      </c>
    </row>
    <row r="3" spans="1:13" x14ac:dyDescent="0.25">
      <c r="C3" s="1" t="s">
        <v>0</v>
      </c>
      <c r="D3" s="1" t="s">
        <v>1</v>
      </c>
      <c r="E3" s="1" t="s">
        <v>2</v>
      </c>
      <c r="F3" s="1" t="s">
        <v>3</v>
      </c>
      <c r="I3" s="1" t="s">
        <v>0</v>
      </c>
      <c r="J3" s="1" t="s">
        <v>1</v>
      </c>
      <c r="K3" s="1" t="s">
        <v>2</v>
      </c>
      <c r="L3" s="1" t="s">
        <v>3</v>
      </c>
      <c r="M3" s="1" t="s">
        <v>72</v>
      </c>
    </row>
    <row r="4" spans="1:13" x14ac:dyDescent="0.25">
      <c r="A4" s="1" t="str">
        <f>VLOOKUP(B4,Concordance!$B$2:$C$68,2,)</f>
        <v>Agriculture</v>
      </c>
      <c r="B4" s="1" t="s">
        <v>4</v>
      </c>
      <c r="C4" s="2">
        <f t="array" ref="C4:F70">TRANSPOSE([1]SAM!$B$131:$BP$134)</f>
        <v>4182.3922687332633</v>
      </c>
      <c r="D4" s="2">
        <v>3702.3097164001706</v>
      </c>
      <c r="E4" s="2">
        <v>3692.7111299787157</v>
      </c>
      <c r="F4" s="2">
        <v>6613.147433896409</v>
      </c>
      <c r="H4" s="1" t="s">
        <v>72</v>
      </c>
      <c r="I4" s="5">
        <f>SUM(I6:I14)</f>
        <v>80157.045763721457</v>
      </c>
      <c r="J4" s="5">
        <f t="shared" ref="J4:L4" si="0">SUM(J6:J14)</f>
        <v>145656.81389746786</v>
      </c>
      <c r="K4" s="5">
        <f t="shared" si="0"/>
        <v>370369.94061276445</v>
      </c>
      <c r="L4" s="5">
        <f t="shared" si="0"/>
        <v>877668.19972604862</v>
      </c>
      <c r="M4" s="6">
        <f>SUM(I4:L4)</f>
        <v>1473852.0000000023</v>
      </c>
    </row>
    <row r="5" spans="1:13" x14ac:dyDescent="0.25">
      <c r="A5" s="1" t="str">
        <f>VLOOKUP(B5,Concordance!$B$2:$C$68,2,)</f>
        <v>Agriculture</v>
      </c>
      <c r="B5" s="1" t="s">
        <v>5</v>
      </c>
      <c r="C5" s="2">
        <v>839.69621724456977</v>
      </c>
      <c r="D5" s="2">
        <v>428.50230666911682</v>
      </c>
      <c r="E5" s="2">
        <v>395.04181745474773</v>
      </c>
      <c r="F5" s="2">
        <v>622.54480907649861</v>
      </c>
      <c r="I5" s="5"/>
      <c r="J5" s="5"/>
      <c r="K5" s="5"/>
      <c r="L5" s="5"/>
    </row>
    <row r="6" spans="1:13" x14ac:dyDescent="0.25">
      <c r="A6" s="1" t="str">
        <f>VLOOKUP(B6,Concordance!$B$2:$C$68,2,)</f>
        <v>Agriculture</v>
      </c>
      <c r="B6" s="1" t="s">
        <v>6</v>
      </c>
      <c r="C6" s="2">
        <v>183.49647420921713</v>
      </c>
      <c r="D6" s="2">
        <v>162.09716048085593</v>
      </c>
      <c r="E6" s="2">
        <v>480.86899768882716</v>
      </c>
      <c r="F6" s="2">
        <v>311.54285055090372</v>
      </c>
      <c r="H6" s="1" t="s">
        <v>73</v>
      </c>
      <c r="I6" s="5">
        <f>SUMIF($A$4:$A$70,$H6,C$4:C$70)</f>
        <v>5205.5849601870505</v>
      </c>
      <c r="J6" s="5">
        <f t="shared" ref="J6:L6" si="1">SUMIF($A$4:$A$70,$H6,D$4:D$70)</f>
        <v>4292.9091835501431</v>
      </c>
      <c r="K6" s="5">
        <f t="shared" si="1"/>
        <v>4568.6219451222905</v>
      </c>
      <c r="L6" s="5">
        <f t="shared" si="1"/>
        <v>7547.235093523811</v>
      </c>
      <c r="M6" s="6">
        <f t="shared" ref="M6:M14" si="2">SUM(I6:L6)</f>
        <v>21614.351182383292</v>
      </c>
    </row>
    <row r="7" spans="1:13" x14ac:dyDescent="0.25">
      <c r="A7" s="1" t="str">
        <f>VLOOKUP(B7,Concordance!$B$2:$C$68,2,)</f>
        <v>Mining</v>
      </c>
      <c r="B7" s="1" t="s">
        <v>7</v>
      </c>
      <c r="C7" s="2">
        <v>1231.3532734022197</v>
      </c>
      <c r="D7" s="2">
        <v>1691.9171110177235</v>
      </c>
      <c r="E7" s="2">
        <v>4393.0382686078292</v>
      </c>
      <c r="F7" s="2">
        <v>10171.794272558243</v>
      </c>
      <c r="H7" s="1" t="s">
        <v>74</v>
      </c>
      <c r="I7" s="5">
        <f t="shared" ref="I7:I14" si="3">SUMIF($A$4:$A$70,$H7,C$4:C$70)</f>
        <v>8623.9648996036813</v>
      </c>
      <c r="J7" s="5">
        <f t="shared" ref="J7:J14" si="4">SUMIF($A$4:$A$70,$H7,D$4:D$70)</f>
        <v>13487.556728570404</v>
      </c>
      <c r="K7" s="5">
        <f t="shared" ref="K7:K14" si="5">SUMIF($A$4:$A$70,$H7,E$4:E$70)</f>
        <v>31425.095161617777</v>
      </c>
      <c r="L7" s="5">
        <f t="shared" ref="L7:L14" si="6">SUMIF($A$4:$A$70,$H7,F$4:F$70)</f>
        <v>56632.928314756187</v>
      </c>
      <c r="M7" s="6">
        <f t="shared" si="2"/>
        <v>110169.54510454804</v>
      </c>
    </row>
    <row r="8" spans="1:13" x14ac:dyDescent="0.25">
      <c r="A8" s="1" t="str">
        <f>VLOOKUP(B8,Concordance!$B$2:$C$68,2,)</f>
        <v>Mining</v>
      </c>
      <c r="B8" s="1" t="s">
        <v>8</v>
      </c>
      <c r="C8" s="2">
        <v>2307.1530276613476</v>
      </c>
      <c r="D8" s="2">
        <v>4418.470454693299</v>
      </c>
      <c r="E8" s="2">
        <v>11612.668366175927</v>
      </c>
      <c r="F8" s="2">
        <v>13987.432478524532</v>
      </c>
      <c r="H8" s="1" t="s">
        <v>75</v>
      </c>
      <c r="I8" s="5">
        <f t="shared" si="3"/>
        <v>9338.803015446274</v>
      </c>
      <c r="J8" s="5">
        <f t="shared" si="4"/>
        <v>30752.337378695978</v>
      </c>
      <c r="K8" s="5">
        <f t="shared" si="5"/>
        <v>65060.464285366274</v>
      </c>
      <c r="L8" s="5">
        <f t="shared" si="6"/>
        <v>130170.53203212169</v>
      </c>
      <c r="M8" s="6">
        <f t="shared" si="2"/>
        <v>235322.13671163021</v>
      </c>
    </row>
    <row r="9" spans="1:13" x14ac:dyDescent="0.25">
      <c r="A9" s="1" t="str">
        <f>VLOOKUP(B9,Concordance!$B$2:$C$68,2,)</f>
        <v>Mining</v>
      </c>
      <c r="B9" s="1" t="s">
        <v>9</v>
      </c>
      <c r="C9" s="2">
        <v>4749.2565962723284</v>
      </c>
      <c r="D9" s="2">
        <v>6241.3215269744433</v>
      </c>
      <c r="E9" s="2">
        <v>13276.679677409393</v>
      </c>
      <c r="F9" s="2">
        <v>22811.425238869211</v>
      </c>
      <c r="H9" s="1" t="s">
        <v>76</v>
      </c>
      <c r="I9" s="5">
        <f t="shared" si="3"/>
        <v>1060.1541508319995</v>
      </c>
      <c r="J9" s="5">
        <f t="shared" si="4"/>
        <v>1218.0400468609721</v>
      </c>
      <c r="K9" s="5">
        <f t="shared" si="5"/>
        <v>3841.8941001467101</v>
      </c>
      <c r="L9" s="5">
        <f t="shared" si="6"/>
        <v>23424.896881626868</v>
      </c>
      <c r="M9" s="6">
        <f t="shared" si="2"/>
        <v>29544.985179466552</v>
      </c>
    </row>
    <row r="10" spans="1:13" x14ac:dyDescent="0.25">
      <c r="A10" s="1" t="str">
        <f>VLOOKUP(B10,Concordance!$B$2:$C$68,2,)</f>
        <v>Mining</v>
      </c>
      <c r="B10" s="1" t="s">
        <v>10</v>
      </c>
      <c r="C10" s="2">
        <v>306.13717855478433</v>
      </c>
      <c r="D10" s="2">
        <v>1034.2745973326198</v>
      </c>
      <c r="E10" s="2">
        <v>1951.0973676615495</v>
      </c>
      <c r="F10" s="2">
        <v>8798.2284238039429</v>
      </c>
      <c r="H10" s="1" t="s">
        <v>77</v>
      </c>
      <c r="I10" s="5">
        <f t="shared" si="3"/>
        <v>4254.1094206398921</v>
      </c>
      <c r="J10" s="5">
        <f t="shared" si="4"/>
        <v>6886.7197256688769</v>
      </c>
      <c r="K10" s="5">
        <f t="shared" si="5"/>
        <v>12405.133882058668</v>
      </c>
      <c r="L10" s="5">
        <f t="shared" si="6"/>
        <v>19832.605135392911</v>
      </c>
      <c r="M10" s="6">
        <f t="shared" si="2"/>
        <v>43378.568163760348</v>
      </c>
    </row>
    <row r="11" spans="1:13" x14ac:dyDescent="0.25">
      <c r="A11" s="1" t="str">
        <f>VLOOKUP(B11,Concordance!$B$2:$C$68,2,)</f>
        <v>Mining</v>
      </c>
      <c r="B11" s="1" t="s">
        <v>11</v>
      </c>
      <c r="C11" s="2">
        <v>18.611113259501415</v>
      </c>
      <c r="D11" s="2">
        <v>62.877046699304856</v>
      </c>
      <c r="E11" s="2">
        <v>118.61380006599229</v>
      </c>
      <c r="F11" s="2">
        <v>534.87402755649657</v>
      </c>
      <c r="H11" s="1" t="s">
        <v>78</v>
      </c>
      <c r="I11" s="5">
        <f t="shared" si="3"/>
        <v>9003.4164626142847</v>
      </c>
      <c r="J11" s="5">
        <f t="shared" si="4"/>
        <v>21227.805910856401</v>
      </c>
      <c r="K11" s="5">
        <f t="shared" si="5"/>
        <v>51160.760884008734</v>
      </c>
      <c r="L11" s="5">
        <f t="shared" si="6"/>
        <v>86686.356902468149</v>
      </c>
      <c r="M11" s="6">
        <f t="shared" si="2"/>
        <v>168078.34015994758</v>
      </c>
    </row>
    <row r="12" spans="1:13" x14ac:dyDescent="0.25">
      <c r="A12" s="1" t="str">
        <f>VLOOKUP(B12,Concordance!$B$2:$C$68,2,)</f>
        <v>Mining</v>
      </c>
      <c r="B12" s="1" t="s">
        <v>12</v>
      </c>
      <c r="C12" s="2">
        <v>11.453710404658416</v>
      </c>
      <c r="D12" s="2">
        <v>38.69599168799612</v>
      </c>
      <c r="E12" s="2">
        <v>72.997681385789619</v>
      </c>
      <c r="F12" s="2">
        <v>329.17387204001778</v>
      </c>
      <c r="H12" s="1" t="s">
        <v>79</v>
      </c>
      <c r="I12" s="5">
        <f t="shared" si="3"/>
        <v>3671.1354307115676</v>
      </c>
      <c r="J12" s="5">
        <f t="shared" si="4"/>
        <v>9128.7222092879801</v>
      </c>
      <c r="K12" s="5">
        <f t="shared" si="5"/>
        <v>22269.163391181697</v>
      </c>
      <c r="L12" s="5">
        <f t="shared" si="6"/>
        <v>50126.882660496078</v>
      </c>
      <c r="M12" s="6">
        <f t="shared" si="2"/>
        <v>85195.903691677318</v>
      </c>
    </row>
    <row r="13" spans="1:13" x14ac:dyDescent="0.25">
      <c r="A13" s="1" t="str">
        <f>VLOOKUP(B13,Concordance!$B$2:$C$68,2,)</f>
        <v>Mining</v>
      </c>
      <c r="B13" s="1" t="s">
        <v>13</v>
      </c>
      <c r="C13" s="2">
        <v>4.8843753826604671E-8</v>
      </c>
      <c r="D13" s="2">
        <v>1.6501704908796233E-7</v>
      </c>
      <c r="E13" s="2">
        <v>3.1129482530571834E-7</v>
      </c>
      <c r="F13" s="2">
        <v>1.4037449004764137E-6</v>
      </c>
      <c r="H13" s="1" t="s">
        <v>80</v>
      </c>
      <c r="I13" s="5">
        <f t="shared" si="3"/>
        <v>2429.4027844987449</v>
      </c>
      <c r="J13" s="5">
        <f t="shared" si="4"/>
        <v>6463.707186665124</v>
      </c>
      <c r="K13" s="5">
        <f t="shared" si="5"/>
        <v>54335.100845546498</v>
      </c>
      <c r="L13" s="5">
        <f t="shared" si="6"/>
        <v>169785.34508446374</v>
      </c>
      <c r="M13" s="6">
        <f t="shared" si="2"/>
        <v>233013.55590117411</v>
      </c>
    </row>
    <row r="14" spans="1:13" x14ac:dyDescent="0.25">
      <c r="A14" s="1" t="str">
        <f>VLOOKUP(B14,Concordance!$B$2:$C$68,2,)</f>
        <v>Manufacturing</v>
      </c>
      <c r="B14" s="1" t="s">
        <v>14</v>
      </c>
      <c r="C14" s="2">
        <v>1661.4165310113679</v>
      </c>
      <c r="D14" s="2">
        <v>4309.6019019980422</v>
      </c>
      <c r="E14" s="2">
        <v>10160.505689394238</v>
      </c>
      <c r="F14" s="2">
        <v>18954.629991051817</v>
      </c>
      <c r="H14" s="1" t="s">
        <v>82</v>
      </c>
      <c r="I14" s="5">
        <f t="shared" si="3"/>
        <v>36570.474639187967</v>
      </c>
      <c r="J14" s="5">
        <f t="shared" si="4"/>
        <v>52199.01552731196</v>
      </c>
      <c r="K14" s="5">
        <f t="shared" si="5"/>
        <v>125303.7061177158</v>
      </c>
      <c r="L14" s="5">
        <f t="shared" si="6"/>
        <v>333461.41762119933</v>
      </c>
      <c r="M14" s="6">
        <f t="shared" si="2"/>
        <v>547534.61390541506</v>
      </c>
    </row>
    <row r="15" spans="1:13" x14ac:dyDescent="0.25">
      <c r="A15" s="1" t="str">
        <f>VLOOKUP(B15,Concordance!$B$2:$C$68,2,)</f>
        <v>Manufacturing</v>
      </c>
      <c r="B15" s="1" t="s">
        <v>15</v>
      </c>
      <c r="C15" s="2">
        <v>952.55202364129605</v>
      </c>
      <c r="D15" s="2">
        <v>1008.2123666214064</v>
      </c>
      <c r="E15" s="2">
        <v>2348.5742111963409</v>
      </c>
      <c r="F15" s="2">
        <v>8562.0734642942462</v>
      </c>
    </row>
    <row r="16" spans="1:13" x14ac:dyDescent="0.25">
      <c r="A16" s="1" t="str">
        <f>VLOOKUP(B16,Concordance!$B$2:$C$68,2,)</f>
        <v>Manufacturing</v>
      </c>
      <c r="B16" s="1" t="s">
        <v>16</v>
      </c>
      <c r="C16" s="2">
        <v>124.10196885929525</v>
      </c>
      <c r="D16" s="2">
        <v>444.69270330480032</v>
      </c>
      <c r="E16" s="2">
        <v>1182.4007712573218</v>
      </c>
      <c r="F16" s="2">
        <v>1689.1124171509116</v>
      </c>
    </row>
    <row r="17" spans="1:6" x14ac:dyDescent="0.25">
      <c r="A17" s="1" t="str">
        <f>VLOOKUP(B17,Concordance!$B$2:$C$68,2,)</f>
        <v>Manufacturing</v>
      </c>
      <c r="B17" s="1" t="s">
        <v>17</v>
      </c>
      <c r="C17" s="2">
        <v>392.47823765892537</v>
      </c>
      <c r="D17" s="2">
        <v>1023.7196780984783</v>
      </c>
      <c r="E17" s="2">
        <v>1450.4096059772514</v>
      </c>
      <c r="F17" s="2">
        <v>1953.0479458436789</v>
      </c>
    </row>
    <row r="18" spans="1:6" x14ac:dyDescent="0.25">
      <c r="A18" s="1" t="str">
        <f>VLOOKUP(B18,Concordance!$B$2:$C$68,2,)</f>
        <v>Manufacturing</v>
      </c>
      <c r="B18" s="1" t="s">
        <v>18</v>
      </c>
      <c r="C18" s="2">
        <v>1.8024676052505684</v>
      </c>
      <c r="D18" s="2">
        <v>76.349346465609969</v>
      </c>
      <c r="E18" s="2">
        <v>300.21555309415845</v>
      </c>
      <c r="F18" s="2">
        <v>119.6562770862848</v>
      </c>
    </row>
    <row r="19" spans="1:6" x14ac:dyDescent="0.25">
      <c r="A19" s="1" t="str">
        <f>VLOOKUP(B19,Concordance!$B$2:$C$68,2,)</f>
        <v>Manufacturing</v>
      </c>
      <c r="B19" s="1" t="s">
        <v>19</v>
      </c>
      <c r="C19" s="2">
        <v>32.377919602830417</v>
      </c>
      <c r="D19" s="2">
        <v>252.74555843457827</v>
      </c>
      <c r="E19" s="2">
        <v>371.34323913899226</v>
      </c>
      <c r="F19" s="2">
        <v>652.52561844930756</v>
      </c>
    </row>
    <row r="20" spans="1:6" x14ac:dyDescent="0.25">
      <c r="A20" s="1" t="str">
        <f>VLOOKUP(B20,Concordance!$B$2:$C$68,2,)</f>
        <v>Manufacturing</v>
      </c>
      <c r="B20" s="1" t="s">
        <v>20</v>
      </c>
      <c r="C20" s="2">
        <v>1007.3537037474578</v>
      </c>
      <c r="D20" s="2">
        <v>1913.9845951518889</v>
      </c>
      <c r="E20" s="2">
        <v>2380.270416191895</v>
      </c>
      <c r="F20" s="2">
        <v>2081.5810163212732</v>
      </c>
    </row>
    <row r="21" spans="1:6" x14ac:dyDescent="0.25">
      <c r="A21" s="1" t="str">
        <f>VLOOKUP(B21,Concordance!$B$2:$C$68,2,)</f>
        <v>Manufacturing</v>
      </c>
      <c r="B21" s="1" t="s">
        <v>21</v>
      </c>
      <c r="C21" s="2">
        <v>140.40524688743463</v>
      </c>
      <c r="D21" s="2">
        <v>695.08529868611538</v>
      </c>
      <c r="E21" s="2">
        <v>1624.7515265999273</v>
      </c>
      <c r="F21" s="2">
        <v>4951.3611352261196</v>
      </c>
    </row>
    <row r="22" spans="1:6" x14ac:dyDescent="0.25">
      <c r="A22" s="1" t="str">
        <f>VLOOKUP(B22,Concordance!$B$2:$C$68,2,)</f>
        <v>Manufacturing</v>
      </c>
      <c r="B22" s="1" t="s">
        <v>22</v>
      </c>
      <c r="C22" s="2">
        <v>188.86746864064065</v>
      </c>
      <c r="D22" s="2">
        <v>599.01144400045825</v>
      </c>
      <c r="E22" s="2">
        <v>2278.4811267716736</v>
      </c>
      <c r="F22" s="2">
        <v>8721.9857079665853</v>
      </c>
    </row>
    <row r="23" spans="1:6" x14ac:dyDescent="0.25">
      <c r="A23" s="1" t="str">
        <f>VLOOKUP(B23,Concordance!$B$2:$C$68,2,)</f>
        <v>Manufacturing</v>
      </c>
      <c r="B23" s="1" t="s">
        <v>23</v>
      </c>
      <c r="C23" s="2">
        <v>12.554164323130578</v>
      </c>
      <c r="D23" s="2">
        <v>139.7930934928138</v>
      </c>
      <c r="E23" s="2">
        <v>508.98518000752529</v>
      </c>
      <c r="F23" s="2">
        <v>2628.9877975118752</v>
      </c>
    </row>
    <row r="24" spans="1:6" x14ac:dyDescent="0.25">
      <c r="A24" s="1" t="str">
        <f>VLOOKUP(B24,Concordance!$B$2:$C$68,2,)</f>
        <v>Manufacturing</v>
      </c>
      <c r="B24" s="1" t="s">
        <v>24</v>
      </c>
      <c r="C24" s="2">
        <v>8.3779301045898293</v>
      </c>
      <c r="D24" s="2">
        <v>37.349403148852829</v>
      </c>
      <c r="E24" s="2">
        <v>83.356764372424252</v>
      </c>
      <c r="F24" s="2">
        <v>628.63733049027769</v>
      </c>
    </row>
    <row r="25" spans="1:6" x14ac:dyDescent="0.25">
      <c r="A25" s="1" t="str">
        <f>VLOOKUP(B25,Concordance!$B$2:$C$68,2,)</f>
        <v>Manufacturing</v>
      </c>
      <c r="B25" s="1" t="s">
        <v>25</v>
      </c>
      <c r="C25" s="2">
        <v>2.1816559261280348</v>
      </c>
      <c r="D25" s="2">
        <v>9.7291943559258662</v>
      </c>
      <c r="E25" s="2">
        <v>21.714123246313193</v>
      </c>
      <c r="F25" s="2">
        <v>163.76140537963411</v>
      </c>
    </row>
    <row r="26" spans="1:6" x14ac:dyDescent="0.25">
      <c r="A26" s="1" t="str">
        <f>VLOOKUP(B26,Concordance!$B$2:$C$68,2,)</f>
        <v>Manufacturing</v>
      </c>
      <c r="B26" s="1" t="s">
        <v>26</v>
      </c>
      <c r="C26" s="2">
        <v>1.2865389030728723E-7</v>
      </c>
      <c r="D26" s="2">
        <v>4.5993892520169431E-7</v>
      </c>
      <c r="E26" s="2">
        <v>6.5332521234616684E-7</v>
      </c>
      <c r="F26" s="2">
        <v>2.773521132880799E-7</v>
      </c>
    </row>
    <row r="27" spans="1:6" x14ac:dyDescent="0.25">
      <c r="A27" s="1" t="str">
        <f>VLOOKUP(B27,Concordance!$B$2:$C$68,2,)</f>
        <v>Manufacturing</v>
      </c>
      <c r="B27" s="1" t="s">
        <v>27</v>
      </c>
      <c r="C27" s="2">
        <v>23.327236678152797</v>
      </c>
      <c r="D27" s="2">
        <v>1091.1833432852602</v>
      </c>
      <c r="E27" s="2">
        <v>3956.4147559440039</v>
      </c>
      <c r="F27" s="2">
        <v>4824.6105184644093</v>
      </c>
    </row>
    <row r="28" spans="1:6" x14ac:dyDescent="0.25">
      <c r="A28" s="1" t="str">
        <f>VLOOKUP(B28,Concordance!$B$2:$C$68,2,)</f>
        <v>Manufacturing</v>
      </c>
      <c r="B28" s="1" t="s">
        <v>28</v>
      </c>
      <c r="C28" s="2">
        <v>325.48015831343861</v>
      </c>
      <c r="D28" s="2">
        <v>1393.1244392001527</v>
      </c>
      <c r="E28" s="2">
        <v>4457.016671844216</v>
      </c>
      <c r="F28" s="2">
        <v>14274.165526855653</v>
      </c>
    </row>
    <row r="29" spans="1:6" x14ac:dyDescent="0.25">
      <c r="A29" s="1" t="str">
        <f>VLOOKUP(B29,Concordance!$B$2:$C$68,2,)</f>
        <v>Manufacturing</v>
      </c>
      <c r="B29" s="1" t="s">
        <v>29</v>
      </c>
      <c r="C29" s="2">
        <v>70.975832778491437</v>
      </c>
      <c r="D29" s="2">
        <v>411.62963783838126</v>
      </c>
      <c r="E29" s="2">
        <v>1093.256905891833</v>
      </c>
      <c r="F29" s="2">
        <v>1015.3135472398361</v>
      </c>
    </row>
    <row r="30" spans="1:6" x14ac:dyDescent="0.25">
      <c r="A30" s="1" t="str">
        <f>VLOOKUP(B30,Concordance!$B$2:$C$68,2,)</f>
        <v>Manufacturing</v>
      </c>
      <c r="B30" s="1" t="s">
        <v>30</v>
      </c>
      <c r="C30" s="2">
        <v>198.78244543641884</v>
      </c>
      <c r="D30" s="2">
        <v>1869.5384664117926</v>
      </c>
      <c r="E30" s="2">
        <v>4130.098616037827</v>
      </c>
      <c r="F30" s="2">
        <v>4356.3113243689149</v>
      </c>
    </row>
    <row r="31" spans="1:6" x14ac:dyDescent="0.25">
      <c r="A31" s="1" t="str">
        <f>VLOOKUP(B31,Concordance!$B$2:$C$68,2,)</f>
        <v>Manufacturing</v>
      </c>
      <c r="B31" s="1" t="s">
        <v>31</v>
      </c>
      <c r="C31" s="2">
        <v>25.042714733898777</v>
      </c>
      <c r="D31" s="2">
        <v>279.5239974305166</v>
      </c>
      <c r="E31" s="2">
        <v>1357.900651248706</v>
      </c>
      <c r="F31" s="2">
        <v>768.91775605971714</v>
      </c>
    </row>
    <row r="32" spans="1:6" x14ac:dyDescent="0.25">
      <c r="A32" s="1" t="str">
        <f>VLOOKUP(B32,Concordance!$B$2:$C$68,2,)</f>
        <v>Manufacturing</v>
      </c>
      <c r="B32" s="1" t="s">
        <v>32</v>
      </c>
      <c r="C32" s="2">
        <v>573.87579986928461</v>
      </c>
      <c r="D32" s="2">
        <v>865.07312130027913</v>
      </c>
      <c r="E32" s="2">
        <v>1156.6932332356159</v>
      </c>
      <c r="F32" s="2">
        <v>1936.4352267875445</v>
      </c>
    </row>
    <row r="33" spans="1:6" x14ac:dyDescent="0.25">
      <c r="A33" s="1" t="str">
        <f>VLOOKUP(B33,Concordance!$B$2:$C$68,2,)</f>
        <v>Manufacturing</v>
      </c>
      <c r="B33" s="1" t="s">
        <v>33</v>
      </c>
      <c r="C33" s="2">
        <v>578.73103800786589</v>
      </c>
      <c r="D33" s="2">
        <v>3766.6583615126219</v>
      </c>
      <c r="E33" s="2">
        <v>4508.2717643412425</v>
      </c>
      <c r="F33" s="2">
        <v>4339.2859052330332</v>
      </c>
    </row>
    <row r="34" spans="1:6" x14ac:dyDescent="0.25">
      <c r="A34" s="1" t="str">
        <f>VLOOKUP(B34,Concordance!$B$2:$C$68,2,)</f>
        <v>Manufacturing</v>
      </c>
      <c r="B34" s="1" t="s">
        <v>34</v>
      </c>
      <c r="C34" s="2">
        <v>49.821445459610928</v>
      </c>
      <c r="D34" s="2">
        <v>262.87091310409431</v>
      </c>
      <c r="E34" s="2">
        <v>845.51025795881344</v>
      </c>
      <c r="F34" s="2">
        <v>2930.4211526692011</v>
      </c>
    </row>
    <row r="35" spans="1:6" x14ac:dyDescent="0.25">
      <c r="A35" s="1" t="str">
        <f>VLOOKUP(B35,Concordance!$B$2:$C$68,2,)</f>
        <v>Manufacturing</v>
      </c>
      <c r="B35" s="1" t="s">
        <v>35</v>
      </c>
      <c r="C35" s="2">
        <v>1209.6366130940671</v>
      </c>
      <c r="D35" s="2">
        <v>3701.6411925006528</v>
      </c>
      <c r="E35" s="2">
        <v>7056.1864652200147</v>
      </c>
      <c r="F35" s="2">
        <v>7836.870946720971</v>
      </c>
    </row>
    <row r="36" spans="1:6" x14ac:dyDescent="0.25">
      <c r="A36" s="1" t="str">
        <f>VLOOKUP(B36,Concordance!$B$2:$C$68,2,)</f>
        <v>Manufacturing</v>
      </c>
      <c r="B36" s="1" t="s">
        <v>36</v>
      </c>
      <c r="C36" s="2">
        <v>398.37078561264758</v>
      </c>
      <c r="D36" s="2">
        <v>1328.7224692908292</v>
      </c>
      <c r="E36" s="2">
        <v>3777.2504231610419</v>
      </c>
      <c r="F36" s="2">
        <v>11846.819942587188</v>
      </c>
    </row>
    <row r="37" spans="1:6" x14ac:dyDescent="0.25">
      <c r="A37" s="1" t="str">
        <f>VLOOKUP(B37,Concordance!$B$2:$C$68,2,)</f>
        <v>Manufacturing</v>
      </c>
      <c r="B37" s="1" t="s">
        <v>37</v>
      </c>
      <c r="C37" s="2">
        <v>356.93202742783933</v>
      </c>
      <c r="D37" s="2">
        <v>1165.8965266429786</v>
      </c>
      <c r="E37" s="2">
        <v>1348.150535552774</v>
      </c>
      <c r="F37" s="2">
        <v>3000.3015744686577</v>
      </c>
    </row>
    <row r="38" spans="1:6" x14ac:dyDescent="0.25">
      <c r="A38" s="1" t="str">
        <f>VLOOKUP(B38,Concordance!$B$2:$C$68,2,)</f>
        <v>Manufacturing</v>
      </c>
      <c r="B38" s="1" t="s">
        <v>38</v>
      </c>
      <c r="C38" s="2">
        <v>7.1613991924958835</v>
      </c>
      <c r="D38" s="2">
        <v>672.37186979921614</v>
      </c>
      <c r="E38" s="2">
        <v>383.81853776121642</v>
      </c>
      <c r="F38" s="2">
        <v>2553.1423345374033</v>
      </c>
    </row>
    <row r="39" spans="1:6" x14ac:dyDescent="0.25">
      <c r="A39" s="1" t="str">
        <f>VLOOKUP(B39,Concordance!$B$2:$C$68,2,)</f>
        <v>Manufacturing</v>
      </c>
      <c r="B39" s="1" t="s">
        <v>39</v>
      </c>
      <c r="C39" s="2">
        <v>369.94076737650454</v>
      </c>
      <c r="D39" s="2">
        <v>1364.4591820975932</v>
      </c>
      <c r="E39" s="2">
        <v>4113.5310878641958</v>
      </c>
      <c r="F39" s="2">
        <v>13998.42625091743</v>
      </c>
    </row>
    <row r="40" spans="1:6" x14ac:dyDescent="0.25">
      <c r="A40" s="1" t="str">
        <f>VLOOKUP(B40,Concordance!$B$2:$C$68,2,)</f>
        <v>Manufacturing</v>
      </c>
      <c r="B40" s="1" t="s">
        <v>40</v>
      </c>
      <c r="C40" s="2">
        <v>0</v>
      </c>
      <c r="D40" s="2">
        <v>625.2052940965882</v>
      </c>
      <c r="E40" s="2">
        <v>941.44403804086619</v>
      </c>
      <c r="F40" s="2">
        <v>2580.4442659900856</v>
      </c>
    </row>
    <row r="41" spans="1:6" x14ac:dyDescent="0.25">
      <c r="A41" s="1" t="str">
        <f>VLOOKUP(B41,Concordance!$B$2:$C$68,2,)</f>
        <v>Manufacturing</v>
      </c>
      <c r="B41" s="1" t="s">
        <v>41</v>
      </c>
      <c r="C41" s="2">
        <v>449.86941563690976</v>
      </c>
      <c r="D41" s="2">
        <v>918.2387252481069</v>
      </c>
      <c r="E41" s="2">
        <v>1740.2310485421426</v>
      </c>
      <c r="F41" s="2">
        <v>759.09887765912686</v>
      </c>
    </row>
    <row r="42" spans="1:6" x14ac:dyDescent="0.25">
      <c r="A42" s="1" t="str">
        <f>VLOOKUP(B42,Concordance!$B$2:$C$68,2,)</f>
        <v>Manufacturing</v>
      </c>
      <c r="B42" s="1" t="s">
        <v>42</v>
      </c>
      <c r="C42" s="2">
        <v>176.38601769164879</v>
      </c>
      <c r="D42" s="2">
        <v>525.92525471800468</v>
      </c>
      <c r="E42" s="2">
        <v>1483.6810848203761</v>
      </c>
      <c r="F42" s="2">
        <v>2042.6067745131629</v>
      </c>
    </row>
    <row r="43" spans="1:6" x14ac:dyDescent="0.25">
      <c r="A43" s="1" t="str">
        <f>VLOOKUP(B43,Concordance!$B$2:$C$68,2,)</f>
        <v>EGW</v>
      </c>
      <c r="B43" s="1" t="s">
        <v>43</v>
      </c>
      <c r="C43" s="2">
        <v>319.98423068946039</v>
      </c>
      <c r="D43" s="2">
        <v>419.00990927019586</v>
      </c>
      <c r="E43" s="2">
        <v>2089.3504837997893</v>
      </c>
      <c r="F43" s="2">
        <v>15849.527851163844</v>
      </c>
    </row>
    <row r="44" spans="1:6" x14ac:dyDescent="0.25">
      <c r="A44" s="1" t="str">
        <f>VLOOKUP(B44,Concordance!$B$2:$C$68,2,)</f>
        <v>EGW</v>
      </c>
      <c r="B44" s="1" t="s">
        <v>44</v>
      </c>
      <c r="C44" s="2">
        <v>85.551092335097522</v>
      </c>
      <c r="D44" s="2">
        <v>58.866011277896099</v>
      </c>
      <c r="E44" s="2">
        <v>317.85833246638242</v>
      </c>
      <c r="F44" s="2">
        <v>3677.0221729976784</v>
      </c>
    </row>
    <row r="45" spans="1:6" x14ac:dyDescent="0.25">
      <c r="A45" s="1" t="str">
        <f>VLOOKUP(B45,Concordance!$B$2:$C$68,2,)</f>
        <v>EGW</v>
      </c>
      <c r="B45" s="1" t="s">
        <v>45</v>
      </c>
      <c r="C45" s="2">
        <v>1.0875958527109988</v>
      </c>
      <c r="D45" s="2">
        <v>1.8727351306770696</v>
      </c>
      <c r="E45" s="2">
        <v>13.04113158126054</v>
      </c>
      <c r="F45" s="2">
        <v>80.964740825374946</v>
      </c>
    </row>
    <row r="46" spans="1:6" x14ac:dyDescent="0.25">
      <c r="A46" s="1" t="str">
        <f>VLOOKUP(B46,Concordance!$B$2:$C$68,2,)</f>
        <v>EGW</v>
      </c>
      <c r="B46" s="1" t="s">
        <v>46</v>
      </c>
      <c r="C46" s="2">
        <v>6.8753935860340487E-6</v>
      </c>
      <c r="D46" s="2">
        <v>6.9611934905206765E-6</v>
      </c>
      <c r="E46" s="2">
        <v>4.8347294388158087E-5</v>
      </c>
      <c r="F46" s="2">
        <v>5.2643447556722774E-4</v>
      </c>
    </row>
    <row r="47" spans="1:6" x14ac:dyDescent="0.25">
      <c r="A47" s="1" t="str">
        <f>VLOOKUP(B47,Concordance!$B$2:$C$68,2,)</f>
        <v>EGW</v>
      </c>
      <c r="B47" s="1" t="s">
        <v>47</v>
      </c>
      <c r="C47" s="2">
        <v>6.8743106104668606E-6</v>
      </c>
      <c r="D47" s="2">
        <v>6.9600970002071595E-6</v>
      </c>
      <c r="E47" s="2">
        <v>4.833967897852271E-5</v>
      </c>
      <c r="F47" s="2">
        <v>5.2635155439804211E-4</v>
      </c>
    </row>
    <row r="48" spans="1:6" x14ac:dyDescent="0.25">
      <c r="A48" s="1" t="str">
        <f>VLOOKUP(B48,Concordance!$B$2:$C$68,2,)</f>
        <v>EGW</v>
      </c>
      <c r="B48" s="1" t="s">
        <v>48</v>
      </c>
      <c r="C48" s="2">
        <v>5.1026648132703453E-2</v>
      </c>
      <c r="D48" s="2">
        <v>4.6792137281126328E-2</v>
      </c>
      <c r="E48" s="2">
        <v>0.29085589309582649</v>
      </c>
      <c r="F48" s="2">
        <v>2.6659142839138661</v>
      </c>
    </row>
    <row r="49" spans="1:6" x14ac:dyDescent="0.25">
      <c r="A49" s="1" t="str">
        <f>VLOOKUP(B49,Concordance!$B$2:$C$68,2,)</f>
        <v>EGW</v>
      </c>
      <c r="B49" s="1" t="s">
        <v>49</v>
      </c>
      <c r="C49" s="2">
        <v>0.44584766458881742</v>
      </c>
      <c r="D49" s="2">
        <v>0.42650370249847358</v>
      </c>
      <c r="E49" s="2">
        <v>2.673032470934543</v>
      </c>
      <c r="F49" s="2">
        <v>26.552466540619974</v>
      </c>
    </row>
    <row r="50" spans="1:6" x14ac:dyDescent="0.25">
      <c r="A50" s="1" t="str">
        <f>VLOOKUP(B50,Concordance!$B$2:$C$68,2,)</f>
        <v>EGW</v>
      </c>
      <c r="B50" s="1" t="s">
        <v>50</v>
      </c>
      <c r="C50" s="2">
        <v>1.1350708768848514</v>
      </c>
      <c r="D50" s="2">
        <v>1.1492357347367856</v>
      </c>
      <c r="E50" s="2">
        <v>7.9817402668625741</v>
      </c>
      <c r="F50" s="2">
        <v>86.909997853546997</v>
      </c>
    </row>
    <row r="51" spans="1:6" x14ac:dyDescent="0.25">
      <c r="A51" s="1" t="str">
        <f>VLOOKUP(B51,Concordance!$B$2:$C$68,2,)</f>
        <v>EGW</v>
      </c>
      <c r="B51" s="1" t="s">
        <v>51</v>
      </c>
      <c r="C51" s="2">
        <v>1.7906347153220143</v>
      </c>
      <c r="D51" s="2">
        <v>1.8129805324192558</v>
      </c>
      <c r="E51" s="2">
        <v>12.591620049095518</v>
      </c>
      <c r="F51" s="2">
        <v>137.10514685411181</v>
      </c>
    </row>
    <row r="52" spans="1:6" x14ac:dyDescent="0.25">
      <c r="A52" s="1" t="str">
        <f>VLOOKUP(B52,Concordance!$B$2:$C$68,2,)</f>
        <v>EGW</v>
      </c>
      <c r="B52" s="1" t="s">
        <v>52</v>
      </c>
      <c r="C52" s="2">
        <v>650.10863830009805</v>
      </c>
      <c r="D52" s="2">
        <v>734.85586515397688</v>
      </c>
      <c r="E52" s="2">
        <v>1398.1068069323157</v>
      </c>
      <c r="F52" s="2">
        <v>3564.1475383217457</v>
      </c>
    </row>
    <row r="53" spans="1:6" x14ac:dyDescent="0.25">
      <c r="A53" s="1" t="str">
        <f>VLOOKUP(B53,Concordance!$B$2:$C$68,2,)</f>
        <v>Construction</v>
      </c>
      <c r="B53" s="1" t="s">
        <v>53</v>
      </c>
      <c r="C53" s="2">
        <v>4254.1094206398921</v>
      </c>
      <c r="D53" s="2">
        <v>6886.7197256688769</v>
      </c>
      <c r="E53" s="2">
        <v>12405.133882058668</v>
      </c>
      <c r="F53" s="2">
        <v>19832.605135392911</v>
      </c>
    </row>
    <row r="54" spans="1:6" x14ac:dyDescent="0.25">
      <c r="A54" s="1" t="str">
        <f>VLOOKUP(B54,Concordance!$B$2:$C$68,2,)</f>
        <v>Trade</v>
      </c>
      <c r="B54" s="1" t="s">
        <v>54</v>
      </c>
      <c r="C54" s="2">
        <v>8567.7226035906824</v>
      </c>
      <c r="D54" s="2">
        <v>19849.294243101696</v>
      </c>
      <c r="E54" s="2">
        <v>47242.965373286846</v>
      </c>
      <c r="F54" s="2">
        <v>81715.585784961499</v>
      </c>
    </row>
    <row r="55" spans="1:6" x14ac:dyDescent="0.25">
      <c r="A55" s="1" t="str">
        <f>VLOOKUP(B55,Concordance!$B$2:$C$68,2,)</f>
        <v>Trade</v>
      </c>
      <c r="B55" s="1" t="s">
        <v>55</v>
      </c>
      <c r="C55" s="2">
        <v>435.69385902360301</v>
      </c>
      <c r="D55" s="2">
        <v>1378.5116677547057</v>
      </c>
      <c r="E55" s="2">
        <v>3917.7955107218845</v>
      </c>
      <c r="F55" s="2">
        <v>4970.7711175066552</v>
      </c>
    </row>
    <row r="56" spans="1:6" x14ac:dyDescent="0.25">
      <c r="A56" s="1" t="str">
        <f>VLOOKUP(B56,Concordance!$B$2:$C$68,2,)</f>
        <v>Transport</v>
      </c>
      <c r="B56" s="1" t="s">
        <v>56</v>
      </c>
      <c r="C56" s="2">
        <v>289.57625391490626</v>
      </c>
      <c r="D56" s="2">
        <v>654.76299764809005</v>
      </c>
      <c r="E56" s="2">
        <v>3548.0126794427533</v>
      </c>
      <c r="F56" s="2">
        <v>10374.803136820625</v>
      </c>
    </row>
    <row r="57" spans="1:6" x14ac:dyDescent="0.25">
      <c r="A57" s="1" t="str">
        <f>VLOOKUP(B57,Concordance!$B$2:$C$68,2,)</f>
        <v>Transport</v>
      </c>
      <c r="B57" s="1" t="s">
        <v>57</v>
      </c>
      <c r="C57" s="2">
        <v>1195.130487626848</v>
      </c>
      <c r="D57" s="2">
        <v>2875.4678957273218</v>
      </c>
      <c r="E57" s="2">
        <v>5322.5251029446599</v>
      </c>
      <c r="F57" s="2">
        <v>7083.5773270236159</v>
      </c>
    </row>
    <row r="58" spans="1:6" x14ac:dyDescent="0.25">
      <c r="A58" s="1" t="str">
        <f>VLOOKUP(B58,Concordance!$B$2:$C$68,2,)</f>
        <v>Transport</v>
      </c>
      <c r="B58" s="1" t="s">
        <v>58</v>
      </c>
      <c r="C58" s="2">
        <v>1966.8308242160797</v>
      </c>
      <c r="D58" s="2">
        <v>4732.1685371698622</v>
      </c>
      <c r="E58" s="2">
        <v>8759.299962234727</v>
      </c>
      <c r="F58" s="2">
        <v>11657.470357210233</v>
      </c>
    </row>
    <row r="59" spans="1:6" x14ac:dyDescent="0.25">
      <c r="A59" s="1" t="str">
        <f>VLOOKUP(B59,Concordance!$B$2:$C$68,2,)</f>
        <v>Transport</v>
      </c>
      <c r="B59" s="1" t="s">
        <v>59</v>
      </c>
      <c r="C59" s="2">
        <v>1.1039688921036022</v>
      </c>
      <c r="D59" s="2">
        <v>2.6561343217249678</v>
      </c>
      <c r="E59" s="2">
        <v>4.9165360618982401</v>
      </c>
      <c r="F59" s="2">
        <v>6.5432595811128591</v>
      </c>
    </row>
    <row r="60" spans="1:6" x14ac:dyDescent="0.25">
      <c r="A60" s="1" t="str">
        <f>VLOOKUP(B60,Concordance!$B$2:$C$68,2,)</f>
        <v>Transport</v>
      </c>
      <c r="B60" s="1" t="s">
        <v>60</v>
      </c>
      <c r="C60" s="2">
        <v>0</v>
      </c>
      <c r="D60" s="2">
        <v>5.1807017274862849E-5</v>
      </c>
      <c r="E60" s="2">
        <v>1.3185222883716088E-2</v>
      </c>
      <c r="F60" s="2">
        <v>2.7114552651415304E-2</v>
      </c>
    </row>
    <row r="61" spans="1:6" x14ac:dyDescent="0.25">
      <c r="A61" s="1" t="str">
        <f>VLOOKUP(B61,Concordance!$B$2:$C$68,2,)</f>
        <v>Transport</v>
      </c>
      <c r="B61" s="1" t="s">
        <v>61</v>
      </c>
      <c r="C61" s="2">
        <v>0</v>
      </c>
      <c r="D61" s="2">
        <v>0.11298959286627412</v>
      </c>
      <c r="E61" s="2">
        <v>28.756586343854622</v>
      </c>
      <c r="F61" s="2">
        <v>59.136048087467877</v>
      </c>
    </row>
    <row r="62" spans="1:6" x14ac:dyDescent="0.25">
      <c r="A62" s="1" t="str">
        <f>VLOOKUP(B62,Concordance!$B$2:$C$68,2,)</f>
        <v>Transport</v>
      </c>
      <c r="B62" s="1" t="s">
        <v>62</v>
      </c>
      <c r="C62" s="2">
        <v>0</v>
      </c>
      <c r="D62" s="2">
        <v>1.0853771587571615E-2</v>
      </c>
      <c r="E62" s="2">
        <v>2.7623554691791625</v>
      </c>
      <c r="F62" s="2">
        <v>5.6806042242551609</v>
      </c>
    </row>
    <row r="63" spans="1:6" x14ac:dyDescent="0.25">
      <c r="A63" s="1" t="str">
        <f>VLOOKUP(B63,Concordance!$B$2:$C$68,2,)</f>
        <v>Transport</v>
      </c>
      <c r="B63" s="1" t="s">
        <v>63</v>
      </c>
      <c r="C63" s="2">
        <v>36.486759383160567</v>
      </c>
      <c r="D63" s="2">
        <v>31.722820003656263</v>
      </c>
      <c r="E63" s="2">
        <v>383.29325732407136</v>
      </c>
      <c r="F63" s="2">
        <v>1564.8753508852733</v>
      </c>
    </row>
    <row r="64" spans="1:6" x14ac:dyDescent="0.25">
      <c r="A64" s="1" t="str">
        <f>VLOOKUP(B64,Concordance!$B$2:$C$68,2,)</f>
        <v>Transport</v>
      </c>
      <c r="B64" s="1" t="s">
        <v>64</v>
      </c>
      <c r="C64" s="2">
        <v>6.3584123927000613</v>
      </c>
      <c r="D64" s="2">
        <v>5.5282183250215819</v>
      </c>
      <c r="E64" s="2">
        <v>66.795096046061587</v>
      </c>
      <c r="F64" s="2">
        <v>272.70503032647991</v>
      </c>
    </row>
    <row r="65" spans="1:6" x14ac:dyDescent="0.25">
      <c r="A65" s="1" t="str">
        <f>VLOOKUP(B65,Concordance!$B$2:$C$68,2,)</f>
        <v>Transport</v>
      </c>
      <c r="B65" s="1" t="s">
        <v>65</v>
      </c>
      <c r="C65" s="2">
        <v>2.3688734135926253</v>
      </c>
      <c r="D65" s="2">
        <v>2.0595784931650511</v>
      </c>
      <c r="E65" s="2">
        <v>24.88500547141928</v>
      </c>
      <c r="F65" s="2">
        <v>101.59826953580898</v>
      </c>
    </row>
    <row r="66" spans="1:6" x14ac:dyDescent="0.25">
      <c r="A66" s="1" t="str">
        <f>VLOOKUP(B66,Concordance!$B$2:$C$68,2,)</f>
        <v>Transport</v>
      </c>
      <c r="B66" s="1" t="s">
        <v>66</v>
      </c>
      <c r="C66" s="2">
        <v>173.27985087217718</v>
      </c>
      <c r="D66" s="2">
        <v>824.23213242766599</v>
      </c>
      <c r="E66" s="2">
        <v>4127.9036246201867</v>
      </c>
      <c r="F66" s="2">
        <v>19000.466162248551</v>
      </c>
    </row>
    <row r="67" spans="1:6" x14ac:dyDescent="0.25">
      <c r="A67" s="1" t="str">
        <f>VLOOKUP(B67,Concordance!$B$2:$C$68,2,)</f>
        <v>Finance</v>
      </c>
      <c r="B67" s="1" t="s">
        <v>67</v>
      </c>
      <c r="C67" s="2">
        <v>757.00196639052092</v>
      </c>
      <c r="D67" s="2">
        <v>887.78950736625507</v>
      </c>
      <c r="E67" s="2">
        <v>31941.892989149605</v>
      </c>
      <c r="F67" s="2">
        <v>104003.12897196467</v>
      </c>
    </row>
    <row r="68" spans="1:6" x14ac:dyDescent="0.25">
      <c r="A68" s="1" t="str">
        <f>VLOOKUP(B68,Concordance!$B$2:$C$68,2,)</f>
        <v>Finance</v>
      </c>
      <c r="B68" s="1" t="s">
        <v>68</v>
      </c>
      <c r="C68" s="2">
        <v>1672.400818108224</v>
      </c>
      <c r="D68" s="2">
        <v>5575.9176792988692</v>
      </c>
      <c r="E68" s="2">
        <v>22393.207856396893</v>
      </c>
      <c r="F68" s="2">
        <v>65782.216112499067</v>
      </c>
    </row>
    <row r="69" spans="1:6" x14ac:dyDescent="0.25">
      <c r="A69" s="1" t="str">
        <f>VLOOKUP(B69,Concordance!$B$2:$C$68,2,)</f>
        <v>Other</v>
      </c>
      <c r="B69" s="1" t="s">
        <v>69</v>
      </c>
      <c r="C69" s="2">
        <v>8848.5033089804692</v>
      </c>
      <c r="D69" s="2">
        <v>18277.608981111651</v>
      </c>
      <c r="E69" s="2">
        <v>100712.09502257001</v>
      </c>
      <c r="F69" s="2">
        <v>288621.82779987028</v>
      </c>
    </row>
    <row r="70" spans="1:6" x14ac:dyDescent="0.25">
      <c r="A70" s="1" t="str">
        <f>VLOOKUP(B70,Concordance!$B$2:$C$68,2,)</f>
        <v>Other</v>
      </c>
      <c r="B70" s="1" t="s">
        <v>70</v>
      </c>
      <c r="C70" s="2">
        <v>27721.9713302075</v>
      </c>
      <c r="D70" s="2">
        <v>33921.406546200305</v>
      </c>
      <c r="E70" s="2">
        <v>24591.611095145789</v>
      </c>
      <c r="F70" s="2">
        <v>44839.589821329049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4F473-0DCD-4099-BF30-10CFE3D7DD02}">
  <dimension ref="A1:P17"/>
  <sheetViews>
    <sheetView workbookViewId="0">
      <selection activeCell="I23" sqref="I23"/>
    </sheetView>
  </sheetViews>
  <sheetFormatPr defaultRowHeight="12" x14ac:dyDescent="0.25"/>
  <cols>
    <col min="1" max="1" width="5" bestFit="1" customWidth="1"/>
    <col min="2" max="2" width="12" bestFit="1" customWidth="1"/>
    <col min="4" max="5" width="12" bestFit="1" customWidth="1"/>
    <col min="6" max="6" width="14" bestFit="1" customWidth="1"/>
    <col min="7" max="7" width="12" bestFit="1" customWidth="1"/>
    <col min="8" max="8" width="12.28515625" bestFit="1" customWidth="1"/>
    <col min="9" max="11" width="12" bestFit="1" customWidth="1"/>
    <col min="12" max="13" width="12" customWidth="1"/>
    <col min="14" max="16" width="12" bestFit="1" customWidth="1"/>
  </cols>
  <sheetData>
    <row r="1" spans="1:16" x14ac:dyDescent="0.25">
      <c r="B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82</v>
      </c>
      <c r="N1" t="s">
        <v>81</v>
      </c>
      <c r="O1" t="s">
        <v>82</v>
      </c>
      <c r="P1" t="s">
        <v>83</v>
      </c>
    </row>
    <row r="2" spans="1:16" x14ac:dyDescent="0.25">
      <c r="A2">
        <v>2008</v>
      </c>
      <c r="B2" s="3">
        <v>14585</v>
      </c>
      <c r="C2" s="3"/>
      <c r="D2" s="3">
        <v>818.75</v>
      </c>
      <c r="E2" s="3">
        <v>353.75</v>
      </c>
      <c r="F2" s="3">
        <v>2090.5</v>
      </c>
      <c r="G2" s="3">
        <v>103</v>
      </c>
      <c r="H2" s="3">
        <v>1215</v>
      </c>
      <c r="I2" s="3">
        <v>3316</v>
      </c>
      <c r="J2" s="3">
        <v>823.25</v>
      </c>
      <c r="K2" s="3">
        <v>1782.75</v>
      </c>
      <c r="L2" s="3">
        <f>SUM(N2:P2)</f>
        <v>4082.2227836295829</v>
      </c>
      <c r="M2" s="3"/>
      <c r="N2" s="3">
        <v>2775.75</v>
      </c>
      <c r="O2" s="3">
        <v>3.4727836295830397</v>
      </c>
      <c r="P2" s="3">
        <v>1303</v>
      </c>
    </row>
    <row r="3" spans="1:16" x14ac:dyDescent="0.25">
      <c r="A3">
        <v>2009</v>
      </c>
      <c r="B3" s="3">
        <v>14194</v>
      </c>
      <c r="C3" s="3"/>
      <c r="D3" s="3">
        <v>714.5</v>
      </c>
      <c r="E3" s="3">
        <v>339.75</v>
      </c>
      <c r="F3" s="3">
        <v>1953.5</v>
      </c>
      <c r="G3" s="3">
        <v>104.5</v>
      </c>
      <c r="H3" s="3">
        <v>1189.25</v>
      </c>
      <c r="I3" s="3">
        <v>3120</v>
      </c>
      <c r="J3" s="3">
        <v>799.5</v>
      </c>
      <c r="K3" s="3">
        <v>1862.5</v>
      </c>
      <c r="L3" s="3">
        <f t="shared" ref="L3:L12" si="0">SUM(N3:P3)</f>
        <v>4110.2617880104135</v>
      </c>
      <c r="M3" s="3"/>
      <c r="N3" s="3">
        <v>2814.5</v>
      </c>
      <c r="O3" s="3">
        <v>4.5117880104133947</v>
      </c>
      <c r="P3" s="3">
        <v>1291.25</v>
      </c>
    </row>
    <row r="4" spans="1:16" x14ac:dyDescent="0.25">
      <c r="A4">
        <v>2010</v>
      </c>
      <c r="B4" s="3">
        <v>13788</v>
      </c>
      <c r="C4" s="3"/>
      <c r="D4" s="3">
        <v>665.25</v>
      </c>
      <c r="E4" s="3">
        <v>326.5</v>
      </c>
      <c r="F4" s="3">
        <v>1839</v>
      </c>
      <c r="G4" s="3">
        <v>94.5</v>
      </c>
      <c r="H4" s="3">
        <v>1109</v>
      </c>
      <c r="I4" s="3">
        <v>3073</v>
      </c>
      <c r="J4" s="3">
        <v>816</v>
      </c>
      <c r="K4" s="3">
        <v>1748.25</v>
      </c>
      <c r="L4" s="3">
        <f t="shared" si="0"/>
        <v>4115.9675917710847</v>
      </c>
      <c r="M4" s="3"/>
      <c r="N4" s="3">
        <v>2874.75</v>
      </c>
      <c r="O4" s="3">
        <v>3.9675917710852273</v>
      </c>
      <c r="P4" s="3">
        <v>1237.25</v>
      </c>
    </row>
    <row r="5" spans="1:16" x14ac:dyDescent="0.25">
      <c r="A5">
        <v>2011</v>
      </c>
      <c r="B5" s="3">
        <v>14070</v>
      </c>
      <c r="C5" s="3"/>
      <c r="D5" s="3">
        <v>644.25</v>
      </c>
      <c r="E5" s="3">
        <v>334</v>
      </c>
      <c r="F5" s="3">
        <v>1870.75</v>
      </c>
      <c r="G5" s="3">
        <v>90.75</v>
      </c>
      <c r="H5" s="3">
        <v>1108.25</v>
      </c>
      <c r="I5" s="3">
        <v>3147.75</v>
      </c>
      <c r="J5" s="3">
        <v>811.25</v>
      </c>
      <c r="K5" s="3">
        <v>1817.75</v>
      </c>
      <c r="L5" s="3">
        <f t="shared" si="0"/>
        <v>4245.5289166904495</v>
      </c>
      <c r="M5" s="3"/>
      <c r="N5" s="3">
        <v>3027</v>
      </c>
      <c r="O5" s="3">
        <v>4.7789166904495604</v>
      </c>
      <c r="P5" s="3">
        <v>1213.75</v>
      </c>
    </row>
    <row r="6" spans="1:16" x14ac:dyDescent="0.25">
      <c r="A6">
        <v>2012</v>
      </c>
      <c r="B6" s="3">
        <v>14425</v>
      </c>
      <c r="C6" s="3"/>
      <c r="D6" s="3">
        <v>696.25</v>
      </c>
      <c r="E6" s="3">
        <v>375.5</v>
      </c>
      <c r="F6" s="3">
        <v>1816.5</v>
      </c>
      <c r="G6" s="3">
        <v>101.75</v>
      </c>
      <c r="H6" s="3">
        <v>1090.75</v>
      </c>
      <c r="I6" s="3">
        <v>3145</v>
      </c>
      <c r="J6" s="3">
        <v>859.75</v>
      </c>
      <c r="K6" s="3">
        <v>1902</v>
      </c>
      <c r="L6" s="3">
        <f t="shared" si="0"/>
        <v>4437.2648634921752</v>
      </c>
      <c r="M6" s="3"/>
      <c r="N6" s="3">
        <v>3202.25</v>
      </c>
      <c r="O6" s="3">
        <v>3.5148634921751944</v>
      </c>
      <c r="P6" s="3">
        <v>1231.5</v>
      </c>
    </row>
    <row r="7" spans="1:16" x14ac:dyDescent="0.25">
      <c r="A7">
        <v>2013</v>
      </c>
      <c r="B7" s="3">
        <v>14865.75</v>
      </c>
      <c r="C7" s="3"/>
      <c r="D7" s="3">
        <v>739.75</v>
      </c>
      <c r="E7" s="3">
        <v>411</v>
      </c>
      <c r="F7" s="3">
        <v>1809.5</v>
      </c>
      <c r="G7" s="3">
        <v>128.25</v>
      </c>
      <c r="H7" s="3">
        <v>1145.5</v>
      </c>
      <c r="I7" s="3">
        <v>3132</v>
      </c>
      <c r="J7" s="3">
        <v>914</v>
      </c>
      <c r="K7" s="3">
        <v>1995</v>
      </c>
      <c r="L7" s="3">
        <f t="shared" si="0"/>
        <v>4589.9245427375117</v>
      </c>
      <c r="M7" s="3"/>
      <c r="N7" s="3">
        <v>3351.25</v>
      </c>
      <c r="O7" s="3">
        <v>3.1745427375113398</v>
      </c>
      <c r="P7" s="3">
        <v>1235.5</v>
      </c>
    </row>
    <row r="8" spans="1:16" x14ac:dyDescent="0.25">
      <c r="A8">
        <v>2014</v>
      </c>
      <c r="B8" s="3">
        <v>15146.5</v>
      </c>
      <c r="C8" s="3"/>
      <c r="D8" s="3">
        <v>701.75</v>
      </c>
      <c r="E8" s="3">
        <v>427.75</v>
      </c>
      <c r="F8" s="3">
        <v>1759.75</v>
      </c>
      <c r="G8" s="3">
        <v>117.5</v>
      </c>
      <c r="H8" s="3">
        <v>1248.75</v>
      </c>
      <c r="I8" s="3">
        <v>3202.25</v>
      </c>
      <c r="J8" s="3">
        <v>931.75</v>
      </c>
      <c r="K8" s="3">
        <v>2030</v>
      </c>
      <c r="L8" s="3">
        <f t="shared" si="0"/>
        <v>4727.5</v>
      </c>
      <c r="M8" s="3"/>
      <c r="N8" s="3">
        <v>3493.5</v>
      </c>
      <c r="O8" s="3">
        <v>4</v>
      </c>
      <c r="P8" s="3">
        <v>1230</v>
      </c>
    </row>
    <row r="9" spans="1:16" x14ac:dyDescent="0.25">
      <c r="A9">
        <v>2015</v>
      </c>
      <c r="B9" s="3">
        <v>15740.732505227325</v>
      </c>
      <c r="C9" s="3"/>
      <c r="D9" s="3">
        <v>879.56165751682056</v>
      </c>
      <c r="E9" s="3">
        <v>454.55393829694145</v>
      </c>
      <c r="F9" s="3">
        <v>1761.7643159507049</v>
      </c>
      <c r="G9" s="3">
        <v>132.36038935987526</v>
      </c>
      <c r="H9" s="3">
        <v>1405.1411291700824</v>
      </c>
      <c r="I9" s="3">
        <v>3161.1654263269147</v>
      </c>
      <c r="J9" s="3">
        <v>904.73136619091383</v>
      </c>
      <c r="K9" s="3">
        <v>2198.0325559048324</v>
      </c>
      <c r="L9" s="3">
        <f t="shared" si="0"/>
        <v>4843.4217265102679</v>
      </c>
      <c r="M9" s="3"/>
      <c r="N9" s="3">
        <v>3551.0453189070749</v>
      </c>
      <c r="O9" s="3">
        <v>3.9155275788458175</v>
      </c>
      <c r="P9" s="3">
        <v>1288.4608800243475</v>
      </c>
    </row>
    <row r="10" spans="1:16" x14ac:dyDescent="0.25">
      <c r="A10">
        <v>2016</v>
      </c>
      <c r="B10" s="3">
        <v>15780.4419705829</v>
      </c>
      <c r="C10" s="3"/>
      <c r="D10" s="3">
        <v>873.87946079767505</v>
      </c>
      <c r="E10" s="3">
        <v>444.33078384476926</v>
      </c>
      <c r="F10" s="3">
        <v>1691.6818095741974</v>
      </c>
      <c r="G10" s="3">
        <v>117.74340382385225</v>
      </c>
      <c r="H10" s="3">
        <v>1431.0165050154098</v>
      </c>
      <c r="I10" s="3">
        <v>3178.4588152606375</v>
      </c>
      <c r="J10" s="3">
        <v>909.92679011550376</v>
      </c>
      <c r="K10" s="3">
        <v>2274.6229805652524</v>
      </c>
      <c r="L10" s="3">
        <f t="shared" si="0"/>
        <v>4858.7814215855924</v>
      </c>
      <c r="M10" s="3"/>
      <c r="N10" s="3">
        <v>3571.1547497890228</v>
      </c>
      <c r="O10" s="3">
        <v>4.3432331592277196</v>
      </c>
      <c r="P10" s="3">
        <v>1283.2834386373424</v>
      </c>
    </row>
    <row r="11" spans="1:16" x14ac:dyDescent="0.25">
      <c r="A11">
        <v>2017</v>
      </c>
      <c r="B11" s="3">
        <v>16168.663492628701</v>
      </c>
      <c r="C11" s="3"/>
      <c r="D11" s="3">
        <v>842.5588746271975</v>
      </c>
      <c r="E11" s="3">
        <v>434.42893893026076</v>
      </c>
      <c r="F11" s="3">
        <v>1782.1949413470525</v>
      </c>
      <c r="G11" s="3">
        <v>148.88292365328098</v>
      </c>
      <c r="H11" s="3">
        <v>1413.9155729197948</v>
      </c>
      <c r="I11" s="3">
        <v>3249.5214492735904</v>
      </c>
      <c r="J11" s="3">
        <v>976.90647109481847</v>
      </c>
      <c r="K11" s="3">
        <v>2402.3603039903746</v>
      </c>
      <c r="L11" s="3">
        <f t="shared" si="0"/>
        <v>4917.8940167923274</v>
      </c>
      <c r="M11" s="3"/>
      <c r="N11" s="3">
        <v>3609.1061042584774</v>
      </c>
      <c r="O11" s="3">
        <v>5.5893201130748924</v>
      </c>
      <c r="P11" s="3">
        <v>1303.1985924207752</v>
      </c>
    </row>
    <row r="12" spans="1:16" x14ac:dyDescent="0.25">
      <c r="A12">
        <v>2018</v>
      </c>
      <c r="B12" s="3">
        <v>16332.663644747699</v>
      </c>
      <c r="C12" s="3"/>
      <c r="D12" s="3">
        <v>845.040828252202</v>
      </c>
      <c r="E12" s="3">
        <v>416.07877078923849</v>
      </c>
      <c r="F12" s="3">
        <v>1796.5437087615651</v>
      </c>
      <c r="G12" s="3">
        <v>151.90718753017052</v>
      </c>
      <c r="H12" s="3">
        <v>1453.019635935975</v>
      </c>
      <c r="I12" s="3">
        <v>3247.4392171874997</v>
      </c>
      <c r="J12" s="3">
        <v>987.28445059395449</v>
      </c>
      <c r="K12" s="3">
        <v>2400.9461462111549</v>
      </c>
      <c r="L12" s="3">
        <f t="shared" si="0"/>
        <v>5034.4036994860126</v>
      </c>
      <c r="M12" s="3"/>
      <c r="N12" s="3">
        <v>3738.8531564565201</v>
      </c>
      <c r="O12" s="3">
        <v>10.05495428270755</v>
      </c>
      <c r="P12" s="3">
        <v>1285.495588746785</v>
      </c>
    </row>
    <row r="14" spans="1:16" x14ac:dyDescent="0.25">
      <c r="A14" t="s">
        <v>84</v>
      </c>
    </row>
    <row r="16" spans="1:16" x14ac:dyDescent="0.25">
      <c r="A16">
        <v>2012</v>
      </c>
      <c r="B16" s="7">
        <f>VLOOKUP(B$1,'2012 SAM'!$H$4:$M$14,6,)/(B6/1000)</f>
        <v>102173.44887348369</v>
      </c>
      <c r="C16" s="7"/>
      <c r="D16" s="7">
        <f>VLOOKUP(D$1,'2012 SAM'!$H$4:$M$14,6,)/(D6/1000)</f>
        <v>31043.951428916756</v>
      </c>
      <c r="E16" s="7">
        <f>VLOOKUP(E$1,'2012 SAM'!$H$4:$M$14,6,)/(E6/1000)</f>
        <v>293394.2612637764</v>
      </c>
      <c r="F16" s="7">
        <f>VLOOKUP(F$1,'2012 SAM'!$H$4:$M$14,6,)/(F6/1000)</f>
        <v>129547.00617210582</v>
      </c>
      <c r="G16" s="7">
        <f>VLOOKUP(G$1,'2012 SAM'!$H$4:$M$14,6,)/(G6/1000)</f>
        <v>290368.40471220203</v>
      </c>
      <c r="H16" s="7">
        <f>VLOOKUP(H$1,'2012 SAM'!$H$4:$M$14,6,)/(H6/1000)</f>
        <v>39769.487200330361</v>
      </c>
      <c r="I16" s="7">
        <f>VLOOKUP(I$1,'2012 SAM'!$H$4:$M$14,6,)/(I6/1000)</f>
        <v>53443.033437185237</v>
      </c>
      <c r="J16" s="7">
        <f>VLOOKUP(J$1,'2012 SAM'!$H$4:$M$14,6,)/(J6/1000)</f>
        <v>99093.810632948313</v>
      </c>
      <c r="K16" s="7">
        <f>VLOOKUP(K$1,'2012 SAM'!$H$4:$M$14,6,)/(K6/1000)</f>
        <v>122509.75599430816</v>
      </c>
      <c r="L16" s="7">
        <f>VLOOKUP(L$1,'2012 SAM'!$H$4:$M$14,6,)/(L6/1000)</f>
        <v>123394.62050378922</v>
      </c>
    </row>
    <row r="17" spans="4:12" x14ac:dyDescent="0.25">
      <c r="D17" s="32">
        <f>D16/$B$16</f>
        <v>0.30383579854837767</v>
      </c>
      <c r="E17" s="32">
        <f t="shared" ref="E17:L17" si="1">E16/$B$16</f>
        <v>2.8715313469262638</v>
      </c>
      <c r="F17" s="32">
        <f t="shared" si="1"/>
        <v>1.2679126289699532</v>
      </c>
      <c r="G17" s="32">
        <f t="shared" si="1"/>
        <v>2.8419164461380841</v>
      </c>
      <c r="H17" s="32">
        <f t="shared" si="1"/>
        <v>0.38923504725356722</v>
      </c>
      <c r="I17" s="32">
        <f t="shared" si="1"/>
        <v>0.52306185243253456</v>
      </c>
      <c r="J17" s="32">
        <f t="shared" si="1"/>
        <v>0.96985872284345864</v>
      </c>
      <c r="K17" s="32">
        <f t="shared" si="1"/>
        <v>1.1990371015664345</v>
      </c>
      <c r="L17" s="32">
        <f t="shared" si="1"/>
        <v>1.2076975169604254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D9A4D-13DE-4C15-98B7-04F2903CD207}">
  <dimension ref="A1:Z65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S15" sqref="S15"/>
    </sheetView>
  </sheetViews>
  <sheetFormatPr defaultRowHeight="12" x14ac:dyDescent="0.25"/>
  <cols>
    <col min="1" max="1" width="10.28515625" style="1" bestFit="1" customWidth="1"/>
    <col min="2" max="2" width="9.140625" style="1"/>
    <col min="3" max="6" width="9.28515625" style="1" bestFit="1" customWidth="1"/>
    <col min="7" max="7" width="10.140625" style="1" bestFit="1" customWidth="1"/>
    <col min="8" max="8" width="9.140625" style="1"/>
    <col min="9" max="13" width="9.28515625" style="1" bestFit="1" customWidth="1"/>
    <col min="14" max="15" width="9.140625" style="1"/>
    <col min="16" max="16" width="12" style="1" bestFit="1" customWidth="1"/>
    <col min="17" max="17" width="6.5703125" style="1" bestFit="1" customWidth="1"/>
    <col min="18" max="18" width="10.28515625" style="1" bestFit="1" customWidth="1"/>
    <col min="19" max="19" width="7.85546875" style="1" bestFit="1" customWidth="1"/>
    <col min="20" max="20" width="13.85546875" style="1" bestFit="1" customWidth="1"/>
    <col min="21" max="21" width="6.7109375" style="1" bestFit="1" customWidth="1"/>
    <col min="22" max="22" width="12.140625" style="1" bestFit="1" customWidth="1"/>
    <col min="23" max="23" width="9" style="1" bestFit="1" customWidth="1"/>
    <col min="24" max="24" width="9.42578125" style="1" bestFit="1" customWidth="1"/>
    <col min="25" max="26" width="9" style="1" bestFit="1" customWidth="1"/>
    <col min="27" max="16384" width="9.140625" style="1"/>
  </cols>
  <sheetData>
    <row r="1" spans="1:26" x14ac:dyDescent="0.25">
      <c r="C1" s="1" t="s">
        <v>85</v>
      </c>
      <c r="I1" s="1" t="s">
        <v>86</v>
      </c>
    </row>
    <row r="2" spans="1:26" x14ac:dyDescent="0.25">
      <c r="B2" s="1" t="s">
        <v>87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88</v>
      </c>
      <c r="I2" s="1" t="s">
        <v>0</v>
      </c>
      <c r="J2" s="1" t="s">
        <v>1</v>
      </c>
      <c r="K2" s="1" t="s">
        <v>2</v>
      </c>
      <c r="L2" s="1" t="s">
        <v>3</v>
      </c>
      <c r="M2" s="1" t="s">
        <v>88</v>
      </c>
    </row>
    <row r="3" spans="1:26" x14ac:dyDescent="0.25">
      <c r="A3" s="1" t="str">
        <f>VLOOKUP($B3,Concordance!$E$2:$F$63,2,)</f>
        <v>Agriculture</v>
      </c>
      <c r="B3" s="1" t="s">
        <v>4</v>
      </c>
      <c r="C3" s="1">
        <v>265574</v>
      </c>
      <c r="D3" s="1">
        <v>173961</v>
      </c>
      <c r="E3" s="1">
        <v>113061</v>
      </c>
      <c r="F3" s="1">
        <v>67673</v>
      </c>
      <c r="G3" s="1">
        <v>620269</v>
      </c>
      <c r="I3" s="1">
        <v>4640</v>
      </c>
      <c r="J3" s="1">
        <v>4107</v>
      </c>
      <c r="K3" s="1">
        <v>4097</v>
      </c>
      <c r="L3" s="1">
        <v>7337</v>
      </c>
      <c r="M3" s="1">
        <v>20181</v>
      </c>
      <c r="R3" s="1" t="s">
        <v>73</v>
      </c>
      <c r="S3" s="1" t="s">
        <v>74</v>
      </c>
      <c r="T3" s="1" t="s">
        <v>75</v>
      </c>
      <c r="U3" s="1" t="s">
        <v>76</v>
      </c>
      <c r="V3" s="1" t="s">
        <v>77</v>
      </c>
      <c r="W3" s="1" t="s">
        <v>78</v>
      </c>
      <c r="X3" s="1" t="s">
        <v>79</v>
      </c>
      <c r="Y3" s="1" t="s">
        <v>80</v>
      </c>
      <c r="Z3" s="1" t="s">
        <v>82</v>
      </c>
    </row>
    <row r="4" spans="1:26" x14ac:dyDescent="0.25">
      <c r="A4" s="1" t="str">
        <f>VLOOKUP($B4,Concordance!$E$2:$F$63,2,)</f>
        <v>Agriculture</v>
      </c>
      <c r="B4" s="1" t="s">
        <v>5</v>
      </c>
      <c r="C4" s="1">
        <v>18784</v>
      </c>
      <c r="D4" s="1">
        <v>8999</v>
      </c>
      <c r="E4" s="1">
        <v>7602</v>
      </c>
      <c r="F4" s="1">
        <v>2427</v>
      </c>
      <c r="G4" s="1">
        <v>37812</v>
      </c>
      <c r="I4" s="1">
        <v>374</v>
      </c>
      <c r="J4" s="1">
        <v>191</v>
      </c>
      <c r="K4" s="1">
        <v>176</v>
      </c>
      <c r="L4" s="1">
        <v>278</v>
      </c>
      <c r="M4" s="1">
        <v>1019</v>
      </c>
      <c r="P4" s="1" t="s">
        <v>85</v>
      </c>
      <c r="Q4" s="1" t="s">
        <v>0</v>
      </c>
      <c r="R4" s="1">
        <f>SUMIF($A$3:$A$64,R$3,$C$3:$C$64)</f>
        <v>286157</v>
      </c>
      <c r="S4" s="1">
        <f t="shared" ref="S4:Z4" si="0">SUMIF($A$3:$A$64,S$3,$C$3:$C$64)</f>
        <v>44605</v>
      </c>
      <c r="T4" s="1">
        <f t="shared" si="0"/>
        <v>162827</v>
      </c>
      <c r="U4" s="1">
        <f t="shared" si="0"/>
        <v>9367</v>
      </c>
      <c r="V4" s="1">
        <f t="shared" si="0"/>
        <v>216566</v>
      </c>
      <c r="W4" s="1">
        <f t="shared" si="0"/>
        <v>334758</v>
      </c>
      <c r="X4" s="1">
        <f t="shared" si="0"/>
        <v>75937</v>
      </c>
      <c r="Y4" s="1">
        <f t="shared" si="0"/>
        <v>77913</v>
      </c>
      <c r="Z4" s="1">
        <f t="shared" si="0"/>
        <v>556420</v>
      </c>
    </row>
    <row r="5" spans="1:26" x14ac:dyDescent="0.25">
      <c r="A5" s="1" t="str">
        <f>VLOOKUP($B5,Concordance!$E$2:$F$63,2,)</f>
        <v>Agriculture</v>
      </c>
      <c r="B5" s="1" t="s">
        <v>6</v>
      </c>
      <c r="C5" s="1">
        <v>1799</v>
      </c>
      <c r="D5" s="1">
        <v>2698</v>
      </c>
      <c r="E5" s="1">
        <v>4404</v>
      </c>
      <c r="F5" s="1">
        <v>1944</v>
      </c>
      <c r="G5" s="1">
        <v>10845</v>
      </c>
      <c r="I5" s="1">
        <v>104</v>
      </c>
      <c r="J5" s="1">
        <v>92</v>
      </c>
      <c r="K5" s="1">
        <v>273</v>
      </c>
      <c r="L5" s="1">
        <v>177</v>
      </c>
      <c r="M5" s="1">
        <v>646</v>
      </c>
      <c r="Q5" s="1" t="s">
        <v>1</v>
      </c>
      <c r="R5" s="1">
        <f>SUMIF($A$3:$A$64,R$3,$D$3:$D$64)</f>
        <v>185658</v>
      </c>
      <c r="S5" s="1">
        <f t="shared" ref="S5:Z5" si="1">SUMIF($A$3:$A$64,S$3,$D$3:$D$64)</f>
        <v>63436</v>
      </c>
      <c r="T5" s="1">
        <f t="shared" si="1"/>
        <v>329312</v>
      </c>
      <c r="U5" s="1">
        <f t="shared" si="1"/>
        <v>10394</v>
      </c>
      <c r="V5" s="1">
        <f t="shared" si="1"/>
        <v>266603</v>
      </c>
      <c r="W5" s="1">
        <f t="shared" si="1"/>
        <v>592638</v>
      </c>
      <c r="X5" s="1">
        <f t="shared" si="1"/>
        <v>143449</v>
      </c>
      <c r="Y5" s="1">
        <f t="shared" si="1"/>
        <v>209901</v>
      </c>
      <c r="Z5" s="1">
        <f t="shared" si="1"/>
        <v>690075</v>
      </c>
    </row>
    <row r="6" spans="1:26" x14ac:dyDescent="0.25">
      <c r="A6" s="1" t="str">
        <f>VLOOKUP($B6,Concordance!$E$2:$F$63,2,)</f>
        <v>Mining</v>
      </c>
      <c r="B6" s="1" t="s">
        <v>7</v>
      </c>
      <c r="C6" s="1">
        <v>8839</v>
      </c>
      <c r="D6" s="1">
        <v>12012</v>
      </c>
      <c r="E6" s="1">
        <v>20003</v>
      </c>
      <c r="F6" s="1">
        <v>26363</v>
      </c>
      <c r="G6" s="1">
        <v>67217</v>
      </c>
      <c r="I6" s="1">
        <v>453</v>
      </c>
      <c r="J6" s="1">
        <v>622</v>
      </c>
      <c r="K6" s="1">
        <v>1615</v>
      </c>
      <c r="L6" s="1">
        <v>3740</v>
      </c>
      <c r="M6" s="1">
        <v>6430</v>
      </c>
      <c r="Q6" s="1" t="s">
        <v>2</v>
      </c>
      <c r="R6" s="1">
        <f>SUMIF($A$3:$A$64,R$3,$E$3:$E$64)</f>
        <v>125067</v>
      </c>
      <c r="S6" s="1">
        <f t="shared" ref="S6:Z6" si="2">SUMIF($A$3:$A$64,S$3,$E$3:$E$64)</f>
        <v>112566</v>
      </c>
      <c r="T6" s="1">
        <f t="shared" si="2"/>
        <v>612657</v>
      </c>
      <c r="U6" s="1">
        <f t="shared" si="2"/>
        <v>21447</v>
      </c>
      <c r="V6" s="1">
        <f t="shared" si="2"/>
        <v>318095</v>
      </c>
      <c r="W6" s="1">
        <f t="shared" si="2"/>
        <v>1137503</v>
      </c>
      <c r="X6" s="1">
        <f t="shared" si="2"/>
        <v>292109</v>
      </c>
      <c r="Y6" s="1">
        <f t="shared" si="2"/>
        <v>607508</v>
      </c>
      <c r="Z6" s="1">
        <f t="shared" si="2"/>
        <v>1036967</v>
      </c>
    </row>
    <row r="7" spans="1:26" x14ac:dyDescent="0.25">
      <c r="A7" s="1" t="str">
        <f>VLOOKUP($B7,Concordance!$E$2:$F$63,2,)</f>
        <v>Mining</v>
      </c>
      <c r="B7" s="1" t="s">
        <v>8</v>
      </c>
      <c r="C7" s="1">
        <v>10063</v>
      </c>
      <c r="D7" s="1">
        <v>16729</v>
      </c>
      <c r="E7" s="1">
        <v>34484</v>
      </c>
      <c r="F7" s="1">
        <v>27546</v>
      </c>
      <c r="G7" s="1">
        <v>88822</v>
      </c>
      <c r="I7" s="1">
        <v>641</v>
      </c>
      <c r="J7" s="1">
        <v>1227</v>
      </c>
      <c r="K7" s="1">
        <v>3224</v>
      </c>
      <c r="L7" s="1">
        <v>3883</v>
      </c>
      <c r="M7" s="1">
        <v>8975</v>
      </c>
      <c r="Q7" s="1" t="s">
        <v>3</v>
      </c>
      <c r="R7" s="1">
        <f>SUMIF($A$3:$A$64,R$3,$F$3:$F$64)</f>
        <v>72044</v>
      </c>
      <c r="S7" s="1">
        <f t="shared" ref="S7:Z7" si="3">SUMIF($A$3:$A$64,S$3,$F$3:$F$64)</f>
        <v>130080</v>
      </c>
      <c r="T7" s="1">
        <f t="shared" si="3"/>
        <v>598184</v>
      </c>
      <c r="U7" s="1">
        <f t="shared" si="3"/>
        <v>57605</v>
      </c>
      <c r="V7" s="1">
        <f t="shared" si="3"/>
        <v>233145</v>
      </c>
      <c r="W7" s="1">
        <f t="shared" si="3"/>
        <v>940821</v>
      </c>
      <c r="X7" s="1">
        <f t="shared" si="3"/>
        <v>302690</v>
      </c>
      <c r="Y7" s="1">
        <f t="shared" si="3"/>
        <v>902180</v>
      </c>
      <c r="Z7" s="1">
        <f t="shared" si="3"/>
        <v>1898208</v>
      </c>
    </row>
    <row r="8" spans="1:26" x14ac:dyDescent="0.25">
      <c r="A8" s="1" t="str">
        <f>VLOOKUP($B8,Concordance!$E$2:$F$63,2,)</f>
        <v>Mining</v>
      </c>
      <c r="B8" s="1" t="s">
        <v>9</v>
      </c>
      <c r="C8" s="1">
        <v>21705</v>
      </c>
      <c r="D8" s="1">
        <v>26851</v>
      </c>
      <c r="E8" s="1">
        <v>45522</v>
      </c>
      <c r="F8" s="1">
        <v>50983</v>
      </c>
      <c r="G8" s="1">
        <v>145061</v>
      </c>
      <c r="I8" s="1">
        <v>1295</v>
      </c>
      <c r="J8" s="1">
        <v>1702</v>
      </c>
      <c r="K8" s="1">
        <v>3621</v>
      </c>
      <c r="L8" s="1">
        <v>6222</v>
      </c>
      <c r="M8" s="1">
        <v>12840</v>
      </c>
      <c r="Q8" s="1" t="s">
        <v>88</v>
      </c>
      <c r="R8" s="1">
        <f>SUMIF($A$3:$A$64,R$3,$G$3:$G$64)</f>
        <v>668926</v>
      </c>
      <c r="S8" s="1">
        <f t="shared" ref="S8:Z8" si="4">SUMIF($A$3:$A$64,S$3,$G$3:$G$64)</f>
        <v>350687</v>
      </c>
      <c r="T8" s="1">
        <f t="shared" si="4"/>
        <v>1702980</v>
      </c>
      <c r="U8" s="1">
        <f t="shared" si="4"/>
        <v>98813</v>
      </c>
      <c r="V8" s="1">
        <f t="shared" si="4"/>
        <v>1034409</v>
      </c>
      <c r="W8" s="1">
        <f t="shared" si="4"/>
        <v>3005720</v>
      </c>
      <c r="X8" s="1">
        <f t="shared" si="4"/>
        <v>814185</v>
      </c>
      <c r="Y8" s="1">
        <f t="shared" si="4"/>
        <v>1797502</v>
      </c>
      <c r="Z8" s="1">
        <f t="shared" si="4"/>
        <v>4181670</v>
      </c>
    </row>
    <row r="9" spans="1:26" x14ac:dyDescent="0.25">
      <c r="A9" s="1" t="str">
        <f>VLOOKUP($B9,Concordance!$E$2:$F$63,2,)</f>
        <v>Mining</v>
      </c>
      <c r="B9" s="1" t="s">
        <v>89</v>
      </c>
      <c r="C9" s="1">
        <v>3998</v>
      </c>
      <c r="D9" s="1">
        <v>7844</v>
      </c>
      <c r="E9" s="1">
        <v>12557</v>
      </c>
      <c r="F9" s="1">
        <v>25188</v>
      </c>
      <c r="G9" s="1">
        <v>49587</v>
      </c>
      <c r="I9" s="1">
        <v>137</v>
      </c>
      <c r="J9" s="1">
        <v>462</v>
      </c>
      <c r="K9" s="1">
        <v>872</v>
      </c>
      <c r="L9" s="1">
        <v>3932</v>
      </c>
      <c r="M9" s="1">
        <v>5403</v>
      </c>
    </row>
    <row r="10" spans="1:26" x14ac:dyDescent="0.25">
      <c r="A10" s="1" t="str">
        <f>VLOOKUP($B10,Concordance!$E$2:$F$63,2,)</f>
        <v>Manufacturing</v>
      </c>
      <c r="B10" s="1" t="s">
        <v>14</v>
      </c>
      <c r="C10" s="1">
        <v>23063</v>
      </c>
      <c r="D10" s="1">
        <v>60460</v>
      </c>
      <c r="E10" s="1">
        <v>103070</v>
      </c>
      <c r="F10" s="1">
        <v>74932</v>
      </c>
      <c r="G10" s="1">
        <v>261525</v>
      </c>
      <c r="I10" s="1">
        <v>773</v>
      </c>
      <c r="J10" s="1">
        <v>2005</v>
      </c>
      <c r="K10" s="1">
        <v>4727</v>
      </c>
      <c r="L10" s="1">
        <v>8819</v>
      </c>
      <c r="M10" s="1">
        <v>16324</v>
      </c>
      <c r="R10" s="1" t="s">
        <v>73</v>
      </c>
      <c r="S10" s="1" t="s">
        <v>74</v>
      </c>
      <c r="T10" s="1" t="s">
        <v>75</v>
      </c>
      <c r="U10" s="1" t="s">
        <v>76</v>
      </c>
      <c r="V10" s="1" t="s">
        <v>77</v>
      </c>
      <c r="W10" s="1" t="s">
        <v>78</v>
      </c>
      <c r="X10" s="1" t="s">
        <v>79</v>
      </c>
      <c r="Y10" s="1" t="s">
        <v>80</v>
      </c>
      <c r="Z10" s="1" t="s">
        <v>82</v>
      </c>
    </row>
    <row r="11" spans="1:26" x14ac:dyDescent="0.25">
      <c r="A11" s="1" t="str">
        <f>VLOOKUP($B11,Concordance!$E$2:$F$63,2,)</f>
        <v>Manufacturing</v>
      </c>
      <c r="B11" s="1" t="s">
        <v>15</v>
      </c>
      <c r="C11" s="1">
        <v>14354</v>
      </c>
      <c r="D11" s="1">
        <v>12659</v>
      </c>
      <c r="E11" s="1">
        <v>20133</v>
      </c>
      <c r="F11" s="1">
        <v>22843</v>
      </c>
      <c r="G11" s="1">
        <v>69989</v>
      </c>
      <c r="I11" s="1">
        <v>366</v>
      </c>
      <c r="J11" s="1">
        <v>387</v>
      </c>
      <c r="K11" s="1">
        <v>902</v>
      </c>
      <c r="L11" s="1">
        <v>3288</v>
      </c>
      <c r="M11" s="1">
        <v>4943</v>
      </c>
      <c r="P11" s="1" t="s">
        <v>85</v>
      </c>
      <c r="Q11" s="1" t="s">
        <v>0</v>
      </c>
      <c r="R11" s="1">
        <f>SUMIF($A$3:$A$64,R$3,$I$3:$I$64)</f>
        <v>5118</v>
      </c>
      <c r="S11" s="1">
        <f t="shared" ref="S11:Z11" si="5">SUMIF($A$3:$A$64,S$3,$I$3:$I$64)</f>
        <v>2526</v>
      </c>
      <c r="T11" s="1">
        <f t="shared" si="5"/>
        <v>5700</v>
      </c>
      <c r="U11" s="1">
        <f t="shared" si="5"/>
        <v>382</v>
      </c>
      <c r="V11" s="1">
        <f t="shared" si="5"/>
        <v>6155</v>
      </c>
      <c r="W11" s="1">
        <f t="shared" si="5"/>
        <v>11792</v>
      </c>
      <c r="X11" s="1">
        <f t="shared" si="5"/>
        <v>3346</v>
      </c>
      <c r="Y11" s="1">
        <f t="shared" si="5"/>
        <v>2929</v>
      </c>
      <c r="Z11" s="1">
        <f t="shared" si="5"/>
        <v>14059</v>
      </c>
    </row>
    <row r="12" spans="1:26" x14ac:dyDescent="0.25">
      <c r="A12" s="1" t="str">
        <f>VLOOKUP($B12,Concordance!$E$2:$F$63,2,)</f>
        <v>Manufacturing</v>
      </c>
      <c r="B12" s="1" t="s">
        <v>90</v>
      </c>
      <c r="C12" s="1">
        <v>9116</v>
      </c>
      <c r="D12" s="1">
        <v>11760</v>
      </c>
      <c r="E12" s="1">
        <v>23073</v>
      </c>
      <c r="F12" s="1">
        <v>20448</v>
      </c>
      <c r="G12" s="1">
        <v>64397</v>
      </c>
      <c r="I12" s="1">
        <v>207</v>
      </c>
      <c r="J12" s="1">
        <v>743</v>
      </c>
      <c r="K12" s="1">
        <v>1976</v>
      </c>
      <c r="L12" s="1">
        <v>2823</v>
      </c>
      <c r="M12" s="1">
        <v>5749</v>
      </c>
      <c r="Q12" s="1" t="s">
        <v>1</v>
      </c>
      <c r="R12" s="1">
        <f>SUMIF($A$3:$A$64,R$3,$J$3:$J$64)</f>
        <v>4390</v>
      </c>
      <c r="S12" s="1">
        <f t="shared" ref="S12:Z12" si="6">SUMIF($A$3:$A$64,S$3,$J$3:$J$64)</f>
        <v>4013</v>
      </c>
      <c r="T12" s="1">
        <f t="shared" si="6"/>
        <v>18825</v>
      </c>
      <c r="U12" s="1">
        <f t="shared" si="6"/>
        <v>438</v>
      </c>
      <c r="V12" s="1">
        <f t="shared" si="6"/>
        <v>9964</v>
      </c>
      <c r="W12" s="1">
        <f t="shared" si="6"/>
        <v>28577</v>
      </c>
      <c r="X12" s="1">
        <f t="shared" si="6"/>
        <v>8255</v>
      </c>
      <c r="Y12" s="1">
        <f t="shared" si="6"/>
        <v>8638</v>
      </c>
      <c r="Z12" s="1">
        <f t="shared" si="6"/>
        <v>23463</v>
      </c>
    </row>
    <row r="13" spans="1:26" x14ac:dyDescent="0.25">
      <c r="A13" s="1" t="str">
        <f>VLOOKUP($B13,Concordance!$E$2:$F$63,2,)</f>
        <v>Manufacturing</v>
      </c>
      <c r="B13" s="1" t="s">
        <v>91</v>
      </c>
      <c r="C13" s="1">
        <v>19937</v>
      </c>
      <c r="D13" s="1">
        <v>36362</v>
      </c>
      <c r="E13" s="1">
        <v>53465</v>
      </c>
      <c r="F13" s="1">
        <v>31596</v>
      </c>
      <c r="G13" s="1">
        <v>141360</v>
      </c>
      <c r="I13" s="1">
        <v>514</v>
      </c>
      <c r="J13" s="1">
        <v>1341</v>
      </c>
      <c r="K13" s="1">
        <v>1900</v>
      </c>
      <c r="L13" s="1">
        <v>2559</v>
      </c>
      <c r="M13" s="1">
        <v>6314</v>
      </c>
      <c r="Q13" s="1" t="s">
        <v>2</v>
      </c>
      <c r="R13" s="1">
        <f>SUMIF($A$3:$A$64,R$3,$K$3:$K$64)</f>
        <v>4546</v>
      </c>
      <c r="S13" s="1">
        <f t="shared" ref="S13:Z13" si="7">SUMIF($A$3:$A$64,S$3,$K$3:$K$64)</f>
        <v>9332</v>
      </c>
      <c r="T13" s="1">
        <f t="shared" si="7"/>
        <v>37983</v>
      </c>
      <c r="U13" s="1">
        <f t="shared" si="7"/>
        <v>1361</v>
      </c>
      <c r="V13" s="1">
        <f t="shared" si="7"/>
        <v>17948</v>
      </c>
      <c r="W13" s="1">
        <f t="shared" si="7"/>
        <v>66610</v>
      </c>
      <c r="X13" s="1">
        <f t="shared" si="7"/>
        <v>19240</v>
      </c>
      <c r="Y13" s="1">
        <f t="shared" si="7"/>
        <v>43961</v>
      </c>
      <c r="Z13" s="1">
        <f t="shared" si="7"/>
        <v>58031</v>
      </c>
    </row>
    <row r="14" spans="1:26" x14ac:dyDescent="0.25">
      <c r="A14" s="1" t="str">
        <f>VLOOKUP($B14,Concordance!$E$2:$F$63,2,)</f>
        <v>Manufacturing</v>
      </c>
      <c r="B14" s="1" t="s">
        <v>18</v>
      </c>
      <c r="C14" s="1">
        <v>94</v>
      </c>
      <c r="D14" s="1">
        <v>1125</v>
      </c>
      <c r="E14" s="1">
        <v>9056</v>
      </c>
      <c r="F14" s="1">
        <v>3307</v>
      </c>
      <c r="G14" s="1">
        <v>13582</v>
      </c>
      <c r="I14" s="1">
        <v>4</v>
      </c>
      <c r="J14" s="1">
        <v>166</v>
      </c>
      <c r="K14" s="1">
        <v>654</v>
      </c>
      <c r="L14" s="1">
        <v>261</v>
      </c>
      <c r="M14" s="1">
        <v>1085</v>
      </c>
      <c r="Q14" s="1" t="s">
        <v>3</v>
      </c>
      <c r="R14" s="1">
        <f>SUMIF($A$3:$A$64,R$3,$L$3:$L$64)</f>
        <v>7792</v>
      </c>
      <c r="S14" s="1">
        <f t="shared" ref="S14:Z14" si="8">SUMIF($A$3:$A$64,S$3,$L$3:$L$64)</f>
        <v>17777</v>
      </c>
      <c r="T14" s="1">
        <f t="shared" si="8"/>
        <v>75417</v>
      </c>
      <c r="U14" s="1">
        <f t="shared" si="8"/>
        <v>8183</v>
      </c>
      <c r="V14" s="1">
        <f t="shared" si="8"/>
        <v>28694</v>
      </c>
      <c r="W14" s="1">
        <f t="shared" si="8"/>
        <v>90258</v>
      </c>
      <c r="X14" s="1">
        <f t="shared" si="8"/>
        <v>41309</v>
      </c>
      <c r="Y14" s="1">
        <f t="shared" si="8"/>
        <v>148604</v>
      </c>
      <c r="Z14" s="1">
        <f t="shared" si="8"/>
        <v>261936</v>
      </c>
    </row>
    <row r="15" spans="1:26" x14ac:dyDescent="0.25">
      <c r="A15" s="1" t="str">
        <f>VLOOKUP($B15,Concordance!$E$2:$F$63,2,)</f>
        <v>Manufacturing</v>
      </c>
      <c r="B15" s="1" t="s">
        <v>19</v>
      </c>
      <c r="C15" s="1">
        <v>793</v>
      </c>
      <c r="D15" s="1">
        <v>2168</v>
      </c>
      <c r="E15" s="1">
        <v>4649</v>
      </c>
      <c r="F15" s="1">
        <v>5322</v>
      </c>
      <c r="G15" s="1">
        <v>12932</v>
      </c>
      <c r="I15" s="1">
        <v>20</v>
      </c>
      <c r="J15" s="1">
        <v>153</v>
      </c>
      <c r="K15" s="1">
        <v>224</v>
      </c>
      <c r="L15" s="1">
        <v>394</v>
      </c>
      <c r="M15" s="1">
        <v>791</v>
      </c>
      <c r="Q15" s="1" t="s">
        <v>88</v>
      </c>
      <c r="R15" s="1">
        <f>SUMIF($A$3:$A$64,R$3,$M$3:$M$64)</f>
        <v>21846</v>
      </c>
      <c r="S15" s="1">
        <f t="shared" ref="S15:Z15" si="9">SUMIF($A$3:$A$64,S$3,$M$3:$M$64)</f>
        <v>33648</v>
      </c>
      <c r="T15" s="1">
        <f t="shared" si="9"/>
        <v>137925</v>
      </c>
      <c r="U15" s="1">
        <f t="shared" si="9"/>
        <v>10364</v>
      </c>
      <c r="V15" s="1">
        <f t="shared" si="9"/>
        <v>62761</v>
      </c>
      <c r="W15" s="1">
        <f t="shared" si="9"/>
        <v>197237</v>
      </c>
      <c r="X15" s="1">
        <f t="shared" si="9"/>
        <v>72150</v>
      </c>
      <c r="Y15" s="1">
        <f t="shared" si="9"/>
        <v>204132</v>
      </c>
      <c r="Z15" s="1">
        <f t="shared" si="9"/>
        <v>357489</v>
      </c>
    </row>
    <row r="16" spans="1:26" x14ac:dyDescent="0.25">
      <c r="A16" s="1" t="str">
        <f>VLOOKUP($B16,Concordance!$E$2:$F$63,2,)</f>
        <v>Manufacturing</v>
      </c>
      <c r="B16" s="1" t="s">
        <v>20</v>
      </c>
      <c r="C16" s="1">
        <v>10145</v>
      </c>
      <c r="D16" s="1">
        <v>13734</v>
      </c>
      <c r="E16" s="1">
        <v>20822</v>
      </c>
      <c r="F16" s="1">
        <v>14328</v>
      </c>
      <c r="G16" s="1">
        <v>59029</v>
      </c>
      <c r="I16" s="1">
        <v>545</v>
      </c>
      <c r="J16" s="1">
        <v>1035</v>
      </c>
      <c r="K16" s="1">
        <v>1287</v>
      </c>
      <c r="L16" s="1">
        <v>1126</v>
      </c>
      <c r="M16" s="1">
        <v>3993</v>
      </c>
    </row>
    <row r="17" spans="1:13" x14ac:dyDescent="0.25">
      <c r="A17" s="1" t="str">
        <f>VLOOKUP($B17,Concordance!$E$2:$F$63,2,)</f>
        <v>Manufacturing</v>
      </c>
      <c r="B17" s="1" t="s">
        <v>21</v>
      </c>
      <c r="C17" s="1">
        <v>1777</v>
      </c>
      <c r="D17" s="1">
        <v>8964</v>
      </c>
      <c r="E17" s="1">
        <v>18321</v>
      </c>
      <c r="F17" s="1">
        <v>18796</v>
      </c>
      <c r="G17" s="1">
        <v>47858</v>
      </c>
      <c r="I17" s="1">
        <v>75</v>
      </c>
      <c r="J17" s="1">
        <v>369</v>
      </c>
      <c r="K17" s="1">
        <v>863</v>
      </c>
      <c r="L17" s="1">
        <v>2631</v>
      </c>
      <c r="M17" s="1">
        <v>3938</v>
      </c>
    </row>
    <row r="18" spans="1:13" x14ac:dyDescent="0.25">
      <c r="A18" s="1" t="str">
        <f>VLOOKUP($B18,Concordance!$E$2:$F$63,2,)</f>
        <v>Manufacturing</v>
      </c>
      <c r="B18" s="1" t="s">
        <v>22</v>
      </c>
      <c r="C18" s="1">
        <v>4517</v>
      </c>
      <c r="D18" s="1">
        <v>10763</v>
      </c>
      <c r="E18" s="1">
        <v>29054</v>
      </c>
      <c r="F18" s="1">
        <v>40274</v>
      </c>
      <c r="G18" s="1">
        <v>84608</v>
      </c>
      <c r="I18" s="1">
        <v>188</v>
      </c>
      <c r="J18" s="1">
        <v>596</v>
      </c>
      <c r="K18" s="1">
        <v>2266</v>
      </c>
      <c r="L18" s="1">
        <v>8675</v>
      </c>
      <c r="M18" s="1">
        <v>11725</v>
      </c>
    </row>
    <row r="19" spans="1:13" x14ac:dyDescent="0.25">
      <c r="A19" s="1" t="str">
        <f>VLOOKUP($B19,Concordance!$E$2:$F$63,2,)</f>
        <v>Manufacturing</v>
      </c>
      <c r="B19" s="1" t="s">
        <v>92</v>
      </c>
      <c r="C19" s="1">
        <v>918</v>
      </c>
      <c r="D19" s="1">
        <v>3814</v>
      </c>
      <c r="E19" s="1">
        <v>8233</v>
      </c>
      <c r="F19" s="1">
        <v>26295</v>
      </c>
      <c r="G19" s="1">
        <v>39260</v>
      </c>
      <c r="I19" s="1">
        <v>35</v>
      </c>
      <c r="J19" s="1">
        <v>281</v>
      </c>
      <c r="K19" s="1">
        <v>923</v>
      </c>
      <c r="L19" s="1">
        <v>5143</v>
      </c>
      <c r="M19" s="1">
        <v>6382</v>
      </c>
    </row>
    <row r="20" spans="1:13" x14ac:dyDescent="0.25">
      <c r="A20" s="1" t="str">
        <f>VLOOKUP($B20,Concordance!$E$2:$F$63,2,)</f>
        <v>Manufacturing</v>
      </c>
      <c r="B20" s="1" t="s">
        <v>27</v>
      </c>
      <c r="C20" s="1">
        <v>482</v>
      </c>
      <c r="D20" s="1">
        <v>1779</v>
      </c>
      <c r="E20" s="1">
        <v>8416</v>
      </c>
      <c r="F20" s="1">
        <v>6798</v>
      </c>
      <c r="G20" s="1">
        <v>17475</v>
      </c>
      <c r="I20" s="1">
        <v>5</v>
      </c>
      <c r="J20" s="1">
        <v>219</v>
      </c>
      <c r="K20" s="1">
        <v>794</v>
      </c>
      <c r="L20" s="1">
        <v>968</v>
      </c>
      <c r="M20" s="1">
        <v>1986</v>
      </c>
    </row>
    <row r="21" spans="1:13" x14ac:dyDescent="0.25">
      <c r="A21" s="1" t="str">
        <f>VLOOKUP($B21,Concordance!$E$2:$F$63,2,)</f>
        <v>Manufacturing</v>
      </c>
      <c r="B21" s="1" t="s">
        <v>28</v>
      </c>
      <c r="C21" s="1">
        <v>2985</v>
      </c>
      <c r="D21" s="1">
        <v>12418</v>
      </c>
      <c r="E21" s="1">
        <v>29269</v>
      </c>
      <c r="F21" s="1">
        <v>39421</v>
      </c>
      <c r="G21" s="1">
        <v>84093</v>
      </c>
      <c r="I21" s="1">
        <v>98</v>
      </c>
      <c r="J21" s="1">
        <v>418</v>
      </c>
      <c r="K21" s="1">
        <v>1338</v>
      </c>
      <c r="L21" s="1">
        <v>4285</v>
      </c>
      <c r="M21" s="1">
        <v>6139</v>
      </c>
    </row>
    <row r="22" spans="1:13" x14ac:dyDescent="0.25">
      <c r="A22" s="1" t="str">
        <f>VLOOKUP($B22,Concordance!$E$2:$F$63,2,)</f>
        <v>Manufacturing</v>
      </c>
      <c r="B22" s="1" t="s">
        <v>29</v>
      </c>
      <c r="C22" s="1">
        <v>1203</v>
      </c>
      <c r="D22" s="1">
        <v>3225</v>
      </c>
      <c r="E22" s="1">
        <v>7387</v>
      </c>
      <c r="F22" s="1">
        <v>7332</v>
      </c>
      <c r="G22" s="1">
        <v>19147</v>
      </c>
      <c r="I22" s="1">
        <v>50</v>
      </c>
      <c r="J22" s="1">
        <v>291</v>
      </c>
      <c r="K22" s="1">
        <v>772</v>
      </c>
      <c r="L22" s="1">
        <v>717</v>
      </c>
      <c r="M22" s="1">
        <v>1830</v>
      </c>
    </row>
    <row r="23" spans="1:13" x14ac:dyDescent="0.25">
      <c r="A23" s="1" t="str">
        <f>VLOOKUP($B23,Concordance!$E$2:$F$63,2,)</f>
        <v>Manufacturing</v>
      </c>
      <c r="B23" s="1" t="s">
        <v>30</v>
      </c>
      <c r="C23" s="1">
        <v>1901</v>
      </c>
      <c r="D23" s="1">
        <v>10699</v>
      </c>
      <c r="E23" s="1">
        <v>19345</v>
      </c>
      <c r="F23" s="1">
        <v>11936</v>
      </c>
      <c r="G23" s="1">
        <v>43881</v>
      </c>
      <c r="I23" s="1">
        <v>47</v>
      </c>
      <c r="J23" s="1">
        <v>438</v>
      </c>
      <c r="K23" s="1">
        <v>967</v>
      </c>
      <c r="L23" s="1">
        <v>1021</v>
      </c>
      <c r="M23" s="1">
        <v>2473</v>
      </c>
    </row>
    <row r="24" spans="1:13" x14ac:dyDescent="0.25">
      <c r="A24" s="1" t="str">
        <f>VLOOKUP($B24,Concordance!$E$2:$F$63,2,)</f>
        <v>Manufacturing</v>
      </c>
      <c r="B24" s="1" t="s">
        <v>93</v>
      </c>
      <c r="C24" s="1">
        <v>544</v>
      </c>
      <c r="D24" s="1">
        <v>2012</v>
      </c>
      <c r="E24" s="1">
        <v>9587</v>
      </c>
      <c r="F24" s="1">
        <v>4247</v>
      </c>
      <c r="G24" s="1">
        <v>16390</v>
      </c>
      <c r="I24" s="1">
        <v>12</v>
      </c>
      <c r="J24" s="1">
        <v>130</v>
      </c>
      <c r="K24" s="1">
        <v>633</v>
      </c>
      <c r="L24" s="1">
        <v>358</v>
      </c>
      <c r="M24" s="1">
        <v>1133</v>
      </c>
    </row>
    <row r="25" spans="1:13" x14ac:dyDescent="0.25">
      <c r="A25" s="1" t="str">
        <f>VLOOKUP($B25,Concordance!$E$2:$F$63,2,)</f>
        <v>Manufacturing</v>
      </c>
      <c r="B25" s="1" t="s">
        <v>94</v>
      </c>
      <c r="C25" s="1">
        <v>14268</v>
      </c>
      <c r="D25" s="1">
        <v>22499</v>
      </c>
      <c r="E25" s="1">
        <v>19054</v>
      </c>
      <c r="F25" s="1">
        <v>17886</v>
      </c>
      <c r="G25" s="1">
        <v>73707</v>
      </c>
      <c r="I25" s="1">
        <v>476</v>
      </c>
      <c r="J25" s="1">
        <v>718</v>
      </c>
      <c r="K25" s="1">
        <v>960</v>
      </c>
      <c r="L25" s="1">
        <v>1607</v>
      </c>
      <c r="M25" s="1">
        <v>3761</v>
      </c>
    </row>
    <row r="26" spans="1:13" x14ac:dyDescent="0.25">
      <c r="A26" s="1" t="str">
        <f>VLOOKUP($B26,Concordance!$E$2:$F$63,2,)</f>
        <v>Manufacturing</v>
      </c>
      <c r="B26" s="1" t="s">
        <v>95</v>
      </c>
      <c r="C26" s="1">
        <v>12601</v>
      </c>
      <c r="D26" s="1">
        <v>19751</v>
      </c>
      <c r="E26" s="1">
        <v>35223</v>
      </c>
      <c r="F26" s="1">
        <v>42416</v>
      </c>
      <c r="G26" s="1">
        <v>109991</v>
      </c>
      <c r="I26" s="1">
        <v>600</v>
      </c>
      <c r="J26" s="1">
        <v>3908</v>
      </c>
      <c r="K26" s="1">
        <v>4677</v>
      </c>
      <c r="L26" s="1">
        <v>4502</v>
      </c>
      <c r="M26" s="1">
        <v>13687</v>
      </c>
    </row>
    <row r="27" spans="1:13" x14ac:dyDescent="0.25">
      <c r="A27" s="1" t="str">
        <f>VLOOKUP($B27,Concordance!$E$2:$F$63,2,)</f>
        <v>Manufacturing</v>
      </c>
      <c r="B27" s="1" t="s">
        <v>96</v>
      </c>
      <c r="C27" s="1">
        <v>1072</v>
      </c>
      <c r="D27" s="1">
        <v>2157</v>
      </c>
      <c r="E27" s="1">
        <v>6559</v>
      </c>
      <c r="F27" s="1">
        <v>8616</v>
      </c>
      <c r="G27" s="1">
        <v>18404</v>
      </c>
      <c r="I27" s="1">
        <v>22</v>
      </c>
      <c r="J27" s="1">
        <v>117</v>
      </c>
      <c r="K27" s="1">
        <v>376</v>
      </c>
      <c r="L27" s="1">
        <v>1303</v>
      </c>
      <c r="M27" s="1">
        <v>1818</v>
      </c>
    </row>
    <row r="28" spans="1:13" x14ac:dyDescent="0.25">
      <c r="A28" s="1" t="str">
        <f>VLOOKUP($B28,Concordance!$E$2:$F$63,2,)</f>
        <v>Manufacturing</v>
      </c>
      <c r="B28" s="1" t="s">
        <v>97</v>
      </c>
      <c r="C28" s="1">
        <v>18278</v>
      </c>
      <c r="D28" s="1">
        <v>40226</v>
      </c>
      <c r="E28" s="1">
        <v>61679</v>
      </c>
      <c r="F28" s="1">
        <v>44294</v>
      </c>
      <c r="G28" s="1">
        <v>164477</v>
      </c>
      <c r="I28" s="1">
        <v>718</v>
      </c>
      <c r="J28" s="1">
        <v>2196</v>
      </c>
      <c r="K28" s="1">
        <v>4186</v>
      </c>
      <c r="L28" s="1">
        <v>4649</v>
      </c>
      <c r="M28" s="1">
        <v>11749</v>
      </c>
    </row>
    <row r="29" spans="1:13" x14ac:dyDescent="0.25">
      <c r="A29" s="1" t="str">
        <f>VLOOKUP($B29,Concordance!$E$2:$F$63,2,)</f>
        <v>Manufacturing</v>
      </c>
      <c r="B29" s="1" t="s">
        <v>36</v>
      </c>
      <c r="C29" s="1">
        <v>6846</v>
      </c>
      <c r="D29" s="1">
        <v>14645</v>
      </c>
      <c r="E29" s="1">
        <v>34115</v>
      </c>
      <c r="F29" s="1">
        <v>51501</v>
      </c>
      <c r="G29" s="1">
        <v>107107</v>
      </c>
      <c r="I29" s="1">
        <v>250</v>
      </c>
      <c r="J29" s="1">
        <v>834</v>
      </c>
      <c r="K29" s="1">
        <v>2372</v>
      </c>
      <c r="L29" s="1">
        <v>7439</v>
      </c>
      <c r="M29" s="1">
        <v>10895</v>
      </c>
    </row>
    <row r="30" spans="1:13" x14ac:dyDescent="0.25">
      <c r="A30" s="1" t="str">
        <f>VLOOKUP($B30,Concordance!$E$2:$F$63,2,)</f>
        <v>Manufacturing</v>
      </c>
      <c r="B30" s="1" t="s">
        <v>37</v>
      </c>
      <c r="C30" s="1">
        <v>2004</v>
      </c>
      <c r="D30" s="1">
        <v>5179</v>
      </c>
      <c r="E30" s="1">
        <v>10593</v>
      </c>
      <c r="F30" s="1">
        <v>12939</v>
      </c>
      <c r="G30" s="1">
        <v>30715</v>
      </c>
      <c r="I30" s="1">
        <v>183</v>
      </c>
      <c r="J30" s="1">
        <v>599</v>
      </c>
      <c r="K30" s="1">
        <v>693</v>
      </c>
      <c r="L30" s="1">
        <v>1541</v>
      </c>
      <c r="M30" s="1">
        <v>3016</v>
      </c>
    </row>
    <row r="31" spans="1:13" x14ac:dyDescent="0.25">
      <c r="A31" s="1" t="str">
        <f>VLOOKUP($B31,Concordance!$E$2:$F$63,2,)</f>
        <v>Manufacturing</v>
      </c>
      <c r="B31" s="1" t="s">
        <v>98</v>
      </c>
      <c r="C31" s="1">
        <v>83</v>
      </c>
      <c r="D31" s="1">
        <v>1718</v>
      </c>
      <c r="E31" s="1">
        <v>520</v>
      </c>
      <c r="F31" s="1">
        <v>2597</v>
      </c>
      <c r="G31" s="1">
        <v>4918</v>
      </c>
      <c r="I31" s="1">
        <v>2</v>
      </c>
      <c r="J31" s="1">
        <v>136</v>
      </c>
      <c r="K31" s="1">
        <v>31</v>
      </c>
      <c r="L31" s="1">
        <v>371</v>
      </c>
      <c r="M31" s="1">
        <v>540</v>
      </c>
    </row>
    <row r="32" spans="1:13" x14ac:dyDescent="0.25">
      <c r="A32" s="1" t="str">
        <f>VLOOKUP($B32,Concordance!$E$2:$F$63,2,)</f>
        <v>Manufacturing</v>
      </c>
      <c r="B32" s="1" t="s">
        <v>99</v>
      </c>
      <c r="C32" s="1">
        <v>91</v>
      </c>
      <c r="D32" s="1">
        <v>2185</v>
      </c>
      <c r="E32" s="1">
        <v>5364</v>
      </c>
      <c r="F32" s="1">
        <v>10544</v>
      </c>
      <c r="G32" s="1">
        <v>18184</v>
      </c>
      <c r="I32" s="1">
        <v>0</v>
      </c>
      <c r="J32" s="1">
        <v>78</v>
      </c>
      <c r="K32" s="1">
        <v>389</v>
      </c>
      <c r="L32" s="1">
        <v>1355</v>
      </c>
      <c r="M32" s="1">
        <v>1822</v>
      </c>
    </row>
    <row r="33" spans="1:13" x14ac:dyDescent="0.25">
      <c r="A33" s="1" t="str">
        <f>VLOOKUP($B33,Concordance!$E$2:$F$63,2,)</f>
        <v>Manufacturing</v>
      </c>
      <c r="B33" s="1" t="s">
        <v>100</v>
      </c>
      <c r="C33" s="1">
        <v>4068</v>
      </c>
      <c r="D33" s="1">
        <v>14023</v>
      </c>
      <c r="E33" s="1">
        <v>38685</v>
      </c>
      <c r="F33" s="1">
        <v>54482</v>
      </c>
      <c r="G33" s="1">
        <v>111258</v>
      </c>
      <c r="I33" s="1">
        <v>194</v>
      </c>
      <c r="J33" s="1">
        <v>715</v>
      </c>
      <c r="K33" s="1">
        <v>2155</v>
      </c>
      <c r="L33" s="1">
        <v>7332</v>
      </c>
      <c r="M33" s="1">
        <v>10396</v>
      </c>
    </row>
    <row r="34" spans="1:13" x14ac:dyDescent="0.25">
      <c r="A34" s="1" t="str">
        <f>VLOOKUP($B34,Concordance!$E$2:$F$63,2,)</f>
        <v>Manufacturing</v>
      </c>
      <c r="B34" s="1" t="s">
        <v>101</v>
      </c>
      <c r="D34" s="1">
        <v>2894</v>
      </c>
      <c r="E34" s="1">
        <v>5205</v>
      </c>
      <c r="F34" s="1">
        <v>7369</v>
      </c>
      <c r="G34" s="1">
        <v>15468</v>
      </c>
      <c r="J34" s="1">
        <v>238</v>
      </c>
      <c r="K34" s="1">
        <v>358</v>
      </c>
      <c r="L34" s="1">
        <v>981</v>
      </c>
      <c r="M34" s="1">
        <v>1577</v>
      </c>
    </row>
    <row r="35" spans="1:13" x14ac:dyDescent="0.25">
      <c r="A35" s="1" t="str">
        <f>VLOOKUP($B35,Concordance!$E$2:$F$63,2,)</f>
        <v>Manufacturing</v>
      </c>
      <c r="B35" s="1" t="s">
        <v>41</v>
      </c>
      <c r="C35" s="1">
        <v>7076</v>
      </c>
      <c r="D35" s="1">
        <v>9129</v>
      </c>
      <c r="E35" s="1">
        <v>20423</v>
      </c>
      <c r="F35" s="1">
        <v>8353</v>
      </c>
      <c r="G35" s="1">
        <v>44981</v>
      </c>
      <c r="I35" s="1">
        <v>241</v>
      </c>
      <c r="J35" s="1">
        <v>492</v>
      </c>
      <c r="K35" s="1">
        <v>933</v>
      </c>
      <c r="L35" s="1">
        <v>406</v>
      </c>
      <c r="M35" s="1">
        <v>2072</v>
      </c>
    </row>
    <row r="36" spans="1:13" x14ac:dyDescent="0.25">
      <c r="A36" s="1" t="str">
        <f>VLOOKUP($B36,Concordance!$E$2:$F$63,2,)</f>
        <v>Manufacturing</v>
      </c>
      <c r="B36" s="1" t="s">
        <v>102</v>
      </c>
      <c r="C36" s="1">
        <v>4611</v>
      </c>
      <c r="D36" s="1">
        <v>2964</v>
      </c>
      <c r="E36" s="1">
        <v>11357</v>
      </c>
      <c r="F36" s="1">
        <v>9312</v>
      </c>
      <c r="G36" s="1">
        <v>28244</v>
      </c>
      <c r="I36" s="1">
        <v>75</v>
      </c>
      <c r="J36" s="1">
        <v>222</v>
      </c>
      <c r="K36" s="1">
        <v>627</v>
      </c>
      <c r="L36" s="1">
        <v>863</v>
      </c>
      <c r="M36" s="1">
        <v>1787</v>
      </c>
    </row>
    <row r="37" spans="1:13" x14ac:dyDescent="0.25">
      <c r="A37" s="1" t="str">
        <f>VLOOKUP($B37,Concordance!$E$2:$F$63,2,)</f>
        <v>EGW</v>
      </c>
      <c r="B37" s="1" t="s">
        <v>103</v>
      </c>
      <c r="C37" s="1">
        <v>3339</v>
      </c>
      <c r="D37" s="1">
        <v>4471</v>
      </c>
      <c r="E37" s="1">
        <v>13900</v>
      </c>
      <c r="F37" s="1">
        <v>48690</v>
      </c>
      <c r="G37" s="1">
        <v>70400</v>
      </c>
      <c r="I37" s="1">
        <v>142</v>
      </c>
      <c r="J37" s="1">
        <v>167</v>
      </c>
      <c r="K37" s="1">
        <v>845</v>
      </c>
      <c r="L37" s="1">
        <v>6868</v>
      </c>
      <c r="M37" s="1">
        <v>8022</v>
      </c>
    </row>
    <row r="38" spans="1:13" x14ac:dyDescent="0.25">
      <c r="A38" s="1" t="str">
        <f>VLOOKUP($B38,Concordance!$E$2:$F$63,2,)</f>
        <v>EGW</v>
      </c>
      <c r="B38" s="1" t="s">
        <v>104</v>
      </c>
      <c r="C38" s="1">
        <v>6028</v>
      </c>
      <c r="D38" s="1">
        <v>5923</v>
      </c>
      <c r="E38" s="1">
        <v>7547</v>
      </c>
      <c r="F38" s="1">
        <v>8915</v>
      </c>
      <c r="G38" s="1">
        <v>28413</v>
      </c>
      <c r="I38" s="1">
        <v>240</v>
      </c>
      <c r="J38" s="1">
        <v>271</v>
      </c>
      <c r="K38" s="1">
        <v>516</v>
      </c>
      <c r="L38" s="1">
        <v>1315</v>
      </c>
      <c r="M38" s="1">
        <v>2342</v>
      </c>
    </row>
    <row r="39" spans="1:13" x14ac:dyDescent="0.25">
      <c r="A39" s="1" t="str">
        <f>VLOOKUP($B39,Concordance!$E$2:$F$63,2,)</f>
        <v>Construction</v>
      </c>
      <c r="B39" s="1" t="s">
        <v>105</v>
      </c>
      <c r="C39" s="1">
        <v>216566</v>
      </c>
      <c r="D39" s="1">
        <v>266603</v>
      </c>
      <c r="E39" s="1">
        <v>318095</v>
      </c>
      <c r="F39" s="1">
        <v>233145</v>
      </c>
      <c r="G39" s="1">
        <v>1034409</v>
      </c>
      <c r="I39" s="1">
        <v>6155</v>
      </c>
      <c r="J39" s="1">
        <v>9964</v>
      </c>
      <c r="K39" s="1">
        <v>17948</v>
      </c>
      <c r="L39" s="1">
        <v>28694</v>
      </c>
      <c r="M39" s="1">
        <v>62761</v>
      </c>
    </row>
    <row r="40" spans="1:13" x14ac:dyDescent="0.25">
      <c r="A40" s="1" t="str">
        <f>VLOOKUP($B40,Concordance!$E$2:$F$63,2,)</f>
        <v>Trade</v>
      </c>
      <c r="B40" s="1" t="s">
        <v>106</v>
      </c>
      <c r="C40" s="1">
        <v>15912</v>
      </c>
      <c r="D40" s="1">
        <v>23845</v>
      </c>
      <c r="E40" s="1">
        <v>49982</v>
      </c>
      <c r="F40" s="1">
        <v>60830</v>
      </c>
      <c r="G40" s="1">
        <v>150569</v>
      </c>
      <c r="I40" s="1">
        <v>627</v>
      </c>
      <c r="J40" s="1">
        <v>1389</v>
      </c>
      <c r="K40" s="1">
        <v>3634</v>
      </c>
      <c r="L40" s="1">
        <v>9114</v>
      </c>
      <c r="M40" s="1">
        <v>14764</v>
      </c>
    </row>
    <row r="41" spans="1:13" x14ac:dyDescent="0.25">
      <c r="A41" s="1" t="str">
        <f>VLOOKUP($B41,Concordance!$E$2:$F$63,2,)</f>
        <v>Trade</v>
      </c>
      <c r="B41" s="1" t="s">
        <v>107</v>
      </c>
      <c r="C41" s="1">
        <v>244861</v>
      </c>
      <c r="D41" s="1">
        <v>381184</v>
      </c>
      <c r="E41" s="1">
        <v>673124</v>
      </c>
      <c r="F41" s="1">
        <v>543129</v>
      </c>
      <c r="G41" s="1">
        <v>1842298</v>
      </c>
      <c r="I41" s="1">
        <v>7842</v>
      </c>
      <c r="J41" s="1">
        <v>17601</v>
      </c>
      <c r="K41" s="1">
        <v>36514</v>
      </c>
      <c r="L41" s="1">
        <v>46993</v>
      </c>
      <c r="M41" s="1">
        <v>108950</v>
      </c>
    </row>
    <row r="42" spans="1:13" x14ac:dyDescent="0.25">
      <c r="A42" s="1" t="str">
        <f>VLOOKUP($B42,Concordance!$E$2:$F$63,2,)</f>
        <v>Trade</v>
      </c>
      <c r="B42" s="1" t="s">
        <v>108</v>
      </c>
      <c r="C42" s="1">
        <v>36643</v>
      </c>
      <c r="D42" s="1">
        <v>98428</v>
      </c>
      <c r="E42" s="1">
        <v>196443</v>
      </c>
      <c r="F42" s="1">
        <v>168343</v>
      </c>
      <c r="G42" s="1">
        <v>499857</v>
      </c>
      <c r="I42" s="1">
        <v>2044</v>
      </c>
      <c r="J42" s="1">
        <v>5539</v>
      </c>
      <c r="K42" s="1">
        <v>14957</v>
      </c>
      <c r="L42" s="1">
        <v>19554</v>
      </c>
      <c r="M42" s="1">
        <v>42094</v>
      </c>
    </row>
    <row r="43" spans="1:13" x14ac:dyDescent="0.25">
      <c r="A43" s="1" t="str">
        <f>VLOOKUP($B43,Concordance!$E$2:$F$63,2,)</f>
        <v>Trade</v>
      </c>
      <c r="B43" s="1" t="s">
        <v>109</v>
      </c>
      <c r="C43" s="1">
        <v>37342</v>
      </c>
      <c r="D43" s="1">
        <v>89181</v>
      </c>
      <c r="E43" s="1">
        <v>217954</v>
      </c>
      <c r="F43" s="1">
        <v>168519</v>
      </c>
      <c r="G43" s="1">
        <v>512996</v>
      </c>
      <c r="I43" s="1">
        <v>1279</v>
      </c>
      <c r="J43" s="1">
        <v>4048</v>
      </c>
      <c r="K43" s="1">
        <v>11505</v>
      </c>
      <c r="L43" s="1">
        <v>14597</v>
      </c>
      <c r="M43" s="1">
        <v>31429</v>
      </c>
    </row>
    <row r="44" spans="1:13" x14ac:dyDescent="0.25">
      <c r="A44" s="1" t="str">
        <f>VLOOKUP($B44,Concordance!$E$2:$F$63,2,)</f>
        <v>Transport</v>
      </c>
      <c r="B44" s="1" t="s">
        <v>110</v>
      </c>
      <c r="C44" s="1">
        <v>65519</v>
      </c>
      <c r="D44" s="1">
        <v>119933</v>
      </c>
      <c r="E44" s="1">
        <v>204945</v>
      </c>
      <c r="F44" s="1">
        <v>158401</v>
      </c>
      <c r="G44" s="1">
        <v>548798</v>
      </c>
      <c r="I44" s="1">
        <v>3015</v>
      </c>
      <c r="J44" s="1">
        <v>7254</v>
      </c>
      <c r="K44" s="1">
        <v>13428</v>
      </c>
      <c r="L44" s="1">
        <v>17871</v>
      </c>
      <c r="M44" s="1">
        <v>41568</v>
      </c>
    </row>
    <row r="45" spans="1:13" x14ac:dyDescent="0.25">
      <c r="A45" s="1" t="str">
        <f>VLOOKUP($B45,Concordance!$E$2:$F$63,2,)</f>
        <v>Transport</v>
      </c>
      <c r="B45" s="1" t="s">
        <v>111</v>
      </c>
      <c r="D45" s="1">
        <v>129</v>
      </c>
      <c r="E45" s="1">
        <v>2076</v>
      </c>
      <c r="F45" s="1">
        <v>3278</v>
      </c>
      <c r="G45" s="1">
        <v>5483</v>
      </c>
      <c r="J45" s="1">
        <v>1</v>
      </c>
      <c r="K45" s="1">
        <v>236</v>
      </c>
      <c r="L45" s="1">
        <v>485</v>
      </c>
      <c r="M45" s="1">
        <v>722</v>
      </c>
    </row>
    <row r="46" spans="1:13" x14ac:dyDescent="0.25">
      <c r="A46" s="1" t="str">
        <f>VLOOKUP($B46,Concordance!$E$2:$F$63,2,)</f>
        <v>Transport</v>
      </c>
      <c r="B46" s="1" t="s">
        <v>112</v>
      </c>
      <c r="C46" s="1">
        <v>2501</v>
      </c>
      <c r="D46" s="1">
        <v>1577</v>
      </c>
      <c r="E46" s="1">
        <v>11464</v>
      </c>
      <c r="F46" s="1">
        <v>21802</v>
      </c>
      <c r="G46" s="1">
        <v>37344</v>
      </c>
      <c r="I46" s="1">
        <v>76</v>
      </c>
      <c r="J46" s="1">
        <v>66</v>
      </c>
      <c r="K46" s="1">
        <v>796</v>
      </c>
      <c r="L46" s="1">
        <v>3251</v>
      </c>
      <c r="M46" s="1">
        <v>4189</v>
      </c>
    </row>
    <row r="47" spans="1:13" x14ac:dyDescent="0.25">
      <c r="A47" s="1" t="str">
        <f>VLOOKUP($B47,Concordance!$E$2:$F$63,2,)</f>
        <v>Transport</v>
      </c>
      <c r="B47" s="1" t="s">
        <v>56</v>
      </c>
      <c r="C47" s="1">
        <v>3701</v>
      </c>
      <c r="D47" s="1">
        <v>6699</v>
      </c>
      <c r="E47" s="1">
        <v>21197</v>
      </c>
      <c r="F47" s="1">
        <v>26051</v>
      </c>
      <c r="G47" s="1">
        <v>57648</v>
      </c>
      <c r="I47" s="1">
        <v>112</v>
      </c>
      <c r="J47" s="1">
        <v>253</v>
      </c>
      <c r="K47" s="1">
        <v>1370</v>
      </c>
      <c r="L47" s="1">
        <v>4006</v>
      </c>
      <c r="M47" s="1">
        <v>5741</v>
      </c>
    </row>
    <row r="48" spans="1:13" x14ac:dyDescent="0.25">
      <c r="A48" s="1" t="str">
        <f>VLOOKUP($B48,Concordance!$E$2:$F$63,2,)</f>
        <v>Transport</v>
      </c>
      <c r="B48" s="1" t="s">
        <v>113</v>
      </c>
      <c r="C48" s="1">
        <v>4216</v>
      </c>
      <c r="D48" s="1">
        <v>15111</v>
      </c>
      <c r="E48" s="1">
        <v>52427</v>
      </c>
      <c r="F48" s="1">
        <v>93158</v>
      </c>
      <c r="G48" s="1">
        <v>164912</v>
      </c>
      <c r="I48" s="1">
        <v>143</v>
      </c>
      <c r="J48" s="1">
        <v>681</v>
      </c>
      <c r="K48" s="1">
        <v>3410</v>
      </c>
      <c r="L48" s="1">
        <v>15696</v>
      </c>
      <c r="M48" s="1">
        <v>19930</v>
      </c>
    </row>
    <row r="49" spans="1:13" x14ac:dyDescent="0.25">
      <c r="A49" s="1" t="str">
        <f>VLOOKUP($B49,Concordance!$E$2:$F$63,2,)</f>
        <v>Finance</v>
      </c>
      <c r="B49" s="1" t="s">
        <v>114</v>
      </c>
      <c r="C49" s="1">
        <v>2107</v>
      </c>
      <c r="D49" s="1">
        <v>7676</v>
      </c>
      <c r="E49" s="1">
        <v>48368</v>
      </c>
      <c r="F49" s="1">
        <v>157707</v>
      </c>
      <c r="G49" s="1">
        <v>215858</v>
      </c>
      <c r="I49" s="1">
        <v>412</v>
      </c>
      <c r="J49" s="1">
        <v>319</v>
      </c>
      <c r="K49" s="1">
        <v>5688</v>
      </c>
      <c r="L49" s="1">
        <v>32518</v>
      </c>
      <c r="M49" s="1">
        <v>38937</v>
      </c>
    </row>
    <row r="50" spans="1:13" x14ac:dyDescent="0.25">
      <c r="A50" s="1" t="str">
        <f>VLOOKUP($B50,Concordance!$E$2:$F$63,2,)</f>
        <v>Finance</v>
      </c>
      <c r="B50" s="1" t="s">
        <v>115</v>
      </c>
      <c r="C50" s="1">
        <v>387</v>
      </c>
      <c r="D50" s="1">
        <v>3629</v>
      </c>
      <c r="E50" s="1">
        <v>27492</v>
      </c>
      <c r="F50" s="1">
        <v>72798</v>
      </c>
      <c r="G50" s="1">
        <v>104306</v>
      </c>
      <c r="I50" s="1">
        <v>19</v>
      </c>
      <c r="J50" s="1">
        <v>161</v>
      </c>
      <c r="K50" s="1">
        <v>2756</v>
      </c>
      <c r="L50" s="1">
        <v>11288</v>
      </c>
      <c r="M50" s="1">
        <v>14224</v>
      </c>
    </row>
    <row r="51" spans="1:13" x14ac:dyDescent="0.25">
      <c r="A51" s="1" t="str">
        <f>VLOOKUP($B51,Concordance!$E$2:$F$63,2,)</f>
        <v>Finance</v>
      </c>
      <c r="B51" s="1" t="s">
        <v>116</v>
      </c>
      <c r="C51" s="1">
        <v>206</v>
      </c>
      <c r="D51" s="1">
        <v>330</v>
      </c>
      <c r="E51" s="1">
        <v>4431</v>
      </c>
      <c r="F51" s="1">
        <v>12226</v>
      </c>
      <c r="G51" s="1">
        <v>17193</v>
      </c>
      <c r="I51" s="1">
        <v>3</v>
      </c>
      <c r="J51" s="1">
        <v>4</v>
      </c>
      <c r="K51" s="1">
        <v>2139</v>
      </c>
      <c r="L51" s="1">
        <v>3404</v>
      </c>
      <c r="M51" s="1">
        <v>5550</v>
      </c>
    </row>
    <row r="52" spans="1:13" x14ac:dyDescent="0.25">
      <c r="A52" s="1" t="str">
        <f>VLOOKUP($B52,Concordance!$E$2:$F$63,2,)</f>
        <v>Finance</v>
      </c>
      <c r="B52" s="1" t="s">
        <v>117</v>
      </c>
      <c r="C52" s="1">
        <v>4429</v>
      </c>
      <c r="D52" s="1">
        <v>11482</v>
      </c>
      <c r="E52" s="1">
        <v>26332</v>
      </c>
      <c r="F52" s="1">
        <v>46126</v>
      </c>
      <c r="G52" s="1">
        <v>88369</v>
      </c>
      <c r="I52" s="1">
        <v>125</v>
      </c>
      <c r="J52" s="1">
        <v>333</v>
      </c>
      <c r="K52" s="1">
        <v>2315</v>
      </c>
      <c r="L52" s="1">
        <v>7481</v>
      </c>
      <c r="M52" s="1">
        <v>10254</v>
      </c>
    </row>
    <row r="53" spans="1:13" x14ac:dyDescent="0.25">
      <c r="A53" s="1" t="str">
        <f>VLOOKUP($B53,Concordance!$E$2:$F$63,2,)</f>
        <v>Finance</v>
      </c>
      <c r="B53" s="1" t="s">
        <v>118</v>
      </c>
      <c r="C53" s="1">
        <v>2189</v>
      </c>
      <c r="D53" s="1">
        <v>6904</v>
      </c>
      <c r="E53" s="1">
        <v>15166</v>
      </c>
      <c r="F53" s="1">
        <v>22087</v>
      </c>
      <c r="G53" s="1">
        <v>46346</v>
      </c>
      <c r="I53" s="1">
        <v>77</v>
      </c>
      <c r="J53" s="1">
        <v>467</v>
      </c>
      <c r="K53" s="1">
        <v>1391</v>
      </c>
      <c r="L53" s="1">
        <v>2594</v>
      </c>
      <c r="M53" s="1">
        <v>4529</v>
      </c>
    </row>
    <row r="54" spans="1:13" x14ac:dyDescent="0.25">
      <c r="A54" s="1" t="str">
        <f>VLOOKUP($B54,Concordance!$E$2:$F$63,2,)</f>
        <v>Finance</v>
      </c>
      <c r="B54" s="1" t="s">
        <v>119</v>
      </c>
      <c r="C54" s="1">
        <v>2023</v>
      </c>
      <c r="D54" s="1">
        <v>5350</v>
      </c>
      <c r="E54" s="1">
        <v>21531</v>
      </c>
      <c r="F54" s="1">
        <v>74816</v>
      </c>
      <c r="G54" s="1">
        <v>103720</v>
      </c>
      <c r="I54" s="1">
        <v>85</v>
      </c>
      <c r="J54" s="1">
        <v>234</v>
      </c>
      <c r="K54" s="1">
        <v>1799</v>
      </c>
      <c r="L54" s="1">
        <v>16232</v>
      </c>
      <c r="M54" s="1">
        <v>18350</v>
      </c>
    </row>
    <row r="55" spans="1:13" x14ac:dyDescent="0.25">
      <c r="A55" s="1" t="str">
        <f>VLOOKUP($B55,Concordance!$E$2:$F$63,2,)</f>
        <v>Finance</v>
      </c>
      <c r="B55" s="1" t="s">
        <v>120</v>
      </c>
      <c r="C55" s="1">
        <v>576</v>
      </c>
      <c r="D55" s="1">
        <v>2072</v>
      </c>
      <c r="E55" s="1">
        <v>2511</v>
      </c>
      <c r="F55" s="1">
        <v>15298</v>
      </c>
      <c r="G55" s="1">
        <v>20457</v>
      </c>
      <c r="I55" s="1">
        <v>3</v>
      </c>
      <c r="J55" s="1">
        <v>347</v>
      </c>
      <c r="K55" s="1">
        <v>151</v>
      </c>
      <c r="L55" s="1">
        <v>2759</v>
      </c>
      <c r="M55" s="1">
        <v>3260</v>
      </c>
    </row>
    <row r="56" spans="1:13" x14ac:dyDescent="0.25">
      <c r="A56" s="1" t="str">
        <f>VLOOKUP($B56,Concordance!$E$2:$F$63,2,)</f>
        <v>Finance</v>
      </c>
      <c r="B56" s="1" t="s">
        <v>121</v>
      </c>
      <c r="C56" s="1">
        <v>65996</v>
      </c>
      <c r="D56" s="1">
        <v>172458</v>
      </c>
      <c r="E56" s="1">
        <v>461677</v>
      </c>
      <c r="F56" s="1">
        <v>501122</v>
      </c>
      <c r="G56" s="1">
        <v>1201253</v>
      </c>
      <c r="I56" s="1">
        <v>2205</v>
      </c>
      <c r="J56" s="1">
        <v>6773</v>
      </c>
      <c r="K56" s="1">
        <v>27722</v>
      </c>
      <c r="L56" s="1">
        <v>72328</v>
      </c>
      <c r="M56" s="1">
        <v>109028</v>
      </c>
    </row>
    <row r="57" spans="1:13" x14ac:dyDescent="0.25">
      <c r="A57" s="1" t="str">
        <f>VLOOKUP($B57,Concordance!$E$2:$F$63,2,)</f>
        <v>Other</v>
      </c>
      <c r="B57" s="1" t="s">
        <v>122</v>
      </c>
      <c r="C57" s="1">
        <v>41453</v>
      </c>
      <c r="D57" s="1">
        <v>69475</v>
      </c>
      <c r="E57" s="1">
        <v>230476</v>
      </c>
      <c r="F57" s="1">
        <v>495911</v>
      </c>
      <c r="G57" s="1">
        <v>837315</v>
      </c>
      <c r="I57" s="1">
        <v>2185</v>
      </c>
      <c r="J57" s="1">
        <v>4513</v>
      </c>
      <c r="K57" s="1">
        <v>24865</v>
      </c>
      <c r="L57" s="1">
        <v>71257</v>
      </c>
      <c r="M57" s="1">
        <v>102820</v>
      </c>
    </row>
    <row r="58" spans="1:13" x14ac:dyDescent="0.25">
      <c r="A58" s="1" t="str">
        <f>VLOOKUP($B58,Concordance!$E$2:$F$63,2,)</f>
        <v>Other</v>
      </c>
      <c r="B58" s="1" t="s">
        <v>123</v>
      </c>
      <c r="C58" s="1">
        <v>44267</v>
      </c>
      <c r="D58" s="1">
        <v>52915</v>
      </c>
      <c r="E58" s="1">
        <v>131896</v>
      </c>
      <c r="F58" s="1">
        <v>654656</v>
      </c>
      <c r="G58" s="1">
        <v>883734</v>
      </c>
      <c r="I58" s="1">
        <v>1144</v>
      </c>
      <c r="J58" s="1">
        <v>1925</v>
      </c>
      <c r="K58" s="1">
        <v>7860</v>
      </c>
      <c r="L58" s="1">
        <v>94497</v>
      </c>
      <c r="M58" s="1">
        <v>105426</v>
      </c>
    </row>
    <row r="59" spans="1:13" x14ac:dyDescent="0.25">
      <c r="A59" s="1" t="str">
        <f>VLOOKUP($B59,Concordance!$E$2:$F$63,2,)</f>
        <v>Other</v>
      </c>
      <c r="B59" s="1" t="s">
        <v>124</v>
      </c>
      <c r="C59" s="1">
        <v>49007</v>
      </c>
      <c r="D59" s="1">
        <v>83038</v>
      </c>
      <c r="E59" s="1">
        <v>217569</v>
      </c>
      <c r="F59" s="1">
        <v>456500</v>
      </c>
      <c r="G59" s="1">
        <v>806114</v>
      </c>
      <c r="I59" s="1">
        <v>1744</v>
      </c>
      <c r="J59" s="1">
        <v>3970</v>
      </c>
      <c r="K59" s="1">
        <v>11373</v>
      </c>
      <c r="L59" s="1">
        <v>66495</v>
      </c>
      <c r="M59" s="1">
        <v>83582</v>
      </c>
    </row>
    <row r="60" spans="1:13" x14ac:dyDescent="0.25">
      <c r="A60" s="1" t="str">
        <f>VLOOKUP($B60,Concordance!$E$2:$F$63,2,)</f>
        <v>Other</v>
      </c>
      <c r="B60" s="1" t="s">
        <v>125</v>
      </c>
      <c r="C60" s="1">
        <v>5377</v>
      </c>
      <c r="D60" s="1">
        <v>5126</v>
      </c>
      <c r="E60" s="1">
        <v>10713</v>
      </c>
      <c r="F60" s="1">
        <v>10256</v>
      </c>
      <c r="G60" s="1">
        <v>31472</v>
      </c>
      <c r="I60" s="1">
        <v>123</v>
      </c>
      <c r="J60" s="1">
        <v>177</v>
      </c>
      <c r="K60" s="1">
        <v>533</v>
      </c>
      <c r="L60" s="1">
        <v>1147</v>
      </c>
      <c r="M60" s="1">
        <v>1980</v>
      </c>
    </row>
    <row r="61" spans="1:13" x14ac:dyDescent="0.25">
      <c r="A61" s="1" t="str">
        <f>VLOOKUP($B61,Concordance!$E$2:$F$63,2,)</f>
        <v>Other</v>
      </c>
      <c r="B61" s="1" t="s">
        <v>126</v>
      </c>
      <c r="C61" s="1">
        <v>3390</v>
      </c>
      <c r="D61" s="1">
        <v>6705</v>
      </c>
      <c r="E61" s="1">
        <v>12349</v>
      </c>
      <c r="F61" s="1">
        <v>50904</v>
      </c>
      <c r="G61" s="1">
        <v>73348</v>
      </c>
      <c r="I61" s="1">
        <v>115</v>
      </c>
      <c r="J61" s="1">
        <v>312</v>
      </c>
      <c r="K61" s="1">
        <v>805</v>
      </c>
      <c r="L61" s="1">
        <v>10867</v>
      </c>
      <c r="M61" s="1">
        <v>12099</v>
      </c>
    </row>
    <row r="62" spans="1:13" x14ac:dyDescent="0.25">
      <c r="A62" s="1" t="str">
        <f>VLOOKUP($B62,Concordance!$E$2:$F$63,2,)</f>
        <v>Other</v>
      </c>
      <c r="B62" s="1" t="s">
        <v>127</v>
      </c>
      <c r="C62" s="1">
        <v>7331</v>
      </c>
      <c r="D62" s="1">
        <v>11338</v>
      </c>
      <c r="E62" s="1">
        <v>39109</v>
      </c>
      <c r="F62" s="1">
        <v>74437</v>
      </c>
      <c r="G62" s="1">
        <v>132215</v>
      </c>
      <c r="I62" s="1">
        <v>288</v>
      </c>
      <c r="J62" s="1">
        <v>497</v>
      </c>
      <c r="K62" s="1">
        <v>2275</v>
      </c>
      <c r="L62" s="1">
        <v>10884</v>
      </c>
      <c r="M62" s="1">
        <v>13944</v>
      </c>
    </row>
    <row r="63" spans="1:13" x14ac:dyDescent="0.25">
      <c r="A63" s="1" t="str">
        <f>VLOOKUP($B63,Concordance!$E$2:$F$63,2,)</f>
        <v>Other</v>
      </c>
      <c r="B63" s="1" t="s">
        <v>128</v>
      </c>
      <c r="C63" s="1">
        <v>39583</v>
      </c>
      <c r="D63" s="1">
        <v>70677</v>
      </c>
      <c r="E63" s="1">
        <v>105400</v>
      </c>
      <c r="F63" s="1">
        <v>63170</v>
      </c>
      <c r="G63" s="1">
        <v>278830</v>
      </c>
      <c r="I63" s="1">
        <v>866</v>
      </c>
      <c r="J63" s="1">
        <v>3006</v>
      </c>
      <c r="K63" s="1">
        <v>4980</v>
      </c>
      <c r="L63" s="1">
        <v>4559</v>
      </c>
      <c r="M63" s="1">
        <v>13411</v>
      </c>
    </row>
    <row r="64" spans="1:13" x14ac:dyDescent="0.25">
      <c r="A64" s="1" t="str">
        <f>VLOOKUP($B64,Concordance!$E$2:$F$63,2,)</f>
        <v>Other</v>
      </c>
      <c r="B64" s="1" t="s">
        <v>129</v>
      </c>
      <c r="C64" s="1">
        <v>366012</v>
      </c>
      <c r="D64" s="1">
        <v>390801</v>
      </c>
      <c r="E64" s="1">
        <v>289455</v>
      </c>
      <c r="F64" s="1">
        <v>92374</v>
      </c>
      <c r="G64" s="1">
        <v>1138642</v>
      </c>
      <c r="I64" s="1">
        <v>7594</v>
      </c>
      <c r="J64" s="1">
        <v>9063</v>
      </c>
      <c r="K64" s="1">
        <v>5340</v>
      </c>
      <c r="L64" s="1">
        <v>2230</v>
      </c>
      <c r="M64" s="1">
        <v>24227</v>
      </c>
    </row>
    <row r="65" spans="2:7" x14ac:dyDescent="0.25">
      <c r="B65" s="1" t="s">
        <v>88</v>
      </c>
      <c r="C65" s="1">
        <v>1764550</v>
      </c>
      <c r="D65" s="1">
        <v>2491463</v>
      </c>
      <c r="E65" s="1">
        <v>4263913</v>
      </c>
      <c r="F65" s="1">
        <v>5134953</v>
      </c>
      <c r="G65" s="1">
        <v>13654879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03986-2C97-4075-A14C-C63D02A92F6D}">
  <dimension ref="B1:F12"/>
  <sheetViews>
    <sheetView workbookViewId="0">
      <selection activeCell="D3" sqref="D3"/>
    </sheetView>
  </sheetViews>
  <sheetFormatPr defaultRowHeight="12" x14ac:dyDescent="0.25"/>
  <cols>
    <col min="1" max="1" width="9.140625" style="1"/>
    <col min="2" max="2" width="13.85546875" style="1" bestFit="1" customWidth="1"/>
    <col min="3" max="3" width="10.140625" style="1" bestFit="1" customWidth="1"/>
    <col min="4" max="4" width="13.7109375" style="1" bestFit="1" customWidth="1"/>
    <col min="5" max="5" width="9.140625" style="1"/>
    <col min="6" max="6" width="11.42578125" style="1" bestFit="1" customWidth="1"/>
    <col min="7" max="16384" width="9.140625" style="1"/>
  </cols>
  <sheetData>
    <row r="1" spans="2:6" x14ac:dyDescent="0.25">
      <c r="C1" s="1" t="s">
        <v>130</v>
      </c>
      <c r="D1" s="1" t="s">
        <v>131</v>
      </c>
      <c r="F1" s="1" t="s">
        <v>132</v>
      </c>
    </row>
    <row r="2" spans="2:6" x14ac:dyDescent="0.25">
      <c r="B2" s="1" t="s">
        <v>73</v>
      </c>
      <c r="C2" s="2">
        <f t="array" ref="C2:C10">TRANSPOSE(QLFS_NT!R8:Z8)/1000</f>
        <v>668.92600000000004</v>
      </c>
      <c r="D2" s="2">
        <f t="array" ref="D2:D10">TRANSPOSE(QLFS_Quantec!D6:L6)</f>
        <v>696.25</v>
      </c>
      <c r="F2" s="10">
        <f>D2/C2</f>
        <v>1.0408475675934259</v>
      </c>
    </row>
    <row r="3" spans="2:6" x14ac:dyDescent="0.25">
      <c r="B3" s="1" t="s">
        <v>74</v>
      </c>
      <c r="C3" s="2">
        <v>350.68700000000001</v>
      </c>
      <c r="D3" s="2">
        <v>375.5</v>
      </c>
      <c r="F3" s="10">
        <f t="shared" ref="F3:F12" si="0">D3/C3</f>
        <v>1.0707554029661779</v>
      </c>
    </row>
    <row r="4" spans="2:6" x14ac:dyDescent="0.25">
      <c r="B4" s="1" t="s">
        <v>75</v>
      </c>
      <c r="C4" s="2">
        <v>1702.98</v>
      </c>
      <c r="D4" s="2">
        <v>1816.5</v>
      </c>
      <c r="F4" s="10">
        <f t="shared" si="0"/>
        <v>1.0666596201951872</v>
      </c>
    </row>
    <row r="5" spans="2:6" x14ac:dyDescent="0.25">
      <c r="B5" s="1" t="s">
        <v>76</v>
      </c>
      <c r="C5" s="2">
        <v>98.813000000000002</v>
      </c>
      <c r="D5" s="2">
        <v>101.75</v>
      </c>
      <c r="F5" s="10">
        <f t="shared" si="0"/>
        <v>1.0297228097517532</v>
      </c>
    </row>
    <row r="6" spans="2:6" x14ac:dyDescent="0.25">
      <c r="B6" s="1" t="s">
        <v>77</v>
      </c>
      <c r="C6" s="2">
        <v>1034.4090000000001</v>
      </c>
      <c r="D6" s="2">
        <v>1090.75</v>
      </c>
      <c r="F6" s="10">
        <f t="shared" si="0"/>
        <v>1.0544668501530825</v>
      </c>
    </row>
    <row r="7" spans="2:6" x14ac:dyDescent="0.25">
      <c r="B7" s="1" t="s">
        <v>78</v>
      </c>
      <c r="C7" s="2">
        <v>3005.72</v>
      </c>
      <c r="D7" s="2">
        <v>3145</v>
      </c>
      <c r="F7" s="10">
        <f t="shared" si="0"/>
        <v>1.0463383149461694</v>
      </c>
    </row>
    <row r="8" spans="2:6" x14ac:dyDescent="0.25">
      <c r="B8" s="1" t="s">
        <v>79</v>
      </c>
      <c r="C8" s="2">
        <v>814.18499999999995</v>
      </c>
      <c r="D8" s="2">
        <v>859.75</v>
      </c>
      <c r="F8" s="10">
        <f t="shared" si="0"/>
        <v>1.0559639393995224</v>
      </c>
    </row>
    <row r="9" spans="2:6" x14ac:dyDescent="0.25">
      <c r="B9" s="1" t="s">
        <v>80</v>
      </c>
      <c r="C9" s="2">
        <v>1797.502</v>
      </c>
      <c r="D9" s="2">
        <v>1902</v>
      </c>
      <c r="F9" s="10">
        <f t="shared" si="0"/>
        <v>1.0581351230763583</v>
      </c>
    </row>
    <row r="10" spans="2:6" x14ac:dyDescent="0.25">
      <c r="B10" s="1" t="s">
        <v>82</v>
      </c>
      <c r="C10" s="2">
        <v>4181.67</v>
      </c>
      <c r="D10" s="2">
        <v>4437.2648634921752</v>
      </c>
      <c r="F10" s="10">
        <f t="shared" si="0"/>
        <v>1.0611226767038469</v>
      </c>
    </row>
    <row r="11" spans="2:6" x14ac:dyDescent="0.25">
      <c r="F11" s="10"/>
    </row>
    <row r="12" spans="2:6" x14ac:dyDescent="0.25">
      <c r="C12" s="2">
        <f>SUM(C2:C10)</f>
        <v>13654.892</v>
      </c>
      <c r="D12" s="2">
        <f>SUM(D2:D10)</f>
        <v>14424.764863492175</v>
      </c>
      <c r="F12" s="10">
        <f t="shared" si="0"/>
        <v>1.0563807361854034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49561-D51B-496D-8D7F-304EB2E098B5}">
  <dimension ref="B2:L21"/>
  <sheetViews>
    <sheetView workbookViewId="0">
      <selection activeCell="D16" sqref="D16:L16"/>
    </sheetView>
  </sheetViews>
  <sheetFormatPr defaultRowHeight="12" x14ac:dyDescent="0.25"/>
  <cols>
    <col min="3" max="3" width="6.5703125" bestFit="1" customWidth="1"/>
    <col min="4" max="4" width="10.5703125" bestFit="1" customWidth="1"/>
    <col min="5" max="5" width="10.7109375" bestFit="1" customWidth="1"/>
    <col min="6" max="6" width="14.140625" bestFit="1" customWidth="1"/>
    <col min="7" max="7" width="9.5703125" bestFit="1" customWidth="1"/>
    <col min="8" max="8" width="12.42578125" bestFit="1" customWidth="1"/>
    <col min="9" max="9" width="10.7109375" bestFit="1" customWidth="1"/>
    <col min="10" max="10" width="9.7109375" bestFit="1" customWidth="1"/>
    <col min="11" max="12" width="10.7109375" bestFit="1" customWidth="1"/>
  </cols>
  <sheetData>
    <row r="2" spans="2:12" x14ac:dyDescent="0.25">
      <c r="B2" t="s">
        <v>130</v>
      </c>
      <c r="C2" s="1"/>
      <c r="D2" s="1" t="s">
        <v>73</v>
      </c>
      <c r="E2" s="1" t="s">
        <v>74</v>
      </c>
      <c r="F2" s="1" t="s">
        <v>75</v>
      </c>
      <c r="G2" s="1" t="s">
        <v>76</v>
      </c>
      <c r="H2" s="1" t="s">
        <v>77</v>
      </c>
      <c r="I2" s="1" t="s">
        <v>78</v>
      </c>
      <c r="J2" s="1" t="s">
        <v>79</v>
      </c>
      <c r="K2" s="1" t="s">
        <v>80</v>
      </c>
      <c r="L2" s="1" t="s">
        <v>82</v>
      </c>
    </row>
    <row r="3" spans="2:12" x14ac:dyDescent="0.25">
      <c r="C3" s="1" t="s">
        <v>0</v>
      </c>
      <c r="D3" s="1">
        <f>QLFS_NT!R11</f>
        <v>5118</v>
      </c>
      <c r="E3" s="1">
        <f>QLFS_NT!S11</f>
        <v>2526</v>
      </c>
      <c r="F3" s="1">
        <f>QLFS_NT!T11</f>
        <v>5700</v>
      </c>
      <c r="G3" s="1">
        <f>QLFS_NT!U11</f>
        <v>382</v>
      </c>
      <c r="H3" s="1">
        <f>QLFS_NT!V11</f>
        <v>6155</v>
      </c>
      <c r="I3" s="1">
        <f>QLFS_NT!W11</f>
        <v>11792</v>
      </c>
      <c r="J3" s="1">
        <f>QLFS_NT!X11</f>
        <v>3346</v>
      </c>
      <c r="K3" s="1">
        <f>QLFS_NT!Y11</f>
        <v>2929</v>
      </c>
      <c r="L3" s="1">
        <f>QLFS_NT!Z11</f>
        <v>14059</v>
      </c>
    </row>
    <row r="4" spans="2:12" x14ac:dyDescent="0.25">
      <c r="C4" s="1" t="s">
        <v>1</v>
      </c>
      <c r="D4" s="1">
        <f>QLFS_NT!R12</f>
        <v>4390</v>
      </c>
      <c r="E4" s="1">
        <f>QLFS_NT!S12</f>
        <v>4013</v>
      </c>
      <c r="F4" s="1">
        <f>QLFS_NT!T12</f>
        <v>18825</v>
      </c>
      <c r="G4" s="1">
        <f>QLFS_NT!U12</f>
        <v>438</v>
      </c>
      <c r="H4" s="1">
        <f>QLFS_NT!V12</f>
        <v>9964</v>
      </c>
      <c r="I4" s="1">
        <f>QLFS_NT!W12</f>
        <v>28577</v>
      </c>
      <c r="J4" s="1">
        <f>QLFS_NT!X12</f>
        <v>8255</v>
      </c>
      <c r="K4" s="1">
        <f>QLFS_NT!Y12</f>
        <v>8638</v>
      </c>
      <c r="L4" s="1">
        <f>QLFS_NT!Z12</f>
        <v>23463</v>
      </c>
    </row>
    <row r="5" spans="2:12" x14ac:dyDescent="0.25">
      <c r="C5" s="1" t="s">
        <v>2</v>
      </c>
      <c r="D5" s="1">
        <f>QLFS_NT!R13</f>
        <v>4546</v>
      </c>
      <c r="E5" s="1">
        <f>QLFS_NT!S13</f>
        <v>9332</v>
      </c>
      <c r="F5" s="1">
        <f>QLFS_NT!T13</f>
        <v>37983</v>
      </c>
      <c r="G5" s="1">
        <f>QLFS_NT!U13</f>
        <v>1361</v>
      </c>
      <c r="H5" s="1">
        <f>QLFS_NT!V13</f>
        <v>17948</v>
      </c>
      <c r="I5" s="1">
        <f>QLFS_NT!W13</f>
        <v>66610</v>
      </c>
      <c r="J5" s="1">
        <f>QLFS_NT!X13</f>
        <v>19240</v>
      </c>
      <c r="K5" s="1">
        <f>QLFS_NT!Y13</f>
        <v>43961</v>
      </c>
      <c r="L5" s="1">
        <f>QLFS_NT!Z13</f>
        <v>58031</v>
      </c>
    </row>
    <row r="6" spans="2:12" x14ac:dyDescent="0.25">
      <c r="C6" s="1" t="s">
        <v>3</v>
      </c>
      <c r="D6" s="1">
        <f>QLFS_NT!R14</f>
        <v>7792</v>
      </c>
      <c r="E6" s="1">
        <f>QLFS_NT!S14</f>
        <v>17777</v>
      </c>
      <c r="F6" s="1">
        <f>QLFS_NT!T14</f>
        <v>75417</v>
      </c>
      <c r="G6" s="1">
        <f>QLFS_NT!U14</f>
        <v>8183</v>
      </c>
      <c r="H6" s="1">
        <f>QLFS_NT!V14</f>
        <v>28694</v>
      </c>
      <c r="I6" s="1">
        <f>QLFS_NT!W14</f>
        <v>90258</v>
      </c>
      <c r="J6" s="1">
        <f>QLFS_NT!X14</f>
        <v>41309</v>
      </c>
      <c r="K6" s="1">
        <f>QLFS_NT!Y14</f>
        <v>148604</v>
      </c>
      <c r="L6" s="1">
        <f>QLFS_NT!Z14</f>
        <v>261936</v>
      </c>
    </row>
    <row r="7" spans="2:12" x14ac:dyDescent="0.25">
      <c r="C7" s="1" t="s">
        <v>88</v>
      </c>
      <c r="D7" s="1">
        <f>QLFS_NT!R15</f>
        <v>21846</v>
      </c>
      <c r="E7" s="1">
        <f>QLFS_NT!S15</f>
        <v>33648</v>
      </c>
      <c r="F7" s="1">
        <f>QLFS_NT!T15</f>
        <v>137925</v>
      </c>
      <c r="G7" s="1">
        <f>QLFS_NT!U15</f>
        <v>10364</v>
      </c>
      <c r="H7" s="1">
        <f>QLFS_NT!V15</f>
        <v>62761</v>
      </c>
      <c r="I7" s="1">
        <f>QLFS_NT!W15</f>
        <v>197237</v>
      </c>
      <c r="J7" s="1">
        <f>QLFS_NT!X15</f>
        <v>72150</v>
      </c>
      <c r="K7" s="1">
        <f>QLFS_NT!Y15</f>
        <v>204132</v>
      </c>
      <c r="L7" s="1">
        <f>QLFS_NT!Z15</f>
        <v>357489</v>
      </c>
    </row>
    <row r="9" spans="2:12" x14ac:dyDescent="0.25">
      <c r="B9" t="s">
        <v>133</v>
      </c>
      <c r="C9" s="1"/>
      <c r="D9" s="1" t="s">
        <v>73</v>
      </c>
      <c r="E9" s="1" t="s">
        <v>74</v>
      </c>
      <c r="F9" s="1" t="s">
        <v>75</v>
      </c>
      <c r="G9" s="1" t="s">
        <v>76</v>
      </c>
      <c r="H9" s="1" t="s">
        <v>77</v>
      </c>
      <c r="I9" s="1" t="s">
        <v>78</v>
      </c>
      <c r="J9" s="1" t="s">
        <v>79</v>
      </c>
      <c r="K9" s="1" t="s">
        <v>80</v>
      </c>
      <c r="L9" s="1" t="s">
        <v>82</v>
      </c>
    </row>
    <row r="10" spans="2:12" x14ac:dyDescent="0.25">
      <c r="C10" s="1" t="s">
        <v>0</v>
      </c>
      <c r="D10" s="2">
        <f t="array" ref="D10:L14">TRANSPOSE('2012 SAM'!I6:M14)</f>
        <v>5205.5849601870505</v>
      </c>
      <c r="E10" s="2">
        <v>8623.9648996036813</v>
      </c>
      <c r="F10" s="2">
        <v>9338.803015446274</v>
      </c>
      <c r="G10" s="2">
        <v>1060.1541508319995</v>
      </c>
      <c r="H10" s="2">
        <v>4254.1094206398921</v>
      </c>
      <c r="I10" s="2">
        <v>9003.4164626142847</v>
      </c>
      <c r="J10" s="2">
        <v>3671.1354307115676</v>
      </c>
      <c r="K10" s="2">
        <v>2429.4027844987449</v>
      </c>
      <c r="L10" s="2">
        <v>36570.474639187967</v>
      </c>
    </row>
    <row r="11" spans="2:12" x14ac:dyDescent="0.25">
      <c r="C11" s="1" t="s">
        <v>1</v>
      </c>
      <c r="D11" s="2">
        <v>4292.9091835501431</v>
      </c>
      <c r="E11" s="2">
        <v>13487.556728570404</v>
      </c>
      <c r="F11" s="2">
        <v>30752.337378695978</v>
      </c>
      <c r="G11" s="2">
        <v>1218.0400468609721</v>
      </c>
      <c r="H11" s="2">
        <v>6886.7197256688769</v>
      </c>
      <c r="I11" s="2">
        <v>21227.805910856401</v>
      </c>
      <c r="J11" s="2">
        <v>9128.7222092879801</v>
      </c>
      <c r="K11" s="2">
        <v>6463.707186665124</v>
      </c>
      <c r="L11" s="2">
        <v>52199.01552731196</v>
      </c>
    </row>
    <row r="12" spans="2:12" x14ac:dyDescent="0.25">
      <c r="C12" s="1" t="s">
        <v>2</v>
      </c>
      <c r="D12" s="2">
        <v>4568.6219451222905</v>
      </c>
      <c r="E12" s="2">
        <v>31425.095161617777</v>
      </c>
      <c r="F12" s="2">
        <v>65060.464285366274</v>
      </c>
      <c r="G12" s="2">
        <v>3841.8941001467101</v>
      </c>
      <c r="H12" s="2">
        <v>12405.133882058668</v>
      </c>
      <c r="I12" s="2">
        <v>51160.760884008734</v>
      </c>
      <c r="J12" s="2">
        <v>22269.163391181697</v>
      </c>
      <c r="K12" s="2">
        <v>54335.100845546498</v>
      </c>
      <c r="L12" s="2">
        <v>125303.7061177158</v>
      </c>
    </row>
    <row r="13" spans="2:12" x14ac:dyDescent="0.25">
      <c r="C13" s="1" t="s">
        <v>3</v>
      </c>
      <c r="D13" s="2">
        <v>7547.235093523811</v>
      </c>
      <c r="E13" s="2">
        <v>56632.928314756187</v>
      </c>
      <c r="F13" s="2">
        <v>130170.53203212169</v>
      </c>
      <c r="G13" s="2">
        <v>23424.896881626868</v>
      </c>
      <c r="H13" s="2">
        <v>19832.605135392911</v>
      </c>
      <c r="I13" s="2">
        <v>86686.356902468149</v>
      </c>
      <c r="J13" s="2">
        <v>50126.882660496078</v>
      </c>
      <c r="K13" s="2">
        <v>169785.34508446374</v>
      </c>
      <c r="L13" s="2">
        <v>333461.41762119933</v>
      </c>
    </row>
    <row r="14" spans="2:12" x14ac:dyDescent="0.25">
      <c r="C14" s="1" t="s">
        <v>88</v>
      </c>
      <c r="D14" s="2">
        <v>21614.351182383292</v>
      </c>
      <c r="E14" s="2">
        <v>110169.54510454804</v>
      </c>
      <c r="F14" s="2">
        <v>235322.13671163021</v>
      </c>
      <c r="G14" s="2">
        <v>29544.985179466552</v>
      </c>
      <c r="H14" s="2">
        <v>43378.568163760348</v>
      </c>
      <c r="I14" s="2">
        <v>168078.34015994758</v>
      </c>
      <c r="J14" s="2">
        <v>85195.903691677318</v>
      </c>
      <c r="K14" s="2">
        <v>233013.55590117411</v>
      </c>
      <c r="L14" s="2">
        <v>547534.61390541506</v>
      </c>
    </row>
    <row r="16" spans="2:12" x14ac:dyDescent="0.25">
      <c r="C16" s="1"/>
      <c r="D16" s="1" t="s">
        <v>73</v>
      </c>
      <c r="E16" s="1" t="s">
        <v>74</v>
      </c>
      <c r="F16" s="1" t="s">
        <v>75</v>
      </c>
      <c r="G16" s="1" t="s">
        <v>76</v>
      </c>
      <c r="H16" s="1" t="s">
        <v>77</v>
      </c>
      <c r="I16" s="1" t="s">
        <v>78</v>
      </c>
      <c r="J16" s="1" t="s">
        <v>79</v>
      </c>
      <c r="K16" s="1" t="s">
        <v>80</v>
      </c>
      <c r="L16" s="1" t="s">
        <v>82</v>
      </c>
    </row>
    <row r="17" spans="3:12" x14ac:dyDescent="0.25">
      <c r="C17" s="1" t="s">
        <v>0</v>
      </c>
      <c r="D17" s="10">
        <f>D3/D10</f>
        <v>0.98317480919879108</v>
      </c>
      <c r="E17" s="10">
        <f t="shared" ref="E17:L17" si="0">E3/E10</f>
        <v>0.29290471719291017</v>
      </c>
      <c r="F17" s="10">
        <f t="shared" si="0"/>
        <v>0.61035659394167163</v>
      </c>
      <c r="G17" s="10">
        <f t="shared" si="0"/>
        <v>0.360324958120675</v>
      </c>
      <c r="H17" s="10">
        <f t="shared" si="0"/>
        <v>1.4468363155252788</v>
      </c>
      <c r="I17" s="10">
        <f t="shared" si="0"/>
        <v>1.3097250414845307</v>
      </c>
      <c r="J17" s="10">
        <f t="shared" si="0"/>
        <v>0.91143464008666464</v>
      </c>
      <c r="K17" s="10">
        <f t="shared" si="0"/>
        <v>1.2056461031036219</v>
      </c>
      <c r="L17" s="10">
        <f t="shared" si="0"/>
        <v>0.38443580890620277</v>
      </c>
    </row>
    <row r="18" spans="3:12" x14ac:dyDescent="0.25">
      <c r="C18" s="1" t="s">
        <v>1</v>
      </c>
      <c r="D18" s="10">
        <f t="shared" ref="D18:L18" si="1">D4/D11</f>
        <v>1.022616554951103</v>
      </c>
      <c r="E18" s="10">
        <f t="shared" si="1"/>
        <v>0.29753350297310316</v>
      </c>
      <c r="F18" s="10">
        <f t="shared" si="1"/>
        <v>0.61214859111949083</v>
      </c>
      <c r="G18" s="10">
        <f t="shared" si="1"/>
        <v>0.35959408816547195</v>
      </c>
      <c r="H18" s="10">
        <f t="shared" si="1"/>
        <v>1.4468426764721052</v>
      </c>
      <c r="I18" s="10">
        <f t="shared" si="1"/>
        <v>1.3462060148847059</v>
      </c>
      <c r="J18" s="10">
        <f t="shared" si="1"/>
        <v>0.90428866283180187</v>
      </c>
      <c r="K18" s="10">
        <f t="shared" si="1"/>
        <v>1.3363847944443594</v>
      </c>
      <c r="L18" s="10">
        <f t="shared" si="1"/>
        <v>0.44949123585910378</v>
      </c>
    </row>
    <row r="19" spans="3:12" x14ac:dyDescent="0.25">
      <c r="C19" s="1" t="s">
        <v>2</v>
      </c>
      <c r="D19" s="10">
        <f t="shared" ref="D19:L19" si="2">D5/D12</f>
        <v>0.99504840947795148</v>
      </c>
      <c r="E19" s="10">
        <f t="shared" si="2"/>
        <v>0.2969601190388117</v>
      </c>
      <c r="F19" s="10">
        <f t="shared" si="2"/>
        <v>0.58381077382725233</v>
      </c>
      <c r="G19" s="10">
        <f t="shared" si="2"/>
        <v>0.35425234650482107</v>
      </c>
      <c r="H19" s="10">
        <f t="shared" si="2"/>
        <v>1.44682033830831</v>
      </c>
      <c r="I19" s="10">
        <f t="shared" si="2"/>
        <v>1.3019743813235627</v>
      </c>
      <c r="J19" s="10">
        <f t="shared" si="2"/>
        <v>0.8639749802014921</v>
      </c>
      <c r="K19" s="10">
        <f t="shared" si="2"/>
        <v>0.80907183967439356</v>
      </c>
      <c r="L19" s="10">
        <f t="shared" si="2"/>
        <v>0.46312277424167431</v>
      </c>
    </row>
    <row r="20" spans="3:12" x14ac:dyDescent="0.25">
      <c r="C20" s="1" t="s">
        <v>3</v>
      </c>
      <c r="D20" s="10">
        <f t="shared" ref="D20:L20" si="3">D6/D13</f>
        <v>1.0324310695828487</v>
      </c>
      <c r="E20" s="10">
        <f t="shared" si="3"/>
        <v>0.31389865452830651</v>
      </c>
      <c r="F20" s="10">
        <f t="shared" si="3"/>
        <v>0.57937075943877714</v>
      </c>
      <c r="G20" s="10">
        <f t="shared" si="3"/>
        <v>0.34932917917851203</v>
      </c>
      <c r="H20" s="10">
        <f t="shared" si="3"/>
        <v>1.446809423376922</v>
      </c>
      <c r="I20" s="10">
        <f t="shared" si="3"/>
        <v>1.0412019056418573</v>
      </c>
      <c r="J20" s="10">
        <f t="shared" si="3"/>
        <v>0.8240887485420022</v>
      </c>
      <c r="K20" s="10">
        <f t="shared" si="3"/>
        <v>0.87524632898129939</v>
      </c>
      <c r="L20" s="10">
        <f t="shared" si="3"/>
        <v>0.7855061670059541</v>
      </c>
    </row>
    <row r="21" spans="3:12" x14ac:dyDescent="0.25">
      <c r="C21" s="1" t="s">
        <v>88</v>
      </c>
      <c r="D21" s="10">
        <f t="shared" ref="D21:L21" si="4">D7/D14</f>
        <v>1.0107173616113683</v>
      </c>
      <c r="E21" s="10">
        <f t="shared" si="4"/>
        <v>0.30542015915622522</v>
      </c>
      <c r="F21" s="10">
        <f t="shared" si="4"/>
        <v>0.58611145524747987</v>
      </c>
      <c r="G21" s="10">
        <f t="shared" si="4"/>
        <v>0.3507871111474738</v>
      </c>
      <c r="H21" s="10">
        <f t="shared" si="4"/>
        <v>1.4468204612717548</v>
      </c>
      <c r="I21" s="10">
        <f t="shared" si="4"/>
        <v>1.1734825546962464</v>
      </c>
      <c r="J21" s="10">
        <f t="shared" si="4"/>
        <v>0.84687170243665422</v>
      </c>
      <c r="K21" s="10">
        <f t="shared" si="4"/>
        <v>0.87605203573038737</v>
      </c>
      <c r="L21" s="10">
        <f t="shared" si="4"/>
        <v>0.65290666730661728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42370-A397-4FF3-AF83-11F532FAD20F}">
  <dimension ref="A1:BI65"/>
  <sheetViews>
    <sheetView tabSelected="1" topLeftCell="J1" zoomScale="85" zoomScaleNormal="85" workbookViewId="0">
      <pane xSplit="2" ySplit="2" topLeftCell="AY4" activePane="bottomRight" state="frozen"/>
      <selection activeCell="J1" sqref="J1"/>
      <selection pane="topRight" activeCell="L1" sqref="L1"/>
      <selection pane="bottomLeft" activeCell="J3" sqref="J3"/>
      <selection pane="bottomRight" activeCell="CA16" sqref="CA16"/>
    </sheetView>
  </sheetViews>
  <sheetFormatPr defaultRowHeight="12" x14ac:dyDescent="0.25"/>
  <cols>
    <col min="1" max="1" width="13.85546875" style="1" customWidth="1"/>
    <col min="2" max="2" width="8.7109375" style="1" bestFit="1" customWidth="1"/>
    <col min="3" max="3" width="8.42578125" style="1" bestFit="1" customWidth="1"/>
    <col min="4" max="8" width="8.7109375" style="1" customWidth="1"/>
    <col min="9" max="9" width="9.140625" style="1"/>
    <col min="10" max="10" width="13.85546875" style="1" bestFit="1" customWidth="1"/>
    <col min="11" max="11" width="9.140625" style="1"/>
    <col min="12" max="15" width="9.28515625" style="1" bestFit="1" customWidth="1"/>
    <col min="16" max="16" width="9.5703125" style="1" bestFit="1" customWidth="1"/>
    <col min="17" max="23" width="9.140625" style="1"/>
    <col min="24" max="24" width="9.5703125" style="1" bestFit="1" customWidth="1"/>
    <col min="25" max="31" width="9.140625" style="1"/>
    <col min="32" max="32" width="18" style="1" bestFit="1" customWidth="1"/>
    <col min="33" max="33" width="12.85546875" style="1" bestFit="1" customWidth="1"/>
    <col min="34" max="35" width="14.140625" style="1" bestFit="1" customWidth="1"/>
    <col min="36" max="44" width="9.140625" style="1"/>
    <col min="45" max="45" width="9.5703125" style="1" customWidth="1"/>
    <col min="46" max="52" width="9.140625" style="1" customWidth="1"/>
    <col min="53" max="53" width="9.140625" style="1"/>
    <col min="54" max="54" width="13.85546875" style="1" bestFit="1" customWidth="1"/>
    <col min="55" max="55" width="9.140625" style="1"/>
    <col min="56" max="56" width="9.85546875" style="1" bestFit="1" customWidth="1"/>
    <col min="57" max="57" width="10.28515625" style="1" bestFit="1" customWidth="1"/>
    <col min="58" max="59" width="9.140625" style="1"/>
    <col min="60" max="60" width="13.7109375" style="1" bestFit="1" customWidth="1"/>
    <col min="61" max="61" width="9.85546875" style="1" bestFit="1" customWidth="1"/>
    <col min="62" max="16384" width="9.140625" style="1"/>
  </cols>
  <sheetData>
    <row r="1" spans="1:61" x14ac:dyDescent="0.25">
      <c r="A1" s="1" t="s">
        <v>85</v>
      </c>
      <c r="R1" s="1" t="s">
        <v>134</v>
      </c>
      <c r="X1" s="1" t="s">
        <v>135</v>
      </c>
      <c r="AF1" s="1" t="s">
        <v>135</v>
      </c>
      <c r="AN1" s="1" t="s">
        <v>85</v>
      </c>
      <c r="AS1" s="1" t="s">
        <v>85</v>
      </c>
      <c r="AW1" s="19">
        <f>AW50/P50-1</f>
        <v>2.0172875230395348E-4</v>
      </c>
      <c r="AX1" s="19"/>
      <c r="AY1" s="19"/>
      <c r="AZ1" s="19"/>
      <c r="BB1" s="1" t="s">
        <v>140</v>
      </c>
    </row>
    <row r="2" spans="1:61" x14ac:dyDescent="0.25">
      <c r="C2" s="1" t="s">
        <v>87</v>
      </c>
      <c r="D2" s="1" t="s">
        <v>0</v>
      </c>
      <c r="E2" s="1" t="s">
        <v>1</v>
      </c>
      <c r="F2" s="1" t="s">
        <v>2</v>
      </c>
      <c r="G2" s="1" t="s">
        <v>3</v>
      </c>
      <c r="H2" s="12" t="s">
        <v>88</v>
      </c>
      <c r="L2" s="1" t="s">
        <v>0</v>
      </c>
      <c r="M2" s="1" t="s">
        <v>1</v>
      </c>
      <c r="N2" s="1" t="s">
        <v>2</v>
      </c>
      <c r="O2" s="1" t="s">
        <v>3</v>
      </c>
      <c r="P2" s="12" t="s">
        <v>88</v>
      </c>
      <c r="R2" s="1" t="s">
        <v>0</v>
      </c>
      <c r="S2" s="1" t="s">
        <v>1</v>
      </c>
      <c r="T2" s="1" t="s">
        <v>2</v>
      </c>
      <c r="U2" s="1" t="s">
        <v>3</v>
      </c>
      <c r="V2" s="12" t="s">
        <v>88</v>
      </c>
      <c r="X2" s="1" t="s">
        <v>0</v>
      </c>
      <c r="Y2" s="1" t="s">
        <v>1</v>
      </c>
      <c r="Z2" s="1" t="s">
        <v>2</v>
      </c>
      <c r="AA2" s="1" t="s">
        <v>3</v>
      </c>
      <c r="AB2" s="12" t="s">
        <v>88</v>
      </c>
      <c r="AF2" s="1" t="s">
        <v>0</v>
      </c>
      <c r="AG2" s="1" t="s">
        <v>1</v>
      </c>
      <c r="AH2" s="1" t="s">
        <v>2</v>
      </c>
      <c r="AI2" s="1" t="s">
        <v>3</v>
      </c>
      <c r="AJ2" s="12" t="s">
        <v>88</v>
      </c>
      <c r="AN2" s="1" t="s">
        <v>0</v>
      </c>
      <c r="AO2" s="1" t="s">
        <v>1</v>
      </c>
      <c r="AP2" s="1" t="s">
        <v>2</v>
      </c>
      <c r="AQ2" s="1" t="s">
        <v>3</v>
      </c>
      <c r="AS2" s="1" t="s">
        <v>0</v>
      </c>
      <c r="AT2" s="1" t="s">
        <v>1</v>
      </c>
      <c r="AU2" s="1" t="s">
        <v>2</v>
      </c>
      <c r="AV2" s="1" t="s">
        <v>3</v>
      </c>
      <c r="AW2" s="12" t="s">
        <v>88</v>
      </c>
      <c r="AX2" s="20"/>
      <c r="AY2" s="20"/>
      <c r="AZ2" s="20"/>
      <c r="BC2" s="1" t="s">
        <v>136</v>
      </c>
      <c r="BD2" s="1" t="s">
        <v>137</v>
      </c>
    </row>
    <row r="3" spans="1:61" x14ac:dyDescent="0.25">
      <c r="A3" s="1" t="str">
        <f>VLOOKUP($C3,Concordance!$E$2:$F$63,2,)</f>
        <v>Agriculture</v>
      </c>
      <c r="B3" s="1" t="str">
        <f>INDEX(Concordance!$H$2:$H$83,MATCH($C3,Concordance!$I$2:$I$83,0))</f>
        <v>aagri</v>
      </c>
      <c r="C3" s="1" t="s">
        <v>4</v>
      </c>
      <c r="D3" s="2">
        <f>QLFS_NT!C3/1000*VLOOKUP(Calc!$A3,'Employment Comparison'!$B$2:$F$10,COLUMNS('Employment Comparison'!$B$2:$F$2),)</f>
        <v>276.42205191605649</v>
      </c>
      <c r="E3" s="2">
        <f>QLFS_NT!D3/1000*VLOOKUP(Calc!$A3,'Employment Comparison'!$B$2:$F$10,COLUMNS('Employment Comparison'!$B$2:$F$2),)</f>
        <v>181.06688370611997</v>
      </c>
      <c r="F3" s="2">
        <f>QLFS_NT!E3/1000*VLOOKUP(Calc!$A3,'Employment Comparison'!$B$2:$F$10,COLUMNS('Employment Comparison'!$B$2:$F$2),)</f>
        <v>117.67926683968034</v>
      </c>
      <c r="G3" s="2">
        <f>QLFS_NT!F3/1000*VLOOKUP(Calc!$A3,'Employment Comparison'!$B$2:$F$10,COLUMNS('Employment Comparison'!$B$2:$F$2),)</f>
        <v>70.437277441749913</v>
      </c>
      <c r="H3" s="13">
        <f>SUM(D3:G3)</f>
        <v>645.60547990360658</v>
      </c>
      <c r="J3" s="1" t="str">
        <f>VLOOKUP($K3,Concordance!$B$2:$C$68,2,)</f>
        <v>Agriculture</v>
      </c>
      <c r="K3" s="1" t="s">
        <v>4</v>
      </c>
      <c r="L3" s="2">
        <f>SUMIF($B$3:$B$64,$K3,D$3:D$64)</f>
        <v>276.42205191605649</v>
      </c>
      <c r="M3" s="2">
        <f>SUMIF($B$3:$B$64,$K3,E$3:E$64)</f>
        <v>181.06688370611997</v>
      </c>
      <c r="N3" s="2">
        <f>SUMIF($B$3:$B$64,$K3,F$3:F$64)</f>
        <v>117.67926683968034</v>
      </c>
      <c r="O3" s="2">
        <f>SUMIF($B$3:$B$64,$K3,G$3:G$64)</f>
        <v>70.437277441749913</v>
      </c>
      <c r="P3" s="13">
        <f>SUM(L3:O3)</f>
        <v>645.60547990360658</v>
      </c>
      <c r="R3" s="2">
        <f>VLOOKUP($K3,'2012 SAM'!$B$4:$F$70,COLUMNS('2012 SAM'!$B$4:C$4),)</f>
        <v>4182.3922687332633</v>
      </c>
      <c r="S3" s="2">
        <f>VLOOKUP($K3,'2012 SAM'!$B$4:$F$70,COLUMNS('2012 SAM'!$B$4:D$4),)</f>
        <v>3702.3097164001706</v>
      </c>
      <c r="T3" s="2">
        <f>VLOOKUP($K3,'2012 SAM'!$B$4:$F$70,COLUMNS('2012 SAM'!$B$4:E$4),)</f>
        <v>3692.7111299787157</v>
      </c>
      <c r="U3" s="2">
        <f>VLOOKUP($K3,'2012 SAM'!$B$4:$F$70,COLUMNS('2012 SAM'!$B$4:F$4),)</f>
        <v>6613.147433896409</v>
      </c>
      <c r="V3" s="13">
        <f>SUM(R3:U3)</f>
        <v>18190.560549008558</v>
      </c>
      <c r="X3" s="2">
        <f>R3/L3*1000</f>
        <v>15130.458079384229</v>
      </c>
      <c r="Y3" s="2">
        <f t="shared" ref="Y3:Y50" si="0">S3/M3*1000</f>
        <v>20447.194100988632</v>
      </c>
      <c r="Z3" s="2">
        <f t="shared" ref="Z3:Z50" si="1">T3/N3*1000</f>
        <v>31379.453910173139</v>
      </c>
      <c r="AA3" s="2">
        <f t="shared" ref="AA3:AA50" si="2">U3/O3*1000</f>
        <v>93887.039279241551</v>
      </c>
      <c r="AB3" s="13">
        <f t="shared" ref="AB3:AB50" si="3">V3/P3*1000</f>
        <v>28175.969868974062</v>
      </c>
      <c r="AF3" s="24">
        <f>X3</f>
        <v>15130.458079384229</v>
      </c>
      <c r="AG3" s="24">
        <f t="shared" ref="AG3:AI3" si="4">Y3</f>
        <v>20447.194100988632</v>
      </c>
      <c r="AH3" s="24">
        <f t="shared" si="4"/>
        <v>31379.453910173139</v>
      </c>
      <c r="AI3" s="24">
        <f t="shared" si="4"/>
        <v>93887.039279241551</v>
      </c>
      <c r="AJ3" s="13"/>
      <c r="AN3" s="2"/>
      <c r="AO3" s="18">
        <f>AG3/AF3-1</f>
        <v>0.35139293164221108</v>
      </c>
      <c r="AP3" s="18">
        <f t="shared" ref="AP3:AP49" si="5">AH3/AG3-1</f>
        <v>0.53465819100606704</v>
      </c>
      <c r="AQ3" s="18">
        <f t="shared" ref="AQ3:AQ49" si="6">AI3/AH3-1</f>
        <v>1.9919908596243485</v>
      </c>
      <c r="AS3" s="2">
        <f>R3/(AF3/1000)</f>
        <v>276.42205191605649</v>
      </c>
      <c r="AT3" s="2">
        <f>S3/(AG3/1000)</f>
        <v>181.06688370611997</v>
      </c>
      <c r="AU3" s="2">
        <f>T3/(AH3/1000)</f>
        <v>117.67926683968034</v>
      </c>
      <c r="AV3" s="2">
        <f>U3/(AI3/1000)</f>
        <v>70.437277441749913</v>
      </c>
      <c r="AW3" s="13">
        <f>SUM(AS3:AV3)</f>
        <v>645.60547990360658</v>
      </c>
      <c r="AX3" s="22">
        <f>AW3/P3-1</f>
        <v>0</v>
      </c>
      <c r="AY3" s="28"/>
      <c r="AZ3" s="22"/>
      <c r="BB3" s="1" t="s">
        <v>73</v>
      </c>
      <c r="BC3" s="10">
        <f>SUMIF($J$3:$J$49,$BB3,$AW$3:$AW$49)</f>
        <v>696.24999999999989</v>
      </c>
      <c r="BD3" s="10">
        <f>'Employment Comparison'!D2</f>
        <v>696.25</v>
      </c>
      <c r="BE3" s="19">
        <f>BD3/BC3-1</f>
        <v>0</v>
      </c>
      <c r="BG3" s="10"/>
      <c r="BH3" s="18"/>
    </row>
    <row r="4" spans="1:61" x14ac:dyDescent="0.25">
      <c r="A4" s="1" t="str">
        <f>VLOOKUP($C4,Concordance!$E$2:$F$63,2,)</f>
        <v>Agriculture</v>
      </c>
      <c r="B4" s="1" t="str">
        <f>INDEX(Concordance!$H$2:$H$83,MATCH($C4,Concordance!$I$2:$I$83,0))</f>
        <v>afore</v>
      </c>
      <c r="C4" s="1" t="s">
        <v>5</v>
      </c>
      <c r="D4" s="2">
        <f>QLFS_NT!C4/1000*VLOOKUP(Calc!$A4,'Employment Comparison'!$B$2:$F$10,COLUMNS('Employment Comparison'!$B$2:$F$2),)</f>
        <v>19.551280709674909</v>
      </c>
      <c r="E4" s="2">
        <f>QLFS_NT!D4/1000*VLOOKUP(Calc!$A4,'Employment Comparison'!$B$2:$F$10,COLUMNS('Employment Comparison'!$B$2:$F$2),)</f>
        <v>9.3665872607732403</v>
      </c>
      <c r="F4" s="2">
        <f>QLFS_NT!E4/1000*VLOOKUP(Calc!$A4,'Employment Comparison'!$B$2:$F$10,COLUMNS('Employment Comparison'!$B$2:$F$2),)</f>
        <v>7.912523208845224</v>
      </c>
      <c r="G4" s="2">
        <f>QLFS_NT!F4/1000*VLOOKUP(Calc!$A4,'Employment Comparison'!$B$2:$F$10,COLUMNS('Employment Comparison'!$B$2:$F$2),)</f>
        <v>2.5261370465492448</v>
      </c>
      <c r="H4" s="13">
        <f t="shared" ref="H4:H64" si="7">SUM(D4:G4)</f>
        <v>39.356528225842617</v>
      </c>
      <c r="J4" s="1" t="str">
        <f>VLOOKUP($K4,Concordance!$B$2:$C$68,2,)</f>
        <v>Agriculture</v>
      </c>
      <c r="K4" s="1" t="s">
        <v>5</v>
      </c>
      <c r="L4" s="2">
        <f t="shared" ref="L4:L49" si="8">SUMIF($B$3:$B$64,$K4,D$3:D$64)</f>
        <v>19.551280709674909</v>
      </c>
      <c r="M4" s="2">
        <f t="shared" ref="M4:M49" si="9">SUMIF($B$3:$B$64,$K4,E$3:E$64)</f>
        <v>9.3665872607732403</v>
      </c>
      <c r="N4" s="2">
        <f t="shared" ref="N4:N49" si="10">SUMIF($B$3:$B$64,$K4,F$3:F$64)</f>
        <v>7.912523208845224</v>
      </c>
      <c r="O4" s="2">
        <f t="shared" ref="O4:O49" si="11">SUMIF($B$3:$B$64,$K4,G$3:G$64)</f>
        <v>2.5261370465492448</v>
      </c>
      <c r="P4" s="13">
        <f t="shared" ref="P4:P50" si="12">SUM(L4:O4)</f>
        <v>39.356528225842617</v>
      </c>
      <c r="R4" s="2">
        <f>VLOOKUP($K4,'2012 SAM'!$B$4:$F$70,COLUMNS('2012 SAM'!$B$4:C$4),)</f>
        <v>839.69621724456977</v>
      </c>
      <c r="S4" s="2">
        <f>VLOOKUP($K4,'2012 SAM'!$B$4:$F$70,COLUMNS('2012 SAM'!$B$4:D$4),)</f>
        <v>428.50230666911682</v>
      </c>
      <c r="T4" s="2">
        <f>VLOOKUP($K4,'2012 SAM'!$B$4:$F$70,COLUMNS('2012 SAM'!$B$4:E$4),)</f>
        <v>395.04181745474773</v>
      </c>
      <c r="U4" s="2">
        <f>VLOOKUP($K4,'2012 SAM'!$B$4:$F$70,COLUMNS('2012 SAM'!$B$4:F$4),)</f>
        <v>622.54480907649861</v>
      </c>
      <c r="V4" s="13">
        <f t="shared" ref="V4:V50" si="13">SUM(R4:U4)</f>
        <v>2285.7851504449327</v>
      </c>
      <c r="X4" s="2">
        <f t="shared" ref="X4:X50" si="14">R4/L4*1000</f>
        <v>42948.399632411187</v>
      </c>
      <c r="Y4" s="2">
        <f t="shared" si="0"/>
        <v>45747.965052721098</v>
      </c>
      <c r="Z4" s="2">
        <f t="shared" si="1"/>
        <v>49926.149602081387</v>
      </c>
      <c r="AA4" s="2">
        <f t="shared" si="2"/>
        <v>246441.42325013902</v>
      </c>
      <c r="AB4" s="13">
        <f t="shared" si="3"/>
        <v>58078.932606256189</v>
      </c>
      <c r="AF4" s="25">
        <f>SUM(R4:R5)/SUM(L4:L5)*1000</f>
        <v>47759.703691149203</v>
      </c>
      <c r="AG4" s="25">
        <f t="shared" ref="AG4:AI4" si="15">SUM(S4:S5)/SUM(M4:M5)*1000</f>
        <v>48510.017273408208</v>
      </c>
      <c r="AH4" s="25">
        <f t="shared" si="15"/>
        <v>70092.962846013383</v>
      </c>
      <c r="AI4" s="25">
        <f t="shared" si="15"/>
        <v>205314.53530763838</v>
      </c>
      <c r="AJ4" s="13"/>
      <c r="AN4" s="2"/>
      <c r="AO4" s="18">
        <f t="shared" ref="AO4:AO49" si="16">AG4/AF4-1</f>
        <v>1.5710180848505839E-2</v>
      </c>
      <c r="AP4" s="18">
        <f t="shared" si="5"/>
        <v>0.44491729308116157</v>
      </c>
      <c r="AQ4" s="18">
        <f t="shared" si="6"/>
        <v>1.9291747269792561</v>
      </c>
      <c r="AS4" s="2">
        <f>R4/(AF4/1000)</f>
        <v>17.581688166967872</v>
      </c>
      <c r="AT4" s="2">
        <f>S4/(AG4/1000)</f>
        <v>8.833274666838955</v>
      </c>
      <c r="AU4" s="2">
        <f>T4/(AH4/1000)</f>
        <v>5.6359697381121077</v>
      </c>
      <c r="AV4" s="2">
        <f>U4/(AI4/1000)</f>
        <v>3.0321516601038128</v>
      </c>
      <c r="AW4" s="13">
        <f t="shared" ref="AW4:AW49" si="17">SUM(AS4:AV4)</f>
        <v>35.083084232022749</v>
      </c>
      <c r="AX4" s="22">
        <f t="shared" ref="AX4:AX49" si="18">AW4/P4-1</f>
        <v>-0.10858284982093014</v>
      </c>
      <c r="AY4" s="28"/>
      <c r="AZ4" s="22"/>
      <c r="BB4" s="1" t="s">
        <v>74</v>
      </c>
      <c r="BC4" s="10">
        <f>SUMIF($J$3:$J$49,$BB4,$AW$3:$AW$49)</f>
        <v>375.5</v>
      </c>
      <c r="BD4" s="10">
        <f>'Employment Comparison'!D3</f>
        <v>375.5</v>
      </c>
      <c r="BE4" s="19">
        <f t="shared" ref="BE4:BE12" si="19">BD4/BC4-1</f>
        <v>0</v>
      </c>
      <c r="BG4" s="10"/>
      <c r="BH4" s="18"/>
    </row>
    <row r="5" spans="1:61" x14ac:dyDescent="0.25">
      <c r="A5" s="1" t="str">
        <f>VLOOKUP($C5,Concordance!$E$2:$F$63,2,)</f>
        <v>Agriculture</v>
      </c>
      <c r="B5" s="1" t="str">
        <f>INDEX(Concordance!$H$2:$H$83,MATCH($C5,Concordance!$I$2:$I$83,0))</f>
        <v>afish</v>
      </c>
      <c r="C5" s="1" t="s">
        <v>6</v>
      </c>
      <c r="D5" s="2">
        <f>QLFS_NT!C5/1000*VLOOKUP(Calc!$A5,'Employment Comparison'!$B$2:$F$10,COLUMNS('Employment Comparison'!$B$2:$F$2),)</f>
        <v>1.872484774100573</v>
      </c>
      <c r="E5" s="2">
        <f>QLFS_NT!D5/1000*VLOOKUP(Calc!$A5,'Employment Comparison'!$B$2:$F$10,COLUMNS('Employment Comparison'!$B$2:$F$2),)</f>
        <v>2.8082067373670632</v>
      </c>
      <c r="F5" s="2">
        <f>QLFS_NT!E5/1000*VLOOKUP(Calc!$A5,'Employment Comparison'!$B$2:$F$10,COLUMNS('Employment Comparison'!$B$2:$F$2),)</f>
        <v>4.5838926876814474</v>
      </c>
      <c r="G5" s="2">
        <f>QLFS_NT!F5/1000*VLOOKUP(Calc!$A5,'Employment Comparison'!$B$2:$F$10,COLUMNS('Employment Comparison'!$B$2:$F$2),)</f>
        <v>2.0234076714016198</v>
      </c>
      <c r="H5" s="13">
        <f t="shared" si="7"/>
        <v>11.287991870550703</v>
      </c>
      <c r="J5" s="1" t="str">
        <f>VLOOKUP($K5,Concordance!$B$2:$C$68,2,)</f>
        <v>Agriculture</v>
      </c>
      <c r="K5" s="1" t="s">
        <v>6</v>
      </c>
      <c r="L5" s="2">
        <f t="shared" si="8"/>
        <v>1.872484774100573</v>
      </c>
      <c r="M5" s="2">
        <f t="shared" si="9"/>
        <v>2.8082067373670632</v>
      </c>
      <c r="N5" s="2">
        <f t="shared" si="10"/>
        <v>4.5838926876814474</v>
      </c>
      <c r="O5" s="2">
        <f t="shared" si="11"/>
        <v>2.0234076714016198</v>
      </c>
      <c r="P5" s="13">
        <f t="shared" si="12"/>
        <v>11.287991870550703</v>
      </c>
      <c r="R5" s="2">
        <f>VLOOKUP($K5,'2012 SAM'!$B$4:$F$70,COLUMNS('2012 SAM'!$B$4:C$4),)</f>
        <v>183.49647420921713</v>
      </c>
      <c r="S5" s="2">
        <f>VLOOKUP($K5,'2012 SAM'!$B$4:$F$70,COLUMNS('2012 SAM'!$B$4:D$4),)</f>
        <v>162.09716048085593</v>
      </c>
      <c r="T5" s="2">
        <f>VLOOKUP($K5,'2012 SAM'!$B$4:$F$70,COLUMNS('2012 SAM'!$B$4:E$4),)</f>
        <v>480.86899768882716</v>
      </c>
      <c r="U5" s="2">
        <f>VLOOKUP($K5,'2012 SAM'!$B$4:$F$70,COLUMNS('2012 SAM'!$B$4:F$4),)</f>
        <v>311.54285055090372</v>
      </c>
      <c r="V5" s="13">
        <f t="shared" si="13"/>
        <v>1138.005482929804</v>
      </c>
      <c r="X5" s="2">
        <f t="shared" si="14"/>
        <v>97996.243679662264</v>
      </c>
      <c r="Y5" s="2">
        <f t="shared" si="0"/>
        <v>57722.659205937256</v>
      </c>
      <c r="Z5" s="2">
        <f t="shared" si="1"/>
        <v>104904.06963083874</v>
      </c>
      <c r="AA5" s="2">
        <f t="shared" si="2"/>
        <v>153969.39279917683</v>
      </c>
      <c r="AB5" s="13">
        <f t="shared" si="3"/>
        <v>100815.58314182986</v>
      </c>
      <c r="AF5" s="25">
        <f>AF4</f>
        <v>47759.703691149203</v>
      </c>
      <c r="AG5" s="25">
        <f t="shared" ref="AG5:AI5" si="20">AG4</f>
        <v>48510.017273408208</v>
      </c>
      <c r="AH5" s="25">
        <f t="shared" si="20"/>
        <v>70092.962846013383</v>
      </c>
      <c r="AI5" s="25">
        <f t="shared" si="20"/>
        <v>205314.53530763838</v>
      </c>
      <c r="AJ5" s="13"/>
      <c r="AN5" s="2"/>
      <c r="AO5" s="18">
        <f t="shared" si="16"/>
        <v>1.5710180848505839E-2</v>
      </c>
      <c r="AP5" s="18">
        <f t="shared" si="5"/>
        <v>0.44491729308116157</v>
      </c>
      <c r="AQ5" s="18">
        <f t="shared" si="6"/>
        <v>1.9291747269792561</v>
      </c>
      <c r="AS5" s="2">
        <f>R5/(AF5/1000)</f>
        <v>3.8420773168076119</v>
      </c>
      <c r="AT5" s="2">
        <f>S5/(AG5/1000)</f>
        <v>3.3415193313013498</v>
      </c>
      <c r="AU5" s="2">
        <f>T5/(AH5/1000)</f>
        <v>6.8604461584145628</v>
      </c>
      <c r="AV5" s="2">
        <f>U5/(AI5/1000)</f>
        <v>1.5173930578470509</v>
      </c>
      <c r="AW5" s="13">
        <f t="shared" si="17"/>
        <v>15.561435864370576</v>
      </c>
      <c r="AX5" s="22">
        <f t="shared" si="18"/>
        <v>0.37858319201742896</v>
      </c>
      <c r="AY5" s="28"/>
      <c r="AZ5" s="22"/>
      <c r="BB5" s="1" t="s">
        <v>75</v>
      </c>
      <c r="BC5" s="10">
        <f>SUMIF($J$3:$J$49,$BB5,$AW$3:$AW$49)</f>
        <v>1816.0661578098968</v>
      </c>
      <c r="BD5" s="10">
        <f>'Employment Comparison'!D4</f>
        <v>1816.5</v>
      </c>
      <c r="BE5" s="19">
        <f t="shared" si="19"/>
        <v>2.3889118148989752E-4</v>
      </c>
      <c r="BG5" s="10"/>
      <c r="BH5" s="18"/>
    </row>
    <row r="6" spans="1:61" x14ac:dyDescent="0.25">
      <c r="A6" s="1" t="str">
        <f>VLOOKUP($C6,Concordance!$E$2:$F$63,2,)</f>
        <v>Mining</v>
      </c>
      <c r="B6" s="1" t="str">
        <f>INDEX(Concordance!$H$2:$H$83,MATCH($C6,Concordance!$I$2:$I$83,0))</f>
        <v>acoal</v>
      </c>
      <c r="C6" s="1" t="s">
        <v>7</v>
      </c>
      <c r="D6" s="2">
        <f>QLFS_NT!C6/1000*VLOOKUP(Calc!$A6,'Employment Comparison'!$B$2:$F$10,COLUMNS('Employment Comparison'!$B$2:$F$2),)</f>
        <v>9.4644070068180461</v>
      </c>
      <c r="E6" s="2">
        <f>QLFS_NT!D6/1000*VLOOKUP(Calc!$A6,'Employment Comparison'!$B$2:$F$10,COLUMNS('Employment Comparison'!$B$2:$F$2),)</f>
        <v>12.861913900429728</v>
      </c>
      <c r="F6" s="2">
        <f>QLFS_NT!E6/1000*VLOOKUP(Calc!$A6,'Employment Comparison'!$B$2:$F$10,COLUMNS('Employment Comparison'!$B$2:$F$2),)</f>
        <v>21.418320325532456</v>
      </c>
      <c r="G6" s="2">
        <f>QLFS_NT!F6/1000*VLOOKUP(Calc!$A6,'Employment Comparison'!$B$2:$F$10,COLUMNS('Employment Comparison'!$B$2:$F$2),)</f>
        <v>28.228324688397347</v>
      </c>
      <c r="H6" s="13">
        <f t="shared" si="7"/>
        <v>71.972965921177575</v>
      </c>
      <c r="J6" s="1" t="str">
        <f>VLOOKUP($K6,Concordance!$B$2:$C$68,2,)</f>
        <v>Mining</v>
      </c>
      <c r="K6" s="1" t="s">
        <v>7</v>
      </c>
      <c r="L6" s="2">
        <f t="shared" si="8"/>
        <v>9.4644070068180461</v>
      </c>
      <c r="M6" s="2">
        <f t="shared" si="9"/>
        <v>12.861913900429728</v>
      </c>
      <c r="N6" s="2">
        <f t="shared" si="10"/>
        <v>21.418320325532456</v>
      </c>
      <c r="O6" s="2">
        <f t="shared" si="11"/>
        <v>28.228324688397347</v>
      </c>
      <c r="P6" s="13">
        <f t="shared" si="12"/>
        <v>71.972965921177575</v>
      </c>
      <c r="R6" s="2">
        <f>VLOOKUP($K6,'2012 SAM'!$B$4:$F$70,COLUMNS('2012 SAM'!$B$4:C$4),)</f>
        <v>1231.3532734022197</v>
      </c>
      <c r="S6" s="2">
        <f>VLOOKUP($K6,'2012 SAM'!$B$4:$F$70,COLUMNS('2012 SAM'!$B$4:D$4),)</f>
        <v>1691.9171110177235</v>
      </c>
      <c r="T6" s="2">
        <f>VLOOKUP($K6,'2012 SAM'!$B$4:$F$70,COLUMNS('2012 SAM'!$B$4:E$4),)</f>
        <v>4393.0382686078292</v>
      </c>
      <c r="U6" s="2">
        <f>VLOOKUP($K6,'2012 SAM'!$B$4:$F$70,COLUMNS('2012 SAM'!$B$4:F$4),)</f>
        <v>10171.794272558243</v>
      </c>
      <c r="V6" s="13">
        <f t="shared" si="13"/>
        <v>17488.102925586016</v>
      </c>
      <c r="X6" s="2">
        <f t="shared" si="14"/>
        <v>130103.58414586011</v>
      </c>
      <c r="Y6" s="2">
        <f t="shared" si="0"/>
        <v>131544.73930673685</v>
      </c>
      <c r="Z6" s="2">
        <f t="shared" si="1"/>
        <v>205106.57240339031</v>
      </c>
      <c r="AA6" s="2">
        <f t="shared" si="2"/>
        <v>360339.99129743408</v>
      </c>
      <c r="AB6" s="13">
        <f t="shared" si="3"/>
        <v>242981.55150002311</v>
      </c>
      <c r="AF6" s="24">
        <f>X6</f>
        <v>130103.58414586011</v>
      </c>
      <c r="AG6" s="24">
        <f t="shared" ref="AG6:AI6" si="21">Y6</f>
        <v>131544.73930673685</v>
      </c>
      <c r="AH6" s="24">
        <f t="shared" si="21"/>
        <v>205106.57240339031</v>
      </c>
      <c r="AI6" s="24">
        <f t="shared" si="21"/>
        <v>360339.99129743408</v>
      </c>
      <c r="AJ6" s="13"/>
      <c r="AN6" s="2"/>
      <c r="AO6" s="18">
        <f t="shared" si="16"/>
        <v>1.1076982777515676E-2</v>
      </c>
      <c r="AP6" s="18">
        <f t="shared" si="5"/>
        <v>0.55921531704222316</v>
      </c>
      <c r="AQ6" s="18">
        <f t="shared" si="6"/>
        <v>0.75684273339003849</v>
      </c>
      <c r="AS6" s="2">
        <f>R6/(AF6/1000)</f>
        <v>9.4644070068180461</v>
      </c>
      <c r="AT6" s="2">
        <f>S6/(AG6/1000)</f>
        <v>12.861913900429727</v>
      </c>
      <c r="AU6" s="2">
        <f>T6/(AH6/1000)</f>
        <v>21.418320325532456</v>
      </c>
      <c r="AV6" s="2">
        <f>U6/(AI6/1000)</f>
        <v>28.228324688397347</v>
      </c>
      <c r="AW6" s="13">
        <f t="shared" si="17"/>
        <v>71.972965921177575</v>
      </c>
      <c r="AX6" s="22">
        <f t="shared" si="18"/>
        <v>0</v>
      </c>
      <c r="AY6" s="28"/>
      <c r="AZ6" s="22"/>
      <c r="BB6" s="1" t="s">
        <v>76</v>
      </c>
      <c r="BC6" s="10">
        <f>SUMIF($J$3:$J$49,$BB6,$AW$3:$AW$49)</f>
        <v>101.74999999999999</v>
      </c>
      <c r="BD6" s="10">
        <f>'Employment Comparison'!D5</f>
        <v>101.75</v>
      </c>
      <c r="BE6" s="19">
        <f t="shared" si="19"/>
        <v>0</v>
      </c>
      <c r="BG6" s="10"/>
      <c r="BH6" s="18"/>
    </row>
    <row r="7" spans="1:61" x14ac:dyDescent="0.25">
      <c r="A7" s="1" t="str">
        <f>VLOOKUP($C7,Concordance!$E$2:$F$63,2,)</f>
        <v>Mining</v>
      </c>
      <c r="B7" s="1" t="str">
        <f>INDEX(Concordance!$H$2:$H$83,MATCH($C7,Concordance!$I$2:$I$83,0))</f>
        <v>agold</v>
      </c>
      <c r="C7" s="1" t="s">
        <v>8</v>
      </c>
      <c r="D7" s="2">
        <f>QLFS_NT!C7/1000*VLOOKUP(Calc!$A7,'Employment Comparison'!$B$2:$F$10,COLUMNS('Employment Comparison'!$B$2:$F$2),)</f>
        <v>10.775011620048648</v>
      </c>
      <c r="E7" s="2">
        <f>QLFS_NT!D7/1000*VLOOKUP(Calc!$A7,'Employment Comparison'!$B$2:$F$10,COLUMNS('Employment Comparison'!$B$2:$F$2),)</f>
        <v>17.912667136221188</v>
      </c>
      <c r="F7" s="2">
        <f>QLFS_NT!E7/1000*VLOOKUP(Calc!$A7,'Employment Comparison'!$B$2:$F$10,COLUMNS('Employment Comparison'!$B$2:$F$2),)</f>
        <v>36.92392931588568</v>
      </c>
      <c r="G7" s="2">
        <f>QLFS_NT!F7/1000*VLOOKUP(Calc!$A7,'Employment Comparison'!$B$2:$F$10,COLUMNS('Employment Comparison'!$B$2:$F$2),)</f>
        <v>29.495028330106337</v>
      </c>
      <c r="H7" s="13">
        <f t="shared" si="7"/>
        <v>95.106636402261856</v>
      </c>
      <c r="J7" s="1" t="str">
        <f>VLOOKUP($K7,Concordance!$B$2:$C$68,2,)</f>
        <v>Mining</v>
      </c>
      <c r="K7" s="1" t="s">
        <v>8</v>
      </c>
      <c r="L7" s="2">
        <f t="shared" si="8"/>
        <v>10.775011620048648</v>
      </c>
      <c r="M7" s="2">
        <f t="shared" si="9"/>
        <v>17.912667136221188</v>
      </c>
      <c r="N7" s="2">
        <f t="shared" si="10"/>
        <v>36.92392931588568</v>
      </c>
      <c r="O7" s="2">
        <f t="shared" si="11"/>
        <v>29.495028330106337</v>
      </c>
      <c r="P7" s="13">
        <f t="shared" si="12"/>
        <v>95.106636402261856</v>
      </c>
      <c r="R7" s="2">
        <f>VLOOKUP($K7,'2012 SAM'!$B$4:$F$70,COLUMNS('2012 SAM'!$B$4:C$4),)</f>
        <v>2307.1530276613476</v>
      </c>
      <c r="S7" s="2">
        <f>VLOOKUP($K7,'2012 SAM'!$B$4:$F$70,COLUMNS('2012 SAM'!$B$4:D$4),)</f>
        <v>4418.470454693299</v>
      </c>
      <c r="T7" s="2">
        <f>VLOOKUP($K7,'2012 SAM'!$B$4:$F$70,COLUMNS('2012 SAM'!$B$4:E$4),)</f>
        <v>11612.668366175927</v>
      </c>
      <c r="U7" s="2">
        <f>VLOOKUP($K7,'2012 SAM'!$B$4:$F$70,COLUMNS('2012 SAM'!$B$4:F$4),)</f>
        <v>13987.432478524532</v>
      </c>
      <c r="V7" s="13">
        <f t="shared" si="13"/>
        <v>32325.724327055104</v>
      </c>
      <c r="X7" s="2">
        <f t="shared" si="14"/>
        <v>214120.69972792576</v>
      </c>
      <c r="Y7" s="2">
        <f t="shared" si="0"/>
        <v>246667.36790741305</v>
      </c>
      <c r="Z7" s="2">
        <f t="shared" si="1"/>
        <v>314502.50775937439</v>
      </c>
      <c r="AA7" s="2">
        <f t="shared" si="2"/>
        <v>474230.17608181777</v>
      </c>
      <c r="AB7" s="13">
        <f t="shared" si="3"/>
        <v>339889.26062247244</v>
      </c>
      <c r="AF7" s="24">
        <f t="shared" ref="AF7:AF45" si="22">X7</f>
        <v>214120.69972792576</v>
      </c>
      <c r="AG7" s="24">
        <f t="shared" ref="AG7:AG45" si="23">Y7</f>
        <v>246667.36790741305</v>
      </c>
      <c r="AH7" s="24">
        <f t="shared" ref="AH7:AH45" si="24">Z7</f>
        <v>314502.50775937439</v>
      </c>
      <c r="AI7" s="24">
        <f t="shared" ref="AI7:AI45" si="25">AA7</f>
        <v>474230.17608181777</v>
      </c>
      <c r="AJ7" s="13"/>
      <c r="AN7" s="2"/>
      <c r="AO7" s="18">
        <f t="shared" si="16"/>
        <v>0.15200150298800152</v>
      </c>
      <c r="AP7" s="18">
        <f t="shared" si="5"/>
        <v>0.27500654191689988</v>
      </c>
      <c r="AQ7" s="18">
        <f t="shared" si="6"/>
        <v>0.50787406898723653</v>
      </c>
      <c r="AS7" s="2">
        <f>R7/(AF7/1000)</f>
        <v>10.775011620048648</v>
      </c>
      <c r="AT7" s="2">
        <f>S7/(AG7/1000)</f>
        <v>17.912667136221188</v>
      </c>
      <c r="AU7" s="2">
        <f>T7/(AH7/1000)</f>
        <v>36.92392931588568</v>
      </c>
      <c r="AV7" s="2">
        <f>U7/(AI7/1000)</f>
        <v>29.495028330106337</v>
      </c>
      <c r="AW7" s="13">
        <f t="shared" si="17"/>
        <v>95.106636402261856</v>
      </c>
      <c r="AX7" s="22">
        <f t="shared" si="18"/>
        <v>0</v>
      </c>
      <c r="AY7" s="28"/>
      <c r="AZ7" s="22"/>
      <c r="BB7" s="1" t="s">
        <v>77</v>
      </c>
      <c r="BC7" s="10">
        <f>SUMIF($J$3:$J$49,$BB7,$AW$3:$AW$49)</f>
        <v>1090.75</v>
      </c>
      <c r="BD7" s="10">
        <f>'Employment Comparison'!D6</f>
        <v>1090.75</v>
      </c>
      <c r="BE7" s="19">
        <f t="shared" si="19"/>
        <v>0</v>
      </c>
      <c r="BG7" s="10"/>
      <c r="BH7" s="18"/>
    </row>
    <row r="8" spans="1:61" x14ac:dyDescent="0.25">
      <c r="A8" s="1" t="str">
        <f>VLOOKUP($C8,Concordance!$E$2:$F$63,2,)</f>
        <v>Mining</v>
      </c>
      <c r="B8" s="1" t="str">
        <f>INDEX(Concordance!$H$2:$H$83,MATCH($C8,Concordance!$I$2:$I$83,0))</f>
        <v>amore</v>
      </c>
      <c r="C8" s="1" t="s">
        <v>9</v>
      </c>
      <c r="D8" s="2">
        <f>QLFS_NT!C8/1000*VLOOKUP(Calc!$A8,'Employment Comparison'!$B$2:$F$10,COLUMNS('Employment Comparison'!$B$2:$F$2),)</f>
        <v>23.24074602138089</v>
      </c>
      <c r="E8" s="2">
        <f>QLFS_NT!D8/1000*VLOOKUP(Calc!$A8,'Employment Comparison'!$B$2:$F$10,COLUMNS('Employment Comparison'!$B$2:$F$2),)</f>
        <v>28.75085332504484</v>
      </c>
      <c r="F8" s="2">
        <f>QLFS_NT!E8/1000*VLOOKUP(Calc!$A8,'Employment Comparison'!$B$2:$F$10,COLUMNS('Employment Comparison'!$B$2:$F$2),)</f>
        <v>48.742927453826347</v>
      </c>
      <c r="G8" s="2">
        <f>QLFS_NT!F8/1000*VLOOKUP(Calc!$A8,'Employment Comparison'!$B$2:$F$10,COLUMNS('Employment Comparison'!$B$2:$F$2),)</f>
        <v>54.59032270942464</v>
      </c>
      <c r="H8" s="13">
        <f t="shared" si="7"/>
        <v>155.32484950967671</v>
      </c>
      <c r="J8" s="1" t="str">
        <f>VLOOKUP($K8,Concordance!$B$2:$C$68,2,)</f>
        <v>Mining</v>
      </c>
      <c r="K8" s="1" t="s">
        <v>9</v>
      </c>
      <c r="L8" s="2">
        <f t="shared" si="8"/>
        <v>23.24074602138089</v>
      </c>
      <c r="M8" s="2">
        <f t="shared" si="9"/>
        <v>28.75085332504484</v>
      </c>
      <c r="N8" s="2">
        <f t="shared" si="10"/>
        <v>48.742927453826347</v>
      </c>
      <c r="O8" s="2">
        <f t="shared" si="11"/>
        <v>54.59032270942464</v>
      </c>
      <c r="P8" s="13">
        <f t="shared" si="12"/>
        <v>155.32484950967671</v>
      </c>
      <c r="R8" s="2">
        <f>VLOOKUP($K8,'2012 SAM'!$B$4:$F$70,COLUMNS('2012 SAM'!$B$4:C$4),)</f>
        <v>4749.2565962723284</v>
      </c>
      <c r="S8" s="2">
        <f>VLOOKUP($K8,'2012 SAM'!$B$4:$F$70,COLUMNS('2012 SAM'!$B$4:D$4),)</f>
        <v>6241.3215269744433</v>
      </c>
      <c r="T8" s="2">
        <f>VLOOKUP($K8,'2012 SAM'!$B$4:$F$70,COLUMNS('2012 SAM'!$B$4:E$4),)</f>
        <v>13276.679677409393</v>
      </c>
      <c r="U8" s="2">
        <f>VLOOKUP($K8,'2012 SAM'!$B$4:$F$70,COLUMNS('2012 SAM'!$B$4:F$4),)</f>
        <v>22811.425238869211</v>
      </c>
      <c r="V8" s="13">
        <f t="shared" si="13"/>
        <v>47078.683039525378</v>
      </c>
      <c r="X8" s="2">
        <f t="shared" si="14"/>
        <v>204350.43659541456</v>
      </c>
      <c r="Y8" s="2">
        <f t="shared" si="0"/>
        <v>217083.00120392026</v>
      </c>
      <c r="Z8" s="2">
        <f t="shared" si="1"/>
        <v>272381.66378058126</v>
      </c>
      <c r="AA8" s="2">
        <f t="shared" si="2"/>
        <v>417865.73346141761</v>
      </c>
      <c r="AB8" s="13">
        <f t="shared" si="3"/>
        <v>303098.2047505051</v>
      </c>
      <c r="AF8" s="24">
        <f t="shared" si="22"/>
        <v>204350.43659541456</v>
      </c>
      <c r="AG8" s="24">
        <f t="shared" si="23"/>
        <v>217083.00120392026</v>
      </c>
      <c r="AH8" s="24">
        <f t="shared" si="24"/>
        <v>272381.66378058126</v>
      </c>
      <c r="AI8" s="24">
        <f t="shared" si="25"/>
        <v>417865.73346141761</v>
      </c>
      <c r="AJ8" s="13"/>
      <c r="AN8" s="2"/>
      <c r="AO8" s="18">
        <f t="shared" si="16"/>
        <v>6.2307498925066707E-2</v>
      </c>
      <c r="AP8" s="18">
        <f t="shared" si="5"/>
        <v>0.25473511177743191</v>
      </c>
      <c r="AQ8" s="18">
        <f t="shared" si="6"/>
        <v>0.53411844123997976</v>
      </c>
      <c r="AS8" s="2">
        <f>R8/(AF8/1000)</f>
        <v>23.24074602138089</v>
      </c>
      <c r="AT8" s="2">
        <f>S8/(AG8/1000)</f>
        <v>28.75085332504484</v>
      </c>
      <c r="AU8" s="2">
        <f>T8/(AH8/1000)</f>
        <v>48.742927453826347</v>
      </c>
      <c r="AV8" s="2">
        <f>U8/(AI8/1000)</f>
        <v>54.59032270942464</v>
      </c>
      <c r="AW8" s="13">
        <f t="shared" si="17"/>
        <v>155.32484950967671</v>
      </c>
      <c r="AX8" s="22">
        <f t="shared" si="18"/>
        <v>0</v>
      </c>
      <c r="AY8" s="28"/>
      <c r="AZ8" s="22"/>
      <c r="BB8" s="1" t="s">
        <v>78</v>
      </c>
      <c r="BC8" s="10">
        <f>SUMIF($J$3:$J$49,$BB8,$AW$3:$AW$49)</f>
        <v>3145</v>
      </c>
      <c r="BD8" s="10">
        <f>'Employment Comparison'!D7</f>
        <v>3145</v>
      </c>
      <c r="BE8" s="19">
        <f t="shared" si="19"/>
        <v>0</v>
      </c>
      <c r="BG8" s="10"/>
      <c r="BH8" s="18"/>
    </row>
    <row r="9" spans="1:61" x14ac:dyDescent="0.25">
      <c r="A9" s="1" t="str">
        <f>VLOOKUP($C9,Concordance!$E$2:$F$63,2,)</f>
        <v>Mining</v>
      </c>
      <c r="B9" s="1" t="str">
        <f>INDEX(Concordance!$H$2:$H$83,MATCH($C9,Concordance!$I$2:$I$83,0))</f>
        <v>amine</v>
      </c>
      <c r="C9" s="1" t="s">
        <v>89</v>
      </c>
      <c r="D9" s="2">
        <f>QLFS_NT!C9/1000*VLOOKUP(Calc!$A9,'Employment Comparison'!$B$2:$F$10,COLUMNS('Employment Comparison'!$B$2:$F$2),)</f>
        <v>4.2808801010587798</v>
      </c>
      <c r="E9" s="2">
        <f>QLFS_NT!D9/1000*VLOOKUP(Calc!$A9,'Employment Comparison'!$B$2:$F$10,COLUMNS('Employment Comparison'!$B$2:$F$2),)</f>
        <v>8.3990053808666989</v>
      </c>
      <c r="F9" s="2">
        <f>QLFS_NT!E9/1000*VLOOKUP(Calc!$A9,'Employment Comparison'!$B$2:$F$10,COLUMNS('Employment Comparison'!$B$2:$F$2),)</f>
        <v>13.445475595046297</v>
      </c>
      <c r="G9" s="2">
        <f>QLFS_NT!F9/1000*VLOOKUP(Calc!$A9,'Employment Comparison'!$B$2:$F$10,COLUMNS('Employment Comparison'!$B$2:$F$2),)</f>
        <v>26.970187089912088</v>
      </c>
      <c r="H9" s="13">
        <f t="shared" si="7"/>
        <v>53.095548166883859</v>
      </c>
      <c r="J9" s="1" t="str">
        <f>VLOOKUP($K9,Concordance!$B$2:$C$68,2,)</f>
        <v>Mining</v>
      </c>
      <c r="K9" s="1" t="s">
        <v>10</v>
      </c>
      <c r="L9" s="2">
        <f t="shared" si="8"/>
        <v>4.2808801010587798</v>
      </c>
      <c r="M9" s="2">
        <f t="shared" si="9"/>
        <v>8.3990053808666989</v>
      </c>
      <c r="N9" s="2">
        <f t="shared" si="10"/>
        <v>13.445475595046297</v>
      </c>
      <c r="O9" s="2">
        <f t="shared" si="11"/>
        <v>26.970187089912088</v>
      </c>
      <c r="P9" s="13">
        <f t="shared" si="12"/>
        <v>53.095548166883859</v>
      </c>
      <c r="R9" s="2">
        <f>SUM('2012 SAM'!C10:C13)</f>
        <v>336.20200226778786</v>
      </c>
      <c r="S9" s="2">
        <f>SUM('2012 SAM'!D10:D13)</f>
        <v>1135.847635884938</v>
      </c>
      <c r="T9" s="2">
        <f>SUM('2012 SAM'!E10:E13)</f>
        <v>2142.7088494246264</v>
      </c>
      <c r="U9" s="2">
        <f>SUM('2012 SAM'!F10:F13)</f>
        <v>9662.2763248042011</v>
      </c>
      <c r="V9" s="13">
        <f t="shared" si="13"/>
        <v>13277.034812381553</v>
      </c>
      <c r="X9" s="2">
        <f t="shared" si="14"/>
        <v>78535.720303083435</v>
      </c>
      <c r="Y9" s="2">
        <f t="shared" si="0"/>
        <v>135235.96954378055</v>
      </c>
      <c r="Z9" s="2">
        <f t="shared" si="1"/>
        <v>159362.8157128233</v>
      </c>
      <c r="AA9" s="2">
        <f t="shared" si="2"/>
        <v>358257.66772000899</v>
      </c>
      <c r="AB9" s="13">
        <f t="shared" si="3"/>
        <v>250059.2850204822</v>
      </c>
      <c r="AF9" s="24">
        <f t="shared" si="22"/>
        <v>78535.720303083435</v>
      </c>
      <c r="AG9" s="24">
        <f t="shared" si="23"/>
        <v>135235.96954378055</v>
      </c>
      <c r="AH9" s="24">
        <f t="shared" si="24"/>
        <v>159362.8157128233</v>
      </c>
      <c r="AI9" s="24">
        <f t="shared" si="25"/>
        <v>358257.66772000899</v>
      </c>
      <c r="AJ9" s="13"/>
      <c r="AN9" s="2"/>
      <c r="AO9" s="18">
        <f t="shared" si="16"/>
        <v>0.72196764761156684</v>
      </c>
      <c r="AP9" s="18">
        <f t="shared" si="5"/>
        <v>0.17840553996421837</v>
      </c>
      <c r="AQ9" s="18">
        <f t="shared" si="6"/>
        <v>1.2480631138295166</v>
      </c>
      <c r="AS9" s="2">
        <f>R9/(AF9/1000)</f>
        <v>4.2808801010587798</v>
      </c>
      <c r="AT9" s="2">
        <f>S9/(AG9/1000)</f>
        <v>8.3990053808666989</v>
      </c>
      <c r="AU9" s="2">
        <f>T9/(AH9/1000)</f>
        <v>13.445475595046297</v>
      </c>
      <c r="AV9" s="2">
        <f>U9/(AI9/1000)</f>
        <v>26.970187089912088</v>
      </c>
      <c r="AW9" s="13">
        <f t="shared" si="17"/>
        <v>53.095548166883859</v>
      </c>
      <c r="AX9" s="22">
        <f t="shared" si="18"/>
        <v>0</v>
      </c>
      <c r="AY9" s="28"/>
      <c r="AZ9" s="22"/>
      <c r="BB9" s="1" t="s">
        <v>79</v>
      </c>
      <c r="BC9" s="10">
        <f>SUMIF($J$3:$J$49,$BB9,$AW$3:$AW$49)</f>
        <v>859.75000000000011</v>
      </c>
      <c r="BD9" s="10">
        <f>'Employment Comparison'!D8</f>
        <v>859.75</v>
      </c>
      <c r="BE9" s="19">
        <f t="shared" si="19"/>
        <v>0</v>
      </c>
      <c r="BG9" s="10"/>
      <c r="BH9" s="18"/>
    </row>
    <row r="10" spans="1:61" x14ac:dyDescent="0.25">
      <c r="A10" s="1" t="str">
        <f>VLOOKUP($C10,Concordance!$E$2:$F$63,2,)</f>
        <v>Manufacturing</v>
      </c>
      <c r="B10" s="1" t="str">
        <f>INDEX(Concordance!$H$2:$H$83,MATCH($C10,Concordance!$I$2:$I$83,0))</f>
        <v>afood</v>
      </c>
      <c r="C10" s="1" t="s">
        <v>14</v>
      </c>
      <c r="D10" s="2">
        <f>QLFS_NT!C10/1000*VLOOKUP(Calc!$A10,'Employment Comparison'!$B$2:$F$10,COLUMNS('Employment Comparison'!$B$2:$F$2),)</f>
        <v>24.600370820561601</v>
      </c>
      <c r="E10" s="2">
        <f>QLFS_NT!D10/1000*VLOOKUP(Calc!$A10,'Employment Comparison'!$B$2:$F$10,COLUMNS('Employment Comparison'!$B$2:$F$2),)</f>
        <v>64.490240637001023</v>
      </c>
      <c r="F10" s="2">
        <f>QLFS_NT!E10/1000*VLOOKUP(Calc!$A10,'Employment Comparison'!$B$2:$F$10,COLUMNS('Employment Comparison'!$B$2:$F$2),)</f>
        <v>109.94060705351794</v>
      </c>
      <c r="G10" s="2">
        <f>QLFS_NT!F10/1000*VLOOKUP(Calc!$A10,'Employment Comparison'!$B$2:$F$10,COLUMNS('Employment Comparison'!$B$2:$F$2),)</f>
        <v>79.926938660465765</v>
      </c>
      <c r="H10" s="13">
        <f t="shared" si="7"/>
        <v>278.9581571715463</v>
      </c>
      <c r="J10" s="1" t="str">
        <f>VLOOKUP($K10,Concordance!$B$2:$C$68,2,)</f>
        <v>Manufacturing</v>
      </c>
      <c r="K10" s="1" t="s">
        <v>14</v>
      </c>
      <c r="L10" s="2">
        <f t="shared" si="8"/>
        <v>24.600370820561601</v>
      </c>
      <c r="M10" s="2">
        <f t="shared" si="9"/>
        <v>64.490240637001023</v>
      </c>
      <c r="N10" s="2">
        <f t="shared" si="10"/>
        <v>109.94060705351794</v>
      </c>
      <c r="O10" s="2">
        <f t="shared" si="11"/>
        <v>79.926938660465765</v>
      </c>
      <c r="P10" s="13">
        <f t="shared" si="12"/>
        <v>278.9581571715463</v>
      </c>
      <c r="R10" s="2">
        <f>VLOOKUP($K10,'2012 SAM'!$B$4:$F$70,COLUMNS('2012 SAM'!$B$4:C$4),)</f>
        <v>1661.4165310113679</v>
      </c>
      <c r="S10" s="2">
        <f>VLOOKUP($K10,'2012 SAM'!$B$4:$F$70,COLUMNS('2012 SAM'!$B$4:D$4),)</f>
        <v>4309.6019019980422</v>
      </c>
      <c r="T10" s="2">
        <f>VLOOKUP($K10,'2012 SAM'!$B$4:$F$70,COLUMNS('2012 SAM'!$B$4:E$4),)</f>
        <v>10160.505689394238</v>
      </c>
      <c r="U10" s="2">
        <f>VLOOKUP($K10,'2012 SAM'!$B$4:$F$70,COLUMNS('2012 SAM'!$B$4:F$4),)</f>
        <v>18954.629991051817</v>
      </c>
      <c r="V10" s="13">
        <f t="shared" si="13"/>
        <v>35086.154113455465</v>
      </c>
      <c r="X10" s="2">
        <f t="shared" si="14"/>
        <v>67536.239316470572</v>
      </c>
      <c r="Y10" s="2">
        <f t="shared" si="0"/>
        <v>66825.644615837038</v>
      </c>
      <c r="Z10" s="2">
        <f t="shared" si="1"/>
        <v>92418.133405868954</v>
      </c>
      <c r="AA10" s="2">
        <f t="shared" si="2"/>
        <v>237149.45559934652</v>
      </c>
      <c r="AB10" s="13">
        <f t="shared" si="3"/>
        <v>125775.68789959818</v>
      </c>
      <c r="AF10" s="26">
        <f>SUM(R10:R11)/SUM(L10:L11)*1000</f>
        <v>65494.606967208543</v>
      </c>
      <c r="AG10" s="26">
        <f t="shared" ref="AG10:AI10" si="26">SUM(S10:S11)/SUM(M10:M11)*1000</f>
        <v>68183.150908394222</v>
      </c>
      <c r="AH10" s="26">
        <f t="shared" si="26"/>
        <v>95187.129196503171</v>
      </c>
      <c r="AI10" s="26">
        <f t="shared" si="26"/>
        <v>263841.26726285357</v>
      </c>
      <c r="AJ10" s="13"/>
      <c r="AN10" s="2"/>
      <c r="AO10" s="18">
        <f t="shared" si="16"/>
        <v>4.1049852280688803E-2</v>
      </c>
      <c r="AP10" s="18">
        <f t="shared" si="5"/>
        <v>0.39605060676045123</v>
      </c>
      <c r="AQ10" s="18">
        <f t="shared" si="6"/>
        <v>1.7718166257350068</v>
      </c>
      <c r="AS10" s="2">
        <f>R10/(AF10/1000)</f>
        <v>25.367226523600582</v>
      </c>
      <c r="AT10" s="2">
        <f>S10/(AG10/1000)</f>
        <v>63.206259091606086</v>
      </c>
      <c r="AU10" s="2">
        <f>T10/(AH10/1000)</f>
        <v>106.74243225067764</v>
      </c>
      <c r="AV10" s="2">
        <f>U10/(AI10/1000)</f>
        <v>71.841036042963452</v>
      </c>
      <c r="AW10" s="13">
        <f t="shared" si="17"/>
        <v>267.15695390884775</v>
      </c>
      <c r="AX10" s="22">
        <f t="shared" si="18"/>
        <v>-4.2304564176774972E-2</v>
      </c>
      <c r="AY10" s="23">
        <f>SUM(AW10:AW11)/SUM(P10:P11)-1</f>
        <v>0</v>
      </c>
      <c r="AZ10" s="22"/>
      <c r="BB10" s="1" t="s">
        <v>80</v>
      </c>
      <c r="BC10" s="10">
        <f>SUMIF($J$3:$J$49,$BB10,$AW$3:$AW$49)</f>
        <v>1904.1164620411491</v>
      </c>
      <c r="BD10" s="10">
        <f>'Employment Comparison'!D9</f>
        <v>1902</v>
      </c>
      <c r="BE10" s="19">
        <f t="shared" si="19"/>
        <v>-1.1115192181471167E-3</v>
      </c>
      <c r="BG10" s="10"/>
      <c r="BH10" s="18"/>
    </row>
    <row r="11" spans="1:61" x14ac:dyDescent="0.25">
      <c r="A11" s="1" t="str">
        <f>VLOOKUP($C11,Concordance!$E$2:$F$63,2,)</f>
        <v>Manufacturing</v>
      </c>
      <c r="B11" s="1" t="str">
        <f>INDEX(Concordance!$H$2:$H$83,MATCH($C11,Concordance!$I$2:$I$83,0))</f>
        <v>abevt</v>
      </c>
      <c r="C11" s="1" t="s">
        <v>15</v>
      </c>
      <c r="D11" s="2">
        <f>QLFS_NT!C11/1000*VLOOKUP(Calc!$A11,'Employment Comparison'!$B$2:$F$10,COLUMNS('Employment Comparison'!$B$2:$F$2),)</f>
        <v>15.310832188281717</v>
      </c>
      <c r="E11" s="2">
        <f>QLFS_NT!D11/1000*VLOOKUP(Calc!$A11,'Employment Comparison'!$B$2:$F$10,COLUMNS('Employment Comparison'!$B$2:$F$2),)</f>
        <v>13.502844132050877</v>
      </c>
      <c r="F11" s="2">
        <f>QLFS_NT!E11/1000*VLOOKUP(Calc!$A11,'Employment Comparison'!$B$2:$F$10,COLUMNS('Employment Comparison'!$B$2:$F$2),)</f>
        <v>21.475058133389705</v>
      </c>
      <c r="G11" s="2">
        <f>QLFS_NT!F11/1000*VLOOKUP(Calc!$A11,'Employment Comparison'!$B$2:$F$10,COLUMNS('Employment Comparison'!$B$2:$F$2),)</f>
        <v>24.36570570411866</v>
      </c>
      <c r="H11" s="13">
        <f t="shared" si="7"/>
        <v>74.654440157840952</v>
      </c>
      <c r="J11" s="1" t="str">
        <f>VLOOKUP($K11,Concordance!$B$2:$C$68,2,)</f>
        <v>Manufacturing</v>
      </c>
      <c r="K11" s="1" t="s">
        <v>15</v>
      </c>
      <c r="L11" s="2">
        <f t="shared" si="8"/>
        <v>15.310832188281717</v>
      </c>
      <c r="M11" s="2">
        <f t="shared" si="9"/>
        <v>13.502844132050877</v>
      </c>
      <c r="N11" s="2">
        <f t="shared" si="10"/>
        <v>21.475058133389705</v>
      </c>
      <c r="O11" s="2">
        <f t="shared" si="11"/>
        <v>24.36570570411866</v>
      </c>
      <c r="P11" s="13">
        <f t="shared" si="12"/>
        <v>74.654440157840952</v>
      </c>
      <c r="R11" s="2">
        <f>VLOOKUP($K11,'2012 SAM'!$B$4:$F$70,COLUMNS('2012 SAM'!$B$4:C$4),)</f>
        <v>952.55202364129605</v>
      </c>
      <c r="S11" s="2">
        <f>VLOOKUP($K11,'2012 SAM'!$B$4:$F$70,COLUMNS('2012 SAM'!$B$4:D$4),)</f>
        <v>1008.2123666214064</v>
      </c>
      <c r="T11" s="2">
        <f>VLOOKUP($K11,'2012 SAM'!$B$4:$F$70,COLUMNS('2012 SAM'!$B$4:E$4),)</f>
        <v>2348.5742111963409</v>
      </c>
      <c r="U11" s="2">
        <f>VLOOKUP($K11,'2012 SAM'!$B$4:$F$70,COLUMNS('2012 SAM'!$B$4:F$4),)</f>
        <v>8562.0734642942462</v>
      </c>
      <c r="V11" s="13">
        <f t="shared" si="13"/>
        <v>12871.412065753289</v>
      </c>
      <c r="X11" s="2">
        <f t="shared" si="14"/>
        <v>62214.255366885955</v>
      </c>
      <c r="Y11" s="2">
        <f t="shared" si="0"/>
        <v>74666.667019304063</v>
      </c>
      <c r="Z11" s="2">
        <f t="shared" si="1"/>
        <v>109362.88025897105</v>
      </c>
      <c r="AA11" s="2">
        <f t="shared" si="2"/>
        <v>351398.54220790963</v>
      </c>
      <c r="AB11" s="13">
        <f t="shared" si="3"/>
        <v>172413.21532301928</v>
      </c>
      <c r="AF11" s="25">
        <f>AF10</f>
        <v>65494.606967208543</v>
      </c>
      <c r="AG11" s="25">
        <f t="shared" ref="AG11:AI11" si="27">AG10</f>
        <v>68183.150908394222</v>
      </c>
      <c r="AH11" s="25">
        <f t="shared" si="27"/>
        <v>95187.129196503171</v>
      </c>
      <c r="AI11" s="25">
        <f t="shared" si="27"/>
        <v>263841.26726285357</v>
      </c>
      <c r="AJ11" s="13"/>
      <c r="AN11" s="2"/>
      <c r="AO11" s="18">
        <f>AG11/AF11-1</f>
        <v>4.1049852280688803E-2</v>
      </c>
      <c r="AP11" s="18">
        <f>AH11/AG11-1</f>
        <v>0.39605060676045123</v>
      </c>
      <c r="AQ11" s="18">
        <f t="shared" si="6"/>
        <v>1.7718166257350068</v>
      </c>
      <c r="AS11" s="2">
        <f>R11/(AF11/1000)</f>
        <v>14.543976485242736</v>
      </c>
      <c r="AT11" s="2">
        <f>S11/(AG11/1000)</f>
        <v>14.786825677445812</v>
      </c>
      <c r="AU11" s="2">
        <f>T11/(AH11/1000)</f>
        <v>24.673232936229986</v>
      </c>
      <c r="AV11" s="2">
        <f>U11/(AI11/1000)</f>
        <v>32.451608321620988</v>
      </c>
      <c r="AW11" s="13">
        <f t="shared" si="17"/>
        <v>86.455643420539531</v>
      </c>
      <c r="AX11" s="22">
        <f t="shared" si="18"/>
        <v>0.15807771430269169</v>
      </c>
      <c r="AY11" s="28"/>
      <c r="AZ11" s="22"/>
      <c r="BB11" s="1" t="s">
        <v>82</v>
      </c>
      <c r="BC11" s="10">
        <f>SUMIF($J$3:$J$49,$BB11,$AW$3:$AW$49)</f>
        <v>4438.4921334593218</v>
      </c>
      <c r="BD11" s="10">
        <f>'Employment Comparison'!D10</f>
        <v>4437.2648634921752</v>
      </c>
      <c r="BE11" s="19">
        <f t="shared" si="19"/>
        <v>-2.7650605886964108E-4</v>
      </c>
      <c r="BG11" s="10"/>
      <c r="BH11" s="18"/>
    </row>
    <row r="12" spans="1:61" x14ac:dyDescent="0.25">
      <c r="A12" s="1" t="str">
        <f>VLOOKUP($C12,Concordance!$E$2:$F$63,2,)</f>
        <v>Manufacturing</v>
      </c>
      <c r="B12" s="1" t="str">
        <f>INDEX(Concordance!$H$2:$H$83,MATCH($C12,Concordance!$I$2:$I$83,0))</f>
        <v>atext</v>
      </c>
      <c r="C12" s="1" t="s">
        <v>90</v>
      </c>
      <c r="D12" s="2">
        <f>QLFS_NT!C12/1000*VLOOKUP(Calc!$A12,'Employment Comparison'!$B$2:$F$10,COLUMNS('Employment Comparison'!$B$2:$F$2),)</f>
        <v>9.723669097699327</v>
      </c>
      <c r="E12" s="2">
        <f>QLFS_NT!D12/1000*VLOOKUP(Calc!$A12,'Employment Comparison'!$B$2:$F$10,COLUMNS('Employment Comparison'!$B$2:$F$2),)</f>
        <v>12.543917133495402</v>
      </c>
      <c r="F12" s="2">
        <f>QLFS_NT!E12/1000*VLOOKUP(Calc!$A12,'Employment Comparison'!$B$2:$F$10,COLUMNS('Employment Comparison'!$B$2:$F$2),)</f>
        <v>24.611037416763555</v>
      </c>
      <c r="G12" s="2">
        <f>QLFS_NT!F12/1000*VLOOKUP(Calc!$A12,'Employment Comparison'!$B$2:$F$10,COLUMNS('Employment Comparison'!$B$2:$F$2),)</f>
        <v>21.81105591375119</v>
      </c>
      <c r="H12" s="13">
        <f t="shared" si="7"/>
        <v>68.689679561709468</v>
      </c>
      <c r="J12" s="1" t="str">
        <f>VLOOKUP($K12,Concordance!$B$2:$C$68,2,)</f>
        <v>Manufacturing</v>
      </c>
      <c r="K12" s="1" t="s">
        <v>16</v>
      </c>
      <c r="L12" s="2">
        <f t="shared" si="8"/>
        <v>9.723669097699327</v>
      </c>
      <c r="M12" s="2">
        <f t="shared" si="9"/>
        <v>12.543917133495402</v>
      </c>
      <c r="N12" s="2">
        <f t="shared" si="10"/>
        <v>24.611037416763555</v>
      </c>
      <c r="O12" s="2">
        <f t="shared" si="11"/>
        <v>21.81105591375119</v>
      </c>
      <c r="P12" s="13">
        <f t="shared" si="12"/>
        <v>68.689679561709468</v>
      </c>
      <c r="R12" s="2">
        <f>VLOOKUP($K12,'2012 SAM'!$B$4:$F$70,COLUMNS('2012 SAM'!$B$4:C$4),)</f>
        <v>124.10196885929525</v>
      </c>
      <c r="S12" s="2">
        <f>VLOOKUP($K12,'2012 SAM'!$B$4:$F$70,COLUMNS('2012 SAM'!$B$4:D$4),)</f>
        <v>444.69270330480032</v>
      </c>
      <c r="T12" s="2">
        <f>VLOOKUP($K12,'2012 SAM'!$B$4:$F$70,COLUMNS('2012 SAM'!$B$4:E$4),)</f>
        <v>1182.4007712573218</v>
      </c>
      <c r="U12" s="2">
        <f>VLOOKUP($K12,'2012 SAM'!$B$4:$F$70,COLUMNS('2012 SAM'!$B$4:F$4),)</f>
        <v>1689.1124171509116</v>
      </c>
      <c r="V12" s="13">
        <f t="shared" si="13"/>
        <v>3440.307860572329</v>
      </c>
      <c r="X12" s="2">
        <f t="shared" si="14"/>
        <v>12762.874549963701</v>
      </c>
      <c r="Y12" s="2">
        <f t="shared" si="0"/>
        <v>35450.864237404705</v>
      </c>
      <c r="Z12" s="2">
        <f t="shared" si="1"/>
        <v>48043.516054790191</v>
      </c>
      <c r="AA12" s="2">
        <f t="shared" si="2"/>
        <v>77442.945624928645</v>
      </c>
      <c r="AB12" s="13">
        <f t="shared" si="3"/>
        <v>50084.785407706317</v>
      </c>
      <c r="AF12" s="26">
        <f>SUM(R12:R15)/SUM(L12:L15)*1000</f>
        <v>17245.874001494445</v>
      </c>
      <c r="AG12" s="26">
        <f t="shared" ref="AG12:AI12" si="28">SUM(S12:S15)/SUM(M12:M15)*1000</f>
        <v>32775.925571978594</v>
      </c>
      <c r="AH12" s="26">
        <f t="shared" si="28"/>
        <v>34328.053822347305</v>
      </c>
      <c r="AI12" s="26">
        <f t="shared" si="28"/>
        <v>68209.470545438235</v>
      </c>
      <c r="AJ12" s="13"/>
      <c r="AN12" s="2"/>
      <c r="AO12" s="18">
        <f t="shared" si="16"/>
        <v>0.90050823571704108</v>
      </c>
      <c r="AP12" s="18">
        <f t="shared" si="5"/>
        <v>4.7355741242459004E-2</v>
      </c>
      <c r="AQ12" s="18">
        <f t="shared" si="6"/>
        <v>0.98698915174254309</v>
      </c>
      <c r="AS12" s="2">
        <f>R12/(AF12/1000)</f>
        <v>7.1960382436135832</v>
      </c>
      <c r="AT12" s="2">
        <f>S12/(AG12/1000)</f>
        <v>13.56766271415338</v>
      </c>
      <c r="AU12" s="2">
        <f>T12/(AH12/1000)</f>
        <v>34.444153967376607</v>
      </c>
      <c r="AV12" s="2">
        <f>U12/(AI12/1000)</f>
        <v>24.763605458947186</v>
      </c>
      <c r="AW12" s="13">
        <f t="shared" si="17"/>
        <v>79.971460384090761</v>
      </c>
      <c r="AX12" s="22">
        <f t="shared" si="18"/>
        <v>0.16424273478006191</v>
      </c>
      <c r="AY12" s="23">
        <f>SUM(AW12:AW15)/SUM(P12:P15)-1</f>
        <v>0</v>
      </c>
      <c r="AZ12" s="22"/>
      <c r="BC12" s="10">
        <f>SUM(BC3:BC11)</f>
        <v>14427.674753310368</v>
      </c>
      <c r="BD12" s="10">
        <f>SUM(BD3:BD11)</f>
        <v>14424.764863492175</v>
      </c>
      <c r="BE12" s="19">
        <f t="shared" si="19"/>
        <v>-2.016880660222764E-4</v>
      </c>
      <c r="BG12" s="10"/>
      <c r="BH12" s="18"/>
    </row>
    <row r="13" spans="1:61" x14ac:dyDescent="0.25">
      <c r="A13" s="1" t="str">
        <f>VLOOKUP($C13,Concordance!$E$2:$F$63,2,)</f>
        <v>Manufacturing</v>
      </c>
      <c r="B13" s="1" t="str">
        <f>INDEX(Concordance!$H$2:$H$83,MATCH($C13,Concordance!$I$2:$I$83,0))</f>
        <v>aclth</v>
      </c>
      <c r="C13" s="1" t="s">
        <v>91</v>
      </c>
      <c r="D13" s="2">
        <f>QLFS_NT!C13/1000*VLOOKUP(Calc!$A13,'Employment Comparison'!$B$2:$F$10,COLUMNS('Employment Comparison'!$B$2:$F$2),)</f>
        <v>21.265992847831448</v>
      </c>
      <c r="E13" s="2">
        <f>QLFS_NT!D13/1000*VLOOKUP(Calc!$A13,'Employment Comparison'!$B$2:$F$10,COLUMNS('Employment Comparison'!$B$2:$F$2),)</f>
        <v>38.785877109537402</v>
      </c>
      <c r="F13" s="2">
        <f>QLFS_NT!E13/1000*VLOOKUP(Calc!$A13,'Employment Comparison'!$B$2:$F$10,COLUMNS('Employment Comparison'!$B$2:$F$2),)</f>
        <v>57.028956593735685</v>
      </c>
      <c r="G13" s="2">
        <f>QLFS_NT!F13/1000*VLOOKUP(Calc!$A13,'Employment Comparison'!$B$2:$F$10,COLUMNS('Employment Comparison'!$B$2:$F$2),)</f>
        <v>33.702177359687134</v>
      </c>
      <c r="H13" s="13">
        <f t="shared" si="7"/>
        <v>150.78300391079168</v>
      </c>
      <c r="J13" s="1" t="str">
        <f>VLOOKUP($K13,Concordance!$B$2:$C$68,2,)</f>
        <v>Manufacturing</v>
      </c>
      <c r="K13" s="1" t="s">
        <v>17</v>
      </c>
      <c r="L13" s="2">
        <f t="shared" si="8"/>
        <v>21.265992847831448</v>
      </c>
      <c r="M13" s="2">
        <f t="shared" si="9"/>
        <v>38.785877109537402</v>
      </c>
      <c r="N13" s="2">
        <f t="shared" si="10"/>
        <v>57.028956593735685</v>
      </c>
      <c r="O13" s="2">
        <f t="shared" si="11"/>
        <v>33.702177359687134</v>
      </c>
      <c r="P13" s="13">
        <f t="shared" si="12"/>
        <v>150.78300391079168</v>
      </c>
      <c r="R13" s="2">
        <f>VLOOKUP($K13,'2012 SAM'!$B$4:$F$70,COLUMNS('2012 SAM'!$B$4:C$4),)</f>
        <v>392.47823765892537</v>
      </c>
      <c r="S13" s="2">
        <f>VLOOKUP($K13,'2012 SAM'!$B$4:$F$70,COLUMNS('2012 SAM'!$B$4:D$4),)</f>
        <v>1023.7196780984783</v>
      </c>
      <c r="T13" s="2">
        <f>VLOOKUP($K13,'2012 SAM'!$B$4:$F$70,COLUMNS('2012 SAM'!$B$4:E$4),)</f>
        <v>1450.4096059772514</v>
      </c>
      <c r="U13" s="2">
        <f>VLOOKUP($K13,'2012 SAM'!$B$4:$F$70,COLUMNS('2012 SAM'!$B$4:F$4),)</f>
        <v>1953.0479458436789</v>
      </c>
      <c r="V13" s="13">
        <f t="shared" si="13"/>
        <v>4819.6554675783336</v>
      </c>
      <c r="X13" s="2">
        <f t="shared" si="14"/>
        <v>18455.674299681123</v>
      </c>
      <c r="Y13" s="2">
        <f t="shared" si="0"/>
        <v>26394.135040631758</v>
      </c>
      <c r="Z13" s="2">
        <f t="shared" si="1"/>
        <v>25432.862401984941</v>
      </c>
      <c r="AA13" s="2">
        <f t="shared" si="2"/>
        <v>57950.20081342927</v>
      </c>
      <c r="AB13" s="13">
        <f t="shared" si="3"/>
        <v>31964.182584065009</v>
      </c>
      <c r="AF13" s="25">
        <f>AF12</f>
        <v>17245.874001494445</v>
      </c>
      <c r="AG13" s="25">
        <f t="shared" ref="AG13:AI13" si="29">AG12</f>
        <v>32775.925571978594</v>
      </c>
      <c r="AH13" s="25">
        <f t="shared" si="29"/>
        <v>34328.053822347305</v>
      </c>
      <c r="AI13" s="25">
        <f t="shared" si="29"/>
        <v>68209.470545438235</v>
      </c>
      <c r="AJ13" s="13"/>
      <c r="AN13" s="2"/>
      <c r="AO13" s="18">
        <f t="shared" si="16"/>
        <v>0.90050823571704108</v>
      </c>
      <c r="AP13" s="18">
        <f t="shared" si="5"/>
        <v>4.7355741242459004E-2</v>
      </c>
      <c r="AQ13" s="18">
        <f t="shared" si="6"/>
        <v>0.98698915174254309</v>
      </c>
      <c r="AS13" s="2">
        <f>R13/(AF13/1000)</f>
        <v>22.757805004542828</v>
      </c>
      <c r="AT13" s="2">
        <f>S13/(AG13/1000)</f>
        <v>31.233890736367055</v>
      </c>
      <c r="AU13" s="2">
        <f>T13/(AH13/1000)</f>
        <v>42.25143707485816</v>
      </c>
      <c r="AV13" s="2">
        <f>U13/(AI13/1000)</f>
        <v>28.633090540449832</v>
      </c>
      <c r="AW13" s="13">
        <f t="shared" si="17"/>
        <v>124.87622335621786</v>
      </c>
      <c r="AX13" s="22">
        <f t="shared" si="18"/>
        <v>-0.17181499162797642</v>
      </c>
      <c r="AY13" s="28"/>
      <c r="AZ13" s="22"/>
    </row>
    <row r="14" spans="1:61" x14ac:dyDescent="0.25">
      <c r="A14" s="1" t="str">
        <f>VLOOKUP($C14,Concordance!$E$2:$F$63,2,)</f>
        <v>Manufacturing</v>
      </c>
      <c r="B14" s="1" t="str">
        <f>INDEX(Concordance!$H$2:$H$83,MATCH($C14,Concordance!$I$2:$I$83,0))</f>
        <v>aleat</v>
      </c>
      <c r="C14" s="1" t="s">
        <v>18</v>
      </c>
      <c r="D14" s="2">
        <f>QLFS_NT!C14/1000*VLOOKUP(Calc!$A14,'Employment Comparison'!$B$2:$F$10,COLUMNS('Employment Comparison'!$B$2:$F$2),)</f>
        <v>0.1002660042983476</v>
      </c>
      <c r="E14" s="2">
        <f>QLFS_NT!D14/1000*VLOOKUP(Calc!$A14,'Employment Comparison'!$B$2:$F$10,COLUMNS('Employment Comparison'!$B$2:$F$2),)</f>
        <v>1.1999920727195856</v>
      </c>
      <c r="F14" s="2">
        <f>QLFS_NT!E14/1000*VLOOKUP(Calc!$A14,'Employment Comparison'!$B$2:$F$10,COLUMNS('Employment Comparison'!$B$2:$F$2),)</f>
        <v>9.6596695204876148</v>
      </c>
      <c r="G14" s="2">
        <f>QLFS_NT!F14/1000*VLOOKUP(Calc!$A14,'Employment Comparison'!$B$2:$F$10,COLUMNS('Employment Comparison'!$B$2:$F$2),)</f>
        <v>3.5274433639854843</v>
      </c>
      <c r="H14" s="13">
        <f t="shared" si="7"/>
        <v>14.487370961491031</v>
      </c>
      <c r="J14" s="1" t="str">
        <f>VLOOKUP($K14,Concordance!$B$2:$C$68,2,)</f>
        <v>Manufacturing</v>
      </c>
      <c r="K14" s="1" t="s">
        <v>18</v>
      </c>
      <c r="L14" s="2">
        <f t="shared" si="8"/>
        <v>0.1002660042983476</v>
      </c>
      <c r="M14" s="2">
        <f t="shared" si="9"/>
        <v>1.1999920727195856</v>
      </c>
      <c r="N14" s="2">
        <f t="shared" si="10"/>
        <v>9.6596695204876148</v>
      </c>
      <c r="O14" s="2">
        <f t="shared" si="11"/>
        <v>3.5274433639854843</v>
      </c>
      <c r="P14" s="13">
        <f t="shared" si="12"/>
        <v>14.487370961491031</v>
      </c>
      <c r="R14" s="2">
        <f>VLOOKUP($K14,'2012 SAM'!$B$4:$F$70,COLUMNS('2012 SAM'!$B$4:C$4),)</f>
        <v>1.8024676052505684</v>
      </c>
      <c r="S14" s="2">
        <f>VLOOKUP($K14,'2012 SAM'!$B$4:$F$70,COLUMNS('2012 SAM'!$B$4:D$4),)</f>
        <v>76.349346465609969</v>
      </c>
      <c r="T14" s="2">
        <f>VLOOKUP($K14,'2012 SAM'!$B$4:$F$70,COLUMNS('2012 SAM'!$B$4:E$4),)</f>
        <v>300.21555309415845</v>
      </c>
      <c r="U14" s="2">
        <f>VLOOKUP($K14,'2012 SAM'!$B$4:$F$70,COLUMNS('2012 SAM'!$B$4:F$4),)</f>
        <v>119.6562770862848</v>
      </c>
      <c r="V14" s="13">
        <f t="shared" si="13"/>
        <v>498.02364425130384</v>
      </c>
      <c r="X14" s="2">
        <f t="shared" si="14"/>
        <v>17976.856840601886</v>
      </c>
      <c r="Y14" s="2">
        <f t="shared" si="0"/>
        <v>63624.875698200798</v>
      </c>
      <c r="Z14" s="2">
        <f t="shared" si="1"/>
        <v>31079.277863224841</v>
      </c>
      <c r="AA14" s="2">
        <f t="shared" si="2"/>
        <v>33921.530337794298</v>
      </c>
      <c r="AB14" s="13">
        <f t="shared" si="3"/>
        <v>34376.398973637348</v>
      </c>
      <c r="AF14" s="25">
        <f t="shared" ref="AF14:AF15" si="30">AF13</f>
        <v>17245.874001494445</v>
      </c>
      <c r="AG14" s="25">
        <f t="shared" ref="AG14:AG15" si="31">AG13</f>
        <v>32775.925571978594</v>
      </c>
      <c r="AH14" s="25">
        <f t="shared" ref="AH14:AH15" si="32">AH13</f>
        <v>34328.053822347305</v>
      </c>
      <c r="AI14" s="25">
        <f t="shared" ref="AI14:AI15" si="33">AI13</f>
        <v>68209.470545438235</v>
      </c>
      <c r="AJ14" s="13"/>
      <c r="AN14" s="2"/>
      <c r="AO14" s="18">
        <f t="shared" si="16"/>
        <v>0.90050823571704108</v>
      </c>
      <c r="AP14" s="18">
        <f t="shared" si="5"/>
        <v>4.7355741242459004E-2</v>
      </c>
      <c r="AQ14" s="18">
        <f t="shared" si="6"/>
        <v>0.98698915174254309</v>
      </c>
      <c r="AS14" s="2">
        <f>R14/(AF14/1000)</f>
        <v>0.10451587464308129</v>
      </c>
      <c r="AT14" s="2">
        <f>S14/(AG14/1000)</f>
        <v>2.3294337271403855</v>
      </c>
      <c r="AU14" s="2">
        <f>T14/(AH14/1000)</f>
        <v>8.745487135618518</v>
      </c>
      <c r="AV14" s="2">
        <f>U14/(AI14/1000)</f>
        <v>1.7542472640448792</v>
      </c>
      <c r="AW14" s="13">
        <f t="shared" si="17"/>
        <v>12.933684001446865</v>
      </c>
      <c r="AX14" s="22">
        <f t="shared" si="18"/>
        <v>-0.10724423114269876</v>
      </c>
      <c r="AY14" s="28"/>
      <c r="AZ14" s="22"/>
      <c r="BB14" s="1" t="s">
        <v>138</v>
      </c>
    </row>
    <row r="15" spans="1:61" x14ac:dyDescent="0.25">
      <c r="A15" s="1" t="str">
        <f>VLOOKUP($C15,Concordance!$E$2:$F$63,2,)</f>
        <v>Manufacturing</v>
      </c>
      <c r="B15" s="1" t="str">
        <f>INDEX(Concordance!$H$2:$H$83,MATCH($C15,Concordance!$I$2:$I$83,0))</f>
        <v>afoot</v>
      </c>
      <c r="C15" s="1" t="s">
        <v>19</v>
      </c>
      <c r="D15" s="2">
        <f>QLFS_NT!C15/1000*VLOOKUP(Calc!$A15,'Employment Comparison'!$B$2:$F$10,COLUMNS('Employment Comparison'!$B$2:$F$2),)</f>
        <v>0.84586107881478356</v>
      </c>
      <c r="E15" s="2">
        <f>QLFS_NT!D15/1000*VLOOKUP(Calc!$A15,'Employment Comparison'!$B$2:$F$10,COLUMNS('Employment Comparison'!$B$2:$F$2),)</f>
        <v>2.312518056583166</v>
      </c>
      <c r="F15" s="2">
        <f>QLFS_NT!E15/1000*VLOOKUP(Calc!$A15,'Employment Comparison'!$B$2:$F$10,COLUMNS('Employment Comparison'!$B$2:$F$2),)</f>
        <v>4.9589005742874255</v>
      </c>
      <c r="G15" s="2">
        <f>QLFS_NT!F15/1000*VLOOKUP(Calc!$A15,'Employment Comparison'!$B$2:$F$10,COLUMNS('Employment Comparison'!$B$2:$F$2),)</f>
        <v>5.6767624986787864</v>
      </c>
      <c r="H15" s="13">
        <f t="shared" si="7"/>
        <v>13.794042208364161</v>
      </c>
      <c r="J15" s="1" t="str">
        <f>VLOOKUP($K15,Concordance!$B$2:$C$68,2,)</f>
        <v>Manufacturing</v>
      </c>
      <c r="K15" s="1" t="s">
        <v>19</v>
      </c>
      <c r="L15" s="2">
        <f t="shared" si="8"/>
        <v>0.84586107881478356</v>
      </c>
      <c r="M15" s="2">
        <f t="shared" si="9"/>
        <v>2.312518056583166</v>
      </c>
      <c r="N15" s="2">
        <f t="shared" si="10"/>
        <v>4.9589005742874255</v>
      </c>
      <c r="O15" s="2">
        <f t="shared" si="11"/>
        <v>5.6767624986787864</v>
      </c>
      <c r="P15" s="13">
        <f t="shared" si="12"/>
        <v>13.794042208364161</v>
      </c>
      <c r="R15" s="2">
        <f>VLOOKUP($K15,'2012 SAM'!$B$4:$F$70,COLUMNS('2012 SAM'!$B$4:C$4),)</f>
        <v>32.377919602830417</v>
      </c>
      <c r="S15" s="2">
        <f>VLOOKUP($K15,'2012 SAM'!$B$4:$F$70,COLUMNS('2012 SAM'!$B$4:D$4),)</f>
        <v>252.74555843457827</v>
      </c>
      <c r="T15" s="2">
        <f>VLOOKUP($K15,'2012 SAM'!$B$4:$F$70,COLUMNS('2012 SAM'!$B$4:E$4),)</f>
        <v>371.34323913899226</v>
      </c>
      <c r="U15" s="2">
        <f>VLOOKUP($K15,'2012 SAM'!$B$4:$F$70,COLUMNS('2012 SAM'!$B$4:F$4),)</f>
        <v>652.52561844930756</v>
      </c>
      <c r="V15" s="13">
        <f t="shared" si="13"/>
        <v>1308.9923356257086</v>
      </c>
      <c r="X15" s="2">
        <f t="shared" si="14"/>
        <v>38278.058198632571</v>
      </c>
      <c r="Y15" s="2">
        <f t="shared" si="0"/>
        <v>109294.52322115898</v>
      </c>
      <c r="Z15" s="2">
        <f t="shared" si="1"/>
        <v>74884.187245950743</v>
      </c>
      <c r="AA15" s="2">
        <f t="shared" si="2"/>
        <v>114946.78852623777</v>
      </c>
      <c r="AB15" s="13">
        <f t="shared" si="3"/>
        <v>94895.485736007642</v>
      </c>
      <c r="AF15" s="25">
        <f t="shared" si="30"/>
        <v>17245.874001494445</v>
      </c>
      <c r="AG15" s="25">
        <f t="shared" si="31"/>
        <v>32775.925571978594</v>
      </c>
      <c r="AH15" s="25">
        <f t="shared" si="32"/>
        <v>34328.053822347305</v>
      </c>
      <c r="AI15" s="25">
        <f t="shared" si="33"/>
        <v>68209.470545438235</v>
      </c>
      <c r="AJ15" s="13"/>
      <c r="AN15" s="2"/>
      <c r="AO15" s="18">
        <f t="shared" si="16"/>
        <v>0.90050823571704108</v>
      </c>
      <c r="AP15" s="18">
        <f t="shared" si="5"/>
        <v>4.7355741242459004E-2</v>
      </c>
      <c r="AQ15" s="18">
        <f t="shared" si="6"/>
        <v>0.98698915174254309</v>
      </c>
      <c r="AS15" s="2">
        <f>R15/(AF15/1000)</f>
        <v>1.8774299058444182</v>
      </c>
      <c r="AT15" s="2">
        <f>S15/(AG15/1000)</f>
        <v>7.7113171946747459</v>
      </c>
      <c r="AU15" s="2">
        <f>T15/(AH15/1000)</f>
        <v>10.817485927420988</v>
      </c>
      <c r="AV15" s="2">
        <f>U15/(AI15/1000)</f>
        <v>9.5664958726607168</v>
      </c>
      <c r="AW15" s="13">
        <f t="shared" si="17"/>
        <v>29.97272890060087</v>
      </c>
      <c r="AX15" s="22">
        <f t="shared" si="18"/>
        <v>1.1728749591926428</v>
      </c>
      <c r="AY15" s="28"/>
      <c r="AZ15" s="22"/>
      <c r="BC15" s="1" t="s">
        <v>136</v>
      </c>
      <c r="BD15" s="1" t="s">
        <v>142</v>
      </c>
      <c r="BI15" s="1" t="s">
        <v>141</v>
      </c>
    </row>
    <row r="16" spans="1:61" x14ac:dyDescent="0.25">
      <c r="A16" s="1" t="str">
        <f>VLOOKUP($C16,Concordance!$E$2:$F$63,2,)</f>
        <v>Manufacturing</v>
      </c>
      <c r="B16" s="1" t="str">
        <f>INDEX(Concordance!$H$2:$H$83,MATCH($C16,Concordance!$I$2:$I$83,0))</f>
        <v>awood</v>
      </c>
      <c r="C16" s="1" t="s">
        <v>20</v>
      </c>
      <c r="D16" s="2">
        <f>QLFS_NT!C16/1000*VLOOKUP(Calc!$A16,'Employment Comparison'!$B$2:$F$10,COLUMNS('Employment Comparison'!$B$2:$F$2),)</f>
        <v>10.821261846880175</v>
      </c>
      <c r="E16" s="2">
        <f>QLFS_NT!D16/1000*VLOOKUP(Calc!$A16,'Employment Comparison'!$B$2:$F$10,COLUMNS('Employment Comparison'!$B$2:$F$2),)</f>
        <v>14.649503223760702</v>
      </c>
      <c r="F16" s="2">
        <f>QLFS_NT!E16/1000*VLOOKUP(Calc!$A16,'Employment Comparison'!$B$2:$F$10,COLUMNS('Employment Comparison'!$B$2:$F$2),)</f>
        <v>22.209986611704188</v>
      </c>
      <c r="G16" s="2">
        <f>QLFS_NT!F16/1000*VLOOKUP(Calc!$A16,'Employment Comparison'!$B$2:$F$10,COLUMNS('Employment Comparison'!$B$2:$F$2),)</f>
        <v>15.283099038156642</v>
      </c>
      <c r="H16" s="13">
        <f t="shared" si="7"/>
        <v>62.963850720501704</v>
      </c>
      <c r="J16" s="1" t="str">
        <f>VLOOKUP($K16,Concordance!$B$2:$C$68,2,)</f>
        <v>Manufacturing</v>
      </c>
      <c r="K16" s="1" t="s">
        <v>20</v>
      </c>
      <c r="L16" s="2">
        <f t="shared" si="8"/>
        <v>10.821261846880175</v>
      </c>
      <c r="M16" s="2">
        <f t="shared" si="9"/>
        <v>14.649503223760702</v>
      </c>
      <c r="N16" s="2">
        <f t="shared" si="10"/>
        <v>22.209986611704188</v>
      </c>
      <c r="O16" s="2">
        <f t="shared" si="11"/>
        <v>15.283099038156642</v>
      </c>
      <c r="P16" s="13">
        <f t="shared" si="12"/>
        <v>62.963850720501704</v>
      </c>
      <c r="R16" s="2">
        <f>VLOOKUP($K16,'2012 SAM'!$B$4:$F$70,COLUMNS('2012 SAM'!$B$4:C$4),)</f>
        <v>1007.3537037474578</v>
      </c>
      <c r="S16" s="2">
        <f>VLOOKUP($K16,'2012 SAM'!$B$4:$F$70,COLUMNS('2012 SAM'!$B$4:D$4),)</f>
        <v>1913.9845951518889</v>
      </c>
      <c r="T16" s="2">
        <f>VLOOKUP($K16,'2012 SAM'!$B$4:$F$70,COLUMNS('2012 SAM'!$B$4:E$4),)</f>
        <v>2380.270416191895</v>
      </c>
      <c r="U16" s="2">
        <f>VLOOKUP($K16,'2012 SAM'!$B$4:$F$70,COLUMNS('2012 SAM'!$B$4:F$4),)</f>
        <v>2081.5810163212732</v>
      </c>
      <c r="V16" s="13">
        <f t="shared" si="13"/>
        <v>7383.1897314125144</v>
      </c>
      <c r="X16" s="2">
        <f t="shared" si="14"/>
        <v>93090.22533614072</v>
      </c>
      <c r="Y16" s="2">
        <f t="shared" si="0"/>
        <v>130651.8429954341</v>
      </c>
      <c r="Z16" s="2">
        <f t="shared" si="1"/>
        <v>107171.17744400365</v>
      </c>
      <c r="AA16" s="2">
        <f t="shared" si="2"/>
        <v>136201.50017508108</v>
      </c>
      <c r="AB16" s="13">
        <f t="shared" si="3"/>
        <v>117260.7718067737</v>
      </c>
      <c r="AF16" s="26">
        <f>SUM(R16:R17)/SUM(L16:L17)*1000</f>
        <v>90255.923884744785</v>
      </c>
      <c r="AG16" s="26">
        <f>SUM(S16:S17)/SUM(M16:M17)*1000*0.9</f>
        <v>96987.279303718125</v>
      </c>
      <c r="AH16" s="26">
        <f>SUM(T16:T17)/SUM(N16:N17)*1000*1.1</f>
        <v>105515.83074681941</v>
      </c>
      <c r="AI16" s="26">
        <f t="shared" ref="AI16" si="34">SUM(U16:U17)/SUM(O16:O17)*1000</f>
        <v>199052.85665061942</v>
      </c>
      <c r="AJ16" s="13"/>
      <c r="AN16" s="2"/>
      <c r="AO16" s="18">
        <f t="shared" si="16"/>
        <v>7.4580760234299603E-2</v>
      </c>
      <c r="AP16" s="18">
        <f t="shared" si="5"/>
        <v>8.7934742621183393E-2</v>
      </c>
      <c r="AQ16" s="18">
        <f t="shared" si="6"/>
        <v>0.88647386123735283</v>
      </c>
      <c r="AS16" s="2">
        <f>R16/(AF16/1000)</f>
        <v>11.161081294052572</v>
      </c>
      <c r="AT16" s="2">
        <f>S16/(AG16/1000)</f>
        <v>19.734387941311329</v>
      </c>
      <c r="AU16" s="2">
        <f>T16/(AH16/1000)</f>
        <v>22.558419901021765</v>
      </c>
      <c r="AV16" s="2">
        <f>U16/(AI16/1000)</f>
        <v>10.457428500887559</v>
      </c>
      <c r="AW16" s="13">
        <f t="shared" si="17"/>
        <v>63.911317637273228</v>
      </c>
      <c r="AX16" s="22">
        <f t="shared" si="18"/>
        <v>1.5047791803226129E-2</v>
      </c>
      <c r="AY16" s="23">
        <f>SUM(AW16:AW18)/SUM(P16:P18)-1</f>
        <v>-5.4124365934072882E-3</v>
      </c>
      <c r="AZ16" s="22"/>
      <c r="BB16" s="1" t="s">
        <v>73</v>
      </c>
      <c r="BC16" s="10">
        <f>SUMIF($J$3:$J$49,$BB16,V$3:V$49)/SUMIF($J$3:$J$49,$BB16,AW$3:AW$49)</f>
        <v>31.043951428916763</v>
      </c>
      <c r="BD16" s="8">
        <f>SUMIF(QLFS_NT!$A$3:$A$64,BB16,QLFS_NT!$M$3:$M$64)/SUMIF(QLFS_NT!$A$3:$A$64,BB16,QLFS_NT!$G$3:$G$64)*1000</f>
        <v>32.658320950299434</v>
      </c>
      <c r="BE16" s="17"/>
      <c r="BF16" s="9">
        <f>BC16/$BC$25</f>
        <v>0.30389213725257003</v>
      </c>
      <c r="BG16" s="9">
        <f>BD16/$BD$25</f>
        <v>0.40630953747765591</v>
      </c>
    </row>
    <row r="17" spans="1:61" x14ac:dyDescent="0.25">
      <c r="A17" s="1" t="str">
        <f>VLOOKUP($C17,Concordance!$E$2:$F$63,2,)</f>
        <v>Manufacturing</v>
      </c>
      <c r="B17" s="1" t="str">
        <f>INDEX(Concordance!$H$2:$H$83,MATCH($C17,Concordance!$I$2:$I$83,0))</f>
        <v>apapr</v>
      </c>
      <c r="C17" s="1" t="s">
        <v>21</v>
      </c>
      <c r="D17" s="2">
        <f>QLFS_NT!C17/1000*VLOOKUP(Calc!$A17,'Employment Comparison'!$B$2:$F$10,COLUMNS('Employment Comparison'!$B$2:$F$2),)</f>
        <v>1.8954541450868476</v>
      </c>
      <c r="E17" s="2">
        <f>QLFS_NT!D17/1000*VLOOKUP(Calc!$A17,'Employment Comparison'!$B$2:$F$10,COLUMNS('Employment Comparison'!$B$2:$F$2),)</f>
        <v>9.5615368354296582</v>
      </c>
      <c r="F17" s="2">
        <f>QLFS_NT!E17/1000*VLOOKUP(Calc!$A17,'Employment Comparison'!$B$2:$F$10,COLUMNS('Employment Comparison'!$B$2:$F$2),)</f>
        <v>19.542270901596027</v>
      </c>
      <c r="G17" s="2">
        <f>QLFS_NT!F17/1000*VLOOKUP(Calc!$A17,'Employment Comparison'!$B$2:$F$10,COLUMNS('Employment Comparison'!$B$2:$F$2),)</f>
        <v>20.048934221188738</v>
      </c>
      <c r="H17" s="13">
        <f t="shared" si="7"/>
        <v>51.048196103301272</v>
      </c>
      <c r="J17" s="1" t="str">
        <f>VLOOKUP($K17,Concordance!$B$2:$C$68,2,)</f>
        <v>Manufacturing</v>
      </c>
      <c r="K17" s="1" t="s">
        <v>21</v>
      </c>
      <c r="L17" s="2">
        <f t="shared" si="8"/>
        <v>1.8954541450868476</v>
      </c>
      <c r="M17" s="2">
        <f t="shared" si="9"/>
        <v>9.5615368354296582</v>
      </c>
      <c r="N17" s="2">
        <f t="shared" si="10"/>
        <v>19.542270901596027</v>
      </c>
      <c r="O17" s="2">
        <f t="shared" si="11"/>
        <v>20.048934221188738</v>
      </c>
      <c r="P17" s="13">
        <f t="shared" si="12"/>
        <v>51.048196103301272</v>
      </c>
      <c r="R17" s="2">
        <f>VLOOKUP($K17,'2012 SAM'!$B$4:$F$70,COLUMNS('2012 SAM'!$B$4:C$4),)</f>
        <v>140.40524688743463</v>
      </c>
      <c r="S17" s="2">
        <f>VLOOKUP($K17,'2012 SAM'!$B$4:$F$70,COLUMNS('2012 SAM'!$B$4:D$4),)</f>
        <v>695.08529868611538</v>
      </c>
      <c r="T17" s="2">
        <f>VLOOKUP($K17,'2012 SAM'!$B$4:$F$70,COLUMNS('2012 SAM'!$B$4:E$4),)</f>
        <v>1624.7515265999273</v>
      </c>
      <c r="U17" s="2">
        <f>VLOOKUP($K17,'2012 SAM'!$B$4:$F$70,COLUMNS('2012 SAM'!$B$4:F$4),)</f>
        <v>4951.3611352261196</v>
      </c>
      <c r="V17" s="13">
        <f t="shared" si="13"/>
        <v>7411.6032073995966</v>
      </c>
      <c r="X17" s="2">
        <f t="shared" si="14"/>
        <v>74074.726234541231</v>
      </c>
      <c r="Y17" s="2">
        <f t="shared" si="0"/>
        <v>72695.980850120424</v>
      </c>
      <c r="Z17" s="2">
        <f t="shared" si="1"/>
        <v>83140.364534974957</v>
      </c>
      <c r="AA17" s="2">
        <f t="shared" si="2"/>
        <v>246963.80768177035</v>
      </c>
      <c r="AB17" s="13">
        <f t="shared" si="3"/>
        <v>145188.34695748027</v>
      </c>
      <c r="AF17" s="25">
        <f>AF16</f>
        <v>90255.923884744785</v>
      </c>
      <c r="AG17" s="25">
        <f t="shared" ref="AG17:AI17" si="35">AG16</f>
        <v>96987.279303718125</v>
      </c>
      <c r="AH17" s="25">
        <f t="shared" si="35"/>
        <v>105515.83074681941</v>
      </c>
      <c r="AI17" s="25">
        <f t="shared" si="35"/>
        <v>199052.85665061942</v>
      </c>
      <c r="AJ17" s="13"/>
      <c r="AN17" s="2"/>
      <c r="AO17" s="18">
        <f t="shared" si="16"/>
        <v>7.4580760234299603E-2</v>
      </c>
      <c r="AP17" s="18">
        <f t="shared" si="5"/>
        <v>8.7934742621183393E-2</v>
      </c>
      <c r="AQ17" s="18">
        <f t="shared" si="6"/>
        <v>0.88647386123735283</v>
      </c>
      <c r="AS17" s="2">
        <f>R17/(AF17/1000)</f>
        <v>1.5556346979144509</v>
      </c>
      <c r="AT17" s="2">
        <f>S17/(AG17/1000)</f>
        <v>7.1667676800112945</v>
      </c>
      <c r="AU17" s="2">
        <f>T17/(AH17/1000)</f>
        <v>15.39817783834207</v>
      </c>
      <c r="AV17" s="2">
        <f>U17/(AI17/1000)</f>
        <v>24.874604758457817</v>
      </c>
      <c r="AW17" s="13">
        <f t="shared" si="17"/>
        <v>48.995184974725632</v>
      </c>
      <c r="AX17" s="22">
        <f t="shared" si="18"/>
        <v>-4.0217114125270181E-2</v>
      </c>
      <c r="AY17" s="28"/>
      <c r="AZ17" s="22"/>
      <c r="BB17" s="1" t="s">
        <v>74</v>
      </c>
      <c r="BC17" s="10">
        <f t="shared" ref="BC17:BC24" si="36">SUMIF($J$3:$J$49,$BB17,V$3:V$49)/SUMIF($J$3:$J$49,$BB17,AW$3:AW$49)</f>
        <v>293.3942612637764</v>
      </c>
      <c r="BD17" s="8">
        <f>SUMIF(QLFS_NT!$A$3:$A$64,BB17,QLFS_NT!$M$3:$M$64)/SUMIF(QLFS_NT!$A$3:$A$64,BB17,QLFS_NT!$G$3:$G$64)*1000</f>
        <v>95.948809051946611</v>
      </c>
      <c r="BE17" s="17"/>
      <c r="BF17" s="9">
        <f t="shared" ref="BF17:BF25" si="37">BC17/$BC$25</f>
        <v>2.8720638001655017</v>
      </c>
      <c r="BG17" s="9">
        <f t="shared" ref="BG17:BG25" si="38">BD17/$BD$25</f>
        <v>1.1937207759932591</v>
      </c>
      <c r="BI17" s="9">
        <v>1.1632496646867216</v>
      </c>
    </row>
    <row r="18" spans="1:61" x14ac:dyDescent="0.25">
      <c r="A18" s="1" t="str">
        <f>VLOOKUP($C18,Concordance!$E$2:$F$63,2,)</f>
        <v>Manufacturing</v>
      </c>
      <c r="B18" s="1" t="str">
        <f>INDEX(Concordance!$H$2:$H$83,MATCH($C18,Concordance!$I$2:$I$83,0))</f>
        <v>aprnt</v>
      </c>
      <c r="C18" s="1" t="s">
        <v>22</v>
      </c>
      <c r="D18" s="2">
        <f>QLFS_NT!C18/1000*VLOOKUP(Calc!$A18,'Employment Comparison'!$B$2:$F$10,COLUMNS('Employment Comparison'!$B$2:$F$2),)</f>
        <v>4.8181015044216613</v>
      </c>
      <c r="E18" s="2">
        <f>QLFS_NT!D18/1000*VLOOKUP(Calc!$A18,'Employment Comparison'!$B$2:$F$10,COLUMNS('Employment Comparison'!$B$2:$F$2),)</f>
        <v>11.4804574921608</v>
      </c>
      <c r="F18" s="2">
        <f>QLFS_NT!E18/1000*VLOOKUP(Calc!$A18,'Employment Comparison'!$B$2:$F$10,COLUMNS('Employment Comparison'!$B$2:$F$2),)</f>
        <v>30.990728605150967</v>
      </c>
      <c r="G18" s="2">
        <f>QLFS_NT!F18/1000*VLOOKUP(Calc!$A18,'Employment Comparison'!$B$2:$F$10,COLUMNS('Employment Comparison'!$B$2:$F$2),)</f>
        <v>42.958649543740968</v>
      </c>
      <c r="H18" s="13">
        <f t="shared" si="7"/>
        <v>90.247937145474395</v>
      </c>
      <c r="J18" s="1" t="str">
        <f>VLOOKUP($K18,Concordance!$B$2:$C$68,2,)</f>
        <v>Manufacturing</v>
      </c>
      <c r="K18" s="1" t="s">
        <v>22</v>
      </c>
      <c r="L18" s="2">
        <f t="shared" si="8"/>
        <v>4.8181015044216613</v>
      </c>
      <c r="M18" s="2">
        <f t="shared" si="9"/>
        <v>11.4804574921608</v>
      </c>
      <c r="N18" s="2">
        <f t="shared" si="10"/>
        <v>30.990728605150967</v>
      </c>
      <c r="O18" s="2">
        <f t="shared" si="11"/>
        <v>42.958649543740968</v>
      </c>
      <c r="P18" s="13">
        <f t="shared" si="12"/>
        <v>90.247937145474395</v>
      </c>
      <c r="R18" s="2">
        <f>VLOOKUP($K18,'2012 SAM'!$B$4:$F$70,COLUMNS('2012 SAM'!$B$4:C$4),)</f>
        <v>188.86746864064065</v>
      </c>
      <c r="S18" s="2">
        <f>VLOOKUP($K18,'2012 SAM'!$B$4:$F$70,COLUMNS('2012 SAM'!$B$4:D$4),)</f>
        <v>599.01144400045825</v>
      </c>
      <c r="T18" s="2">
        <f>VLOOKUP($K18,'2012 SAM'!$B$4:$F$70,COLUMNS('2012 SAM'!$B$4:E$4),)</f>
        <v>2278.4811267716736</v>
      </c>
      <c r="U18" s="2">
        <f>VLOOKUP($K18,'2012 SAM'!$B$4:$F$70,COLUMNS('2012 SAM'!$B$4:F$4),)</f>
        <v>8721.9857079665853</v>
      </c>
      <c r="V18" s="13">
        <f t="shared" si="13"/>
        <v>11788.345747379357</v>
      </c>
      <c r="X18" s="2">
        <f t="shared" si="14"/>
        <v>39199.561999122161</v>
      </c>
      <c r="Y18" s="2">
        <f t="shared" si="0"/>
        <v>52176.617909998895</v>
      </c>
      <c r="Z18" s="2">
        <f t="shared" si="1"/>
        <v>73521.379758492272</v>
      </c>
      <c r="AA18" s="2">
        <f t="shared" si="2"/>
        <v>203032.12043678804</v>
      </c>
      <c r="AB18" s="13">
        <f t="shared" si="3"/>
        <v>130621.77508143187</v>
      </c>
      <c r="AF18" s="24">
        <f>X18</f>
        <v>39199.561999122161</v>
      </c>
      <c r="AG18" s="24">
        <f t="shared" ref="AG18:AI18" si="39">Y18</f>
        <v>52176.617909998895</v>
      </c>
      <c r="AH18" s="24">
        <f t="shared" si="39"/>
        <v>73521.379758492272</v>
      </c>
      <c r="AI18" s="24">
        <f t="shared" si="39"/>
        <v>203032.12043678804</v>
      </c>
      <c r="AJ18" s="13"/>
      <c r="AN18" s="2"/>
      <c r="AO18" s="18">
        <f t="shared" si="16"/>
        <v>0.33105104366133853</v>
      </c>
      <c r="AP18" s="18">
        <f t="shared" si="5"/>
        <v>0.40908672703377658</v>
      </c>
      <c r="AQ18" s="18">
        <f t="shared" si="6"/>
        <v>1.7615384953835322</v>
      </c>
      <c r="AS18" s="2">
        <f>R18/(AF18/1000)</f>
        <v>4.8181015044216613</v>
      </c>
      <c r="AT18" s="2">
        <f>S18/(AG18/1000)</f>
        <v>11.4804574921608</v>
      </c>
      <c r="AU18" s="2">
        <f>T18/(AH18/1000)</f>
        <v>30.990728605150967</v>
      </c>
      <c r="AV18" s="2">
        <f>U18/(AI18/1000)</f>
        <v>42.958649543740968</v>
      </c>
      <c r="AW18" s="13">
        <f t="shared" si="17"/>
        <v>90.247937145474395</v>
      </c>
      <c r="AX18" s="22">
        <f t="shared" si="18"/>
        <v>0</v>
      </c>
      <c r="AY18" s="28"/>
      <c r="AZ18" s="22"/>
      <c r="BB18" s="1" t="s">
        <v>75</v>
      </c>
      <c r="BC18" s="10">
        <f t="shared" si="36"/>
        <v>129.57795380946877</v>
      </c>
      <c r="BD18" s="8">
        <f>SUMIF(QLFS_NT!$A$3:$A$64,BB18,QLFS_NT!$M$3:$M$64)/SUMIF(QLFS_NT!$A$3:$A$64,BB18,QLFS_NT!$G$3:$G$64)*1000</f>
        <v>80.990381566430614</v>
      </c>
      <c r="BE18" s="17"/>
      <c r="BF18" s="9">
        <f t="shared" si="37"/>
        <v>1.2684506807756044</v>
      </c>
      <c r="BG18" s="9">
        <f t="shared" si="38"/>
        <v>1.0076196055662063</v>
      </c>
      <c r="BI18" s="9">
        <v>0.87218496519128819</v>
      </c>
    </row>
    <row r="19" spans="1:61" x14ac:dyDescent="0.25">
      <c r="A19" s="1" t="str">
        <f>VLOOKUP($C19,Concordance!$E$2:$F$63,2,)</f>
        <v>Manufacturing</v>
      </c>
      <c r="B19" s="1" t="str">
        <f>INDEX(Concordance!$H$2:$H$83,MATCH($C19,Concordance!$I$2:$I$83,0))</f>
        <v>apetr-oil</v>
      </c>
      <c r="C19" s="1" t="s">
        <v>92</v>
      </c>
      <c r="D19" s="2">
        <f>QLFS_NT!C19/1000*VLOOKUP(Calc!$A19,'Employment Comparison'!$B$2:$F$10,COLUMNS('Employment Comparison'!$B$2:$F$2),)</f>
        <v>0.97919353133918197</v>
      </c>
      <c r="E19" s="2">
        <f>QLFS_NT!D19/1000*VLOOKUP(Calc!$A19,'Employment Comparison'!$B$2:$F$10,COLUMNS('Employment Comparison'!$B$2:$F$2),)</f>
        <v>4.0682397914244444</v>
      </c>
      <c r="F19" s="2">
        <f>QLFS_NT!E19/1000*VLOOKUP(Calc!$A19,'Employment Comparison'!$B$2:$F$10,COLUMNS('Employment Comparison'!$B$2:$F$2),)</f>
        <v>8.7818086530669763</v>
      </c>
      <c r="G19" s="2">
        <f>QLFS_NT!F19/1000*VLOOKUP(Calc!$A19,'Employment Comparison'!$B$2:$F$10,COLUMNS('Employment Comparison'!$B$2:$F$2),)</f>
        <v>28.047814713032452</v>
      </c>
      <c r="H19" s="13">
        <f t="shared" si="7"/>
        <v>41.87705668886305</v>
      </c>
      <c r="J19" s="1" t="str">
        <f>VLOOKUP($K19,Concordance!$B$2:$C$68,2,)</f>
        <v>Manufacturing</v>
      </c>
      <c r="K19" s="1" t="s">
        <v>23</v>
      </c>
      <c r="L19" s="2">
        <f t="shared" si="8"/>
        <v>0.97919353133918197</v>
      </c>
      <c r="M19" s="2">
        <f t="shared" si="9"/>
        <v>4.0682397914244444</v>
      </c>
      <c r="N19" s="2">
        <f t="shared" si="10"/>
        <v>8.7818086530669763</v>
      </c>
      <c r="O19" s="2">
        <f t="shared" si="11"/>
        <v>28.047814713032452</v>
      </c>
      <c r="P19" s="13">
        <f t="shared" si="12"/>
        <v>41.87705668886305</v>
      </c>
      <c r="R19" s="2">
        <f>SUM('2012 SAM'!C23:C26)</f>
        <v>23.113750482502333</v>
      </c>
      <c r="S19" s="2">
        <f>SUM('2012 SAM'!D23:D26)</f>
        <v>186.87169145753143</v>
      </c>
      <c r="T19" s="2">
        <f>SUM('2012 SAM'!E23:E26)</f>
        <v>614.05606827958786</v>
      </c>
      <c r="U19" s="2">
        <f>SUM('2012 SAM'!F23:F26)</f>
        <v>3421.3865336591393</v>
      </c>
      <c r="V19" s="13">
        <f t="shared" si="13"/>
        <v>4245.4280438787609</v>
      </c>
      <c r="X19" s="2">
        <f t="shared" si="14"/>
        <v>23604.884777875421</v>
      </c>
      <c r="Y19" s="2">
        <f t="shared" si="0"/>
        <v>45934.286334705117</v>
      </c>
      <c r="Z19" s="2">
        <f t="shared" si="1"/>
        <v>69923.644722677229</v>
      </c>
      <c r="AA19" s="2">
        <f t="shared" si="2"/>
        <v>121984.06787354409</v>
      </c>
      <c r="AB19" s="13">
        <f t="shared" si="3"/>
        <v>101378.3770770071</v>
      </c>
      <c r="AF19" s="24">
        <f t="shared" si="22"/>
        <v>23604.884777875421</v>
      </c>
      <c r="AG19" s="24">
        <f t="shared" si="23"/>
        <v>45934.286334705117</v>
      </c>
      <c r="AH19" s="24">
        <f t="shared" si="24"/>
        <v>69923.644722677229</v>
      </c>
      <c r="AI19" s="24">
        <f t="shared" si="25"/>
        <v>121984.06787354409</v>
      </c>
      <c r="AJ19" s="13"/>
      <c r="AN19" s="2"/>
      <c r="AO19" s="18">
        <f t="shared" si="16"/>
        <v>0.94596528502264832</v>
      </c>
      <c r="AP19" s="18">
        <f t="shared" si="5"/>
        <v>0.52225386094324122</v>
      </c>
      <c r="AQ19" s="18">
        <f t="shared" si="6"/>
        <v>0.74453245904647369</v>
      </c>
      <c r="AS19" s="2">
        <f>R19/(AF19/1000)</f>
        <v>0.97919353133918197</v>
      </c>
      <c r="AT19" s="2">
        <f>S19/(AG19/1000)</f>
        <v>4.0682397914244444</v>
      </c>
      <c r="AU19" s="2">
        <f>T19/(AH19/1000)</f>
        <v>8.7818086530669763</v>
      </c>
      <c r="AV19" s="2">
        <f>U19/(AI19/1000)</f>
        <v>28.047814713032452</v>
      </c>
      <c r="AW19" s="13">
        <f t="shared" si="17"/>
        <v>41.87705668886305</v>
      </c>
      <c r="AX19" s="22">
        <f t="shared" si="18"/>
        <v>0</v>
      </c>
      <c r="AY19" s="28"/>
      <c r="AZ19" s="22"/>
      <c r="BB19" s="1" t="s">
        <v>76</v>
      </c>
      <c r="BC19" s="10">
        <f t="shared" si="36"/>
        <v>290.36840471220199</v>
      </c>
      <c r="BD19" s="8">
        <f>SUMIF(QLFS_NT!$A$3:$A$64,BB19,QLFS_NT!$M$3:$M$64)/SUMIF(QLFS_NT!$A$3:$A$64,BB19,QLFS_NT!$G$3:$G$64)*1000</f>
        <v>104.88498476921053</v>
      </c>
      <c r="BE19" s="17"/>
      <c r="BF19" s="9">
        <f t="shared" si="37"/>
        <v>2.8424434080390948</v>
      </c>
      <c r="BG19" s="9">
        <f t="shared" si="38"/>
        <v>1.3048977537694932</v>
      </c>
      <c r="BI19" s="9">
        <v>2.0412339528645336</v>
      </c>
    </row>
    <row r="20" spans="1:61" x14ac:dyDescent="0.25">
      <c r="A20" s="1" t="str">
        <f>VLOOKUP($C20,Concordance!$E$2:$F$63,2,)</f>
        <v>Manufacturing</v>
      </c>
      <c r="B20" s="1" t="str">
        <f>INDEX(Concordance!$H$2:$H$83,MATCH($C20,Concordance!$I$2:$I$83,0))</f>
        <v>abchm</v>
      </c>
      <c r="C20" s="1" t="s">
        <v>27</v>
      </c>
      <c r="D20" s="2">
        <f>QLFS_NT!C20/1000*VLOOKUP(Calc!$A20,'Employment Comparison'!$B$2:$F$10,COLUMNS('Employment Comparison'!$B$2:$F$2),)</f>
        <v>0.51412993693408027</v>
      </c>
      <c r="E20" s="2">
        <f>QLFS_NT!D20/1000*VLOOKUP(Calc!$A20,'Employment Comparison'!$B$2:$F$10,COLUMNS('Employment Comparison'!$B$2:$F$2),)</f>
        <v>1.8975874643272379</v>
      </c>
      <c r="F20" s="2">
        <f>QLFS_NT!E20/1000*VLOOKUP(Calc!$A20,'Employment Comparison'!$B$2:$F$10,COLUMNS('Employment Comparison'!$B$2:$F$2),)</f>
        <v>8.9770073635626968</v>
      </c>
      <c r="G20" s="2">
        <f>QLFS_NT!F20/1000*VLOOKUP(Calc!$A20,'Employment Comparison'!$B$2:$F$10,COLUMNS('Employment Comparison'!$B$2:$F$2),)</f>
        <v>7.2511520980868829</v>
      </c>
      <c r="H20" s="13">
        <f t="shared" si="7"/>
        <v>18.639876862910899</v>
      </c>
      <c r="J20" s="1" t="str">
        <f>VLOOKUP($K20,Concordance!$B$2:$C$68,2,)</f>
        <v>Manufacturing</v>
      </c>
      <c r="K20" s="1" t="s">
        <v>27</v>
      </c>
      <c r="L20" s="2">
        <f t="shared" si="8"/>
        <v>0.51412993693408027</v>
      </c>
      <c r="M20" s="2">
        <f t="shared" si="9"/>
        <v>1.8975874643272379</v>
      </c>
      <c r="N20" s="2">
        <f t="shared" si="10"/>
        <v>8.9770073635626968</v>
      </c>
      <c r="O20" s="2">
        <f t="shared" si="11"/>
        <v>7.2511520980868829</v>
      </c>
      <c r="P20" s="13">
        <f t="shared" si="12"/>
        <v>18.639876862910899</v>
      </c>
      <c r="R20" s="2">
        <f>VLOOKUP($K20,'2012 SAM'!$B$4:$F$70,COLUMNS('2012 SAM'!$B$4:C$4),)</f>
        <v>23.327236678152797</v>
      </c>
      <c r="S20" s="2">
        <f>VLOOKUP($K20,'2012 SAM'!$B$4:$F$70,COLUMNS('2012 SAM'!$B$4:D$4),)</f>
        <v>1091.1833432852602</v>
      </c>
      <c r="T20" s="2">
        <f>VLOOKUP($K20,'2012 SAM'!$B$4:$F$70,COLUMNS('2012 SAM'!$B$4:E$4),)</f>
        <v>3956.4147559440039</v>
      </c>
      <c r="U20" s="2">
        <f>VLOOKUP($K20,'2012 SAM'!$B$4:$F$70,COLUMNS('2012 SAM'!$B$4:F$4),)</f>
        <v>4824.6105184644093</v>
      </c>
      <c r="V20" s="13">
        <f t="shared" si="13"/>
        <v>9895.5358543718266</v>
      </c>
      <c r="X20" s="2">
        <f t="shared" si="14"/>
        <v>45372.25903875682</v>
      </c>
      <c r="Y20" s="2">
        <f t="shared" si="0"/>
        <v>575037.17947047215</v>
      </c>
      <c r="Z20" s="2">
        <f t="shared" si="1"/>
        <v>440727.58278030698</v>
      </c>
      <c r="AA20" s="2">
        <f t="shared" si="2"/>
        <v>665357.78772828623</v>
      </c>
      <c r="AB20" s="13">
        <f t="shared" si="3"/>
        <v>530879.89406527055</v>
      </c>
      <c r="AF20" s="26">
        <f>SUM(R20:R21)/SUM(L20:L21)*1000</f>
        <v>94320.476795096401</v>
      </c>
      <c r="AG20" s="26">
        <f t="shared" ref="AG20:AI20" si="40">SUM(S20:S21)/SUM(M20:M21)*1000</f>
        <v>164052.54152049191</v>
      </c>
      <c r="AH20" s="26">
        <f t="shared" si="40"/>
        <v>209304.6058075295</v>
      </c>
      <c r="AI20" s="26">
        <f t="shared" si="40"/>
        <v>387399.57215812104</v>
      </c>
      <c r="AJ20" s="13"/>
      <c r="AN20" s="2"/>
      <c r="AO20" s="18">
        <f t="shared" si="16"/>
        <v>0.73930992606072987</v>
      </c>
      <c r="AP20" s="18">
        <f t="shared" si="5"/>
        <v>0.27583884935659553</v>
      </c>
      <c r="AQ20" s="18">
        <f t="shared" si="6"/>
        <v>0.85088890262817518</v>
      </c>
      <c r="AS20" s="2">
        <f>R20/(AF20/1000)</f>
        <v>0.24731890116320479</v>
      </c>
      <c r="AT20" s="2">
        <f>S20/(AG20/1000)</f>
        <v>6.6514260198093904</v>
      </c>
      <c r="AU20" s="2">
        <f>T20/(AH20/1000)</f>
        <v>18.90266456717254</v>
      </c>
      <c r="AV20" s="2">
        <f>U20/(AI20/1000)</f>
        <v>12.453835432980798</v>
      </c>
      <c r="AW20" s="13">
        <f t="shared" si="17"/>
        <v>38.255244921125929</v>
      </c>
      <c r="AX20" s="22">
        <f t="shared" si="18"/>
        <v>1.0523335643512288</v>
      </c>
      <c r="AY20" s="23">
        <f>SUM(AW20:AW25)/SUM(P20:P25)-1</f>
        <v>0</v>
      </c>
      <c r="AZ20" s="22"/>
      <c r="BB20" s="1" t="s">
        <v>77</v>
      </c>
      <c r="BC20" s="10">
        <f t="shared" si="36"/>
        <v>39.769487200330367</v>
      </c>
      <c r="BD20" s="8">
        <f>SUMIF(QLFS_NT!$A$3:$A$64,BB20,QLFS_NT!$M$3:$M$64)/SUMIF(QLFS_NT!$A$3:$A$64,BB20,QLFS_NT!$G$3:$G$64)*1000</f>
        <v>60.673292672434208</v>
      </c>
      <c r="BE20" s="17"/>
      <c r="BF20" s="9">
        <f t="shared" si="37"/>
        <v>0.38930722109974758</v>
      </c>
      <c r="BG20" s="9">
        <f t="shared" si="38"/>
        <v>0.75485011983621786</v>
      </c>
      <c r="BI20" s="9">
        <v>0.77184645845308808</v>
      </c>
    </row>
    <row r="21" spans="1:61" x14ac:dyDescent="0.25">
      <c r="A21" s="1" t="str">
        <f>VLOOKUP($C21,Concordance!$E$2:$F$63,2,)</f>
        <v>Manufacturing</v>
      </c>
      <c r="B21" s="1" t="str">
        <f>INDEX(Concordance!$H$2:$H$83,MATCH($C21,Concordance!$I$2:$I$83,0))</f>
        <v>aochm</v>
      </c>
      <c r="C21" s="1" t="s">
        <v>28</v>
      </c>
      <c r="D21" s="2">
        <f>QLFS_NT!C21/1000*VLOOKUP(Calc!$A21,'Employment Comparison'!$B$2:$F$10,COLUMNS('Employment Comparison'!$B$2:$F$2),)</f>
        <v>3.1839789662826337</v>
      </c>
      <c r="E21" s="2">
        <f>QLFS_NT!D21/1000*VLOOKUP(Calc!$A21,'Employment Comparison'!$B$2:$F$10,COLUMNS('Employment Comparison'!$B$2:$F$2),)</f>
        <v>13.245779163583835</v>
      </c>
      <c r="F21" s="2">
        <f>QLFS_NT!E21/1000*VLOOKUP(Calc!$A21,'Employment Comparison'!$B$2:$F$10,COLUMNS('Employment Comparison'!$B$2:$F$2),)</f>
        <v>31.220060423492932</v>
      </c>
      <c r="G21" s="2">
        <f>QLFS_NT!F21/1000*VLOOKUP(Calc!$A21,'Employment Comparison'!$B$2:$F$10,COLUMNS('Employment Comparison'!$B$2:$F$2),)</f>
        <v>42.048788887714473</v>
      </c>
      <c r="H21" s="13">
        <f t="shared" si="7"/>
        <v>89.698607441073875</v>
      </c>
      <c r="J21" s="1" t="str">
        <f>VLOOKUP($K21,Concordance!$B$2:$C$68,2,)</f>
        <v>Manufacturing</v>
      </c>
      <c r="K21" s="1" t="s">
        <v>28</v>
      </c>
      <c r="L21" s="2">
        <f t="shared" si="8"/>
        <v>3.1839789662826337</v>
      </c>
      <c r="M21" s="2">
        <f t="shared" si="9"/>
        <v>13.245779163583835</v>
      </c>
      <c r="N21" s="2">
        <f t="shared" si="10"/>
        <v>31.220060423492932</v>
      </c>
      <c r="O21" s="2">
        <f t="shared" si="11"/>
        <v>42.048788887714473</v>
      </c>
      <c r="P21" s="13">
        <f t="shared" si="12"/>
        <v>89.698607441073875</v>
      </c>
      <c r="R21" s="2">
        <f>VLOOKUP($K21,'2012 SAM'!$B$4:$F$70,COLUMNS('2012 SAM'!$B$4:C$4),)</f>
        <v>325.48015831343861</v>
      </c>
      <c r="S21" s="2">
        <f>VLOOKUP($K21,'2012 SAM'!$B$4:$F$70,COLUMNS('2012 SAM'!$B$4:D$4),)</f>
        <v>1393.1244392001527</v>
      </c>
      <c r="T21" s="2">
        <f>VLOOKUP($K21,'2012 SAM'!$B$4:$F$70,COLUMNS('2012 SAM'!$B$4:E$4),)</f>
        <v>4457.016671844216</v>
      </c>
      <c r="U21" s="2">
        <f>VLOOKUP($K21,'2012 SAM'!$B$4:$F$70,COLUMNS('2012 SAM'!$B$4:F$4),)</f>
        <v>14274.165526855653</v>
      </c>
      <c r="V21" s="13">
        <f t="shared" si="13"/>
        <v>20449.786796213462</v>
      </c>
      <c r="X21" s="2">
        <f t="shared" si="14"/>
        <v>102224.34311287048</v>
      </c>
      <c r="Y21" s="2">
        <f t="shared" si="0"/>
        <v>105174.97098473617</v>
      </c>
      <c r="Z21" s="2">
        <f t="shared" si="1"/>
        <v>142761.30831861985</v>
      </c>
      <c r="AA21" s="2">
        <f t="shared" si="2"/>
        <v>339466.7457598566</v>
      </c>
      <c r="AB21" s="13">
        <f t="shared" si="3"/>
        <v>227983.32526675661</v>
      </c>
      <c r="AF21" s="25">
        <f>AF20</f>
        <v>94320.476795096401</v>
      </c>
      <c r="AG21" s="25">
        <f t="shared" ref="AG21:AI21" si="41">AG20</f>
        <v>164052.54152049191</v>
      </c>
      <c r="AH21" s="25">
        <f t="shared" si="41"/>
        <v>209304.6058075295</v>
      </c>
      <c r="AI21" s="25">
        <f t="shared" si="41"/>
        <v>387399.57215812104</v>
      </c>
      <c r="AJ21" s="13"/>
      <c r="AN21" s="2"/>
      <c r="AO21" s="18">
        <f t="shared" si="16"/>
        <v>0.73930992606072987</v>
      </c>
      <c r="AP21" s="18">
        <f t="shared" si="5"/>
        <v>0.27583884935659553</v>
      </c>
      <c r="AQ21" s="18">
        <f t="shared" si="6"/>
        <v>0.85088890262817518</v>
      </c>
      <c r="AS21" s="2">
        <f>R21/(AF21/1000)</f>
        <v>3.4507900020535085</v>
      </c>
      <c r="AT21" s="2">
        <f>S21/(AG21/1000)</f>
        <v>8.4919406081016842</v>
      </c>
      <c r="AU21" s="2">
        <f>T21/(AH21/1000)</f>
        <v>21.294403219883087</v>
      </c>
      <c r="AV21" s="2">
        <f>U21/(AI21/1000)</f>
        <v>36.846105552820561</v>
      </c>
      <c r="AW21" s="13">
        <f t="shared" si="17"/>
        <v>70.083239382858835</v>
      </c>
      <c r="AX21" s="22">
        <f t="shared" si="18"/>
        <v>-0.2186808537813818</v>
      </c>
      <c r="AY21" s="28"/>
      <c r="AZ21" s="22"/>
      <c r="BB21" s="1" t="s">
        <v>78</v>
      </c>
      <c r="BC21" s="10">
        <f t="shared" si="36"/>
        <v>53.443033437185242</v>
      </c>
      <c r="BD21" s="8">
        <f>SUMIF(QLFS_NT!$A$3:$A$64,BB21,QLFS_NT!$M$3:$M$64)/SUMIF(QLFS_NT!$A$3:$A$64,BB21,QLFS_NT!$G$3:$G$64)*1000</f>
        <v>65.620550151045336</v>
      </c>
      <c r="BE21" s="17"/>
      <c r="BF21" s="9">
        <f t="shared" si="37"/>
        <v>0.52315884109259125</v>
      </c>
      <c r="BG21" s="9">
        <f t="shared" si="38"/>
        <v>0.81640006604981619</v>
      </c>
      <c r="BI21" s="9">
        <v>0.66494219837772239</v>
      </c>
    </row>
    <row r="22" spans="1:61" x14ac:dyDescent="0.25">
      <c r="A22" s="1" t="str">
        <f>VLOOKUP($C22,Concordance!$E$2:$F$63,2,)</f>
        <v>Manufacturing</v>
      </c>
      <c r="B22" s="1" t="str">
        <f>INDEX(Concordance!$H$2:$H$83,MATCH($C22,Concordance!$I$2:$I$83,0))</f>
        <v>arubb</v>
      </c>
      <c r="C22" s="1" t="s">
        <v>29</v>
      </c>
      <c r="D22" s="2">
        <f>QLFS_NT!C22/1000*VLOOKUP(Calc!$A22,'Employment Comparison'!$B$2:$F$10,COLUMNS('Employment Comparison'!$B$2:$F$2),)</f>
        <v>1.2831915230948103</v>
      </c>
      <c r="E22" s="2">
        <f>QLFS_NT!D22/1000*VLOOKUP(Calc!$A22,'Employment Comparison'!$B$2:$F$10,COLUMNS('Employment Comparison'!$B$2:$F$2),)</f>
        <v>3.439977275129479</v>
      </c>
      <c r="F22" s="2">
        <f>QLFS_NT!E22/1000*VLOOKUP(Calc!$A22,'Employment Comparison'!$B$2:$F$10,COLUMNS('Employment Comparison'!$B$2:$F$2),)</f>
        <v>7.8794146143818473</v>
      </c>
      <c r="G22" s="2">
        <f>QLFS_NT!F22/1000*VLOOKUP(Calc!$A22,'Employment Comparison'!$B$2:$F$10,COLUMNS('Employment Comparison'!$B$2:$F$2),)</f>
        <v>7.8207483352711122</v>
      </c>
      <c r="H22" s="13">
        <f t="shared" si="7"/>
        <v>20.423331747877249</v>
      </c>
      <c r="J22" s="1" t="str">
        <f>VLOOKUP($K22,Concordance!$B$2:$C$68,2,)</f>
        <v>Manufacturing</v>
      </c>
      <c r="K22" s="1" t="s">
        <v>29</v>
      </c>
      <c r="L22" s="2">
        <f t="shared" si="8"/>
        <v>1.2831915230948103</v>
      </c>
      <c r="M22" s="2">
        <f t="shared" si="9"/>
        <v>3.439977275129479</v>
      </c>
      <c r="N22" s="2">
        <f t="shared" si="10"/>
        <v>7.8794146143818473</v>
      </c>
      <c r="O22" s="2">
        <f t="shared" si="11"/>
        <v>7.8207483352711122</v>
      </c>
      <c r="P22" s="13">
        <f t="shared" si="12"/>
        <v>20.423331747877249</v>
      </c>
      <c r="R22" s="2">
        <f>VLOOKUP($K22,'2012 SAM'!$B$4:$F$70,COLUMNS('2012 SAM'!$B$4:C$4),)</f>
        <v>70.975832778491437</v>
      </c>
      <c r="S22" s="2">
        <f>VLOOKUP($K22,'2012 SAM'!$B$4:$F$70,COLUMNS('2012 SAM'!$B$4:D$4),)</f>
        <v>411.62963783838126</v>
      </c>
      <c r="T22" s="2">
        <f>VLOOKUP($K22,'2012 SAM'!$B$4:$F$70,COLUMNS('2012 SAM'!$B$4:E$4),)</f>
        <v>1093.256905891833</v>
      </c>
      <c r="U22" s="2">
        <f>VLOOKUP($K22,'2012 SAM'!$B$4:$F$70,COLUMNS('2012 SAM'!$B$4:F$4),)</f>
        <v>1015.3135472398361</v>
      </c>
      <c r="V22" s="13">
        <f t="shared" si="13"/>
        <v>2591.1759237485417</v>
      </c>
      <c r="X22" s="2">
        <f t="shared" si="14"/>
        <v>55311.955776727249</v>
      </c>
      <c r="Y22" s="2">
        <f t="shared" si="0"/>
        <v>119660.56892712692</v>
      </c>
      <c r="Z22" s="2">
        <f t="shared" si="1"/>
        <v>138748.49330765934</v>
      </c>
      <c r="AA22" s="2">
        <f t="shared" si="2"/>
        <v>129823.06854969775</v>
      </c>
      <c r="AB22" s="13">
        <f t="shared" si="3"/>
        <v>126873.32095155641</v>
      </c>
      <c r="AF22" s="26">
        <f>SUM(R22:R23)/SUM(L22:L23)*1000</f>
        <v>81475.533666623378</v>
      </c>
      <c r="AG22" s="26">
        <f t="shared" ref="AG22:AI22" si="42">SUM(S22:S23)/SUM(M22:M23)*1000</f>
        <v>153591.58471203633</v>
      </c>
      <c r="AH22" s="26">
        <f t="shared" si="42"/>
        <v>183185.99997174085</v>
      </c>
      <c r="AI22" s="26">
        <f t="shared" si="42"/>
        <v>261362.44471843066</v>
      </c>
      <c r="AJ22" s="13"/>
      <c r="AN22" s="2"/>
      <c r="AO22" s="18">
        <f t="shared" si="16"/>
        <v>0.8851252369882352</v>
      </c>
      <c r="AP22" s="18">
        <f t="shared" si="5"/>
        <v>0.1926825308508282</v>
      </c>
      <c r="AQ22" s="18">
        <f t="shared" si="6"/>
        <v>0.42675993121062583</v>
      </c>
      <c r="AS22" s="2">
        <f>R22/(AF22/1000)</f>
        <v>0.87113062761768489</v>
      </c>
      <c r="AT22" s="2">
        <f>S22/(AG22/1000)</f>
        <v>2.680027285414964</v>
      </c>
      <c r="AU22" s="2">
        <f>T22/(AH22/1000)</f>
        <v>5.9680156019591237</v>
      </c>
      <c r="AV22" s="2">
        <f>U22/(AI22/1000)</f>
        <v>3.8846956315152599</v>
      </c>
      <c r="AW22" s="13">
        <f t="shared" si="17"/>
        <v>13.403869146507033</v>
      </c>
      <c r="AX22" s="22">
        <f t="shared" si="18"/>
        <v>-0.34369821183068239</v>
      </c>
      <c r="AY22" s="28"/>
      <c r="AZ22" s="22"/>
      <c r="BB22" s="1" t="s">
        <v>79</v>
      </c>
      <c r="BC22" s="10">
        <f t="shared" si="36"/>
        <v>99.093810632948305</v>
      </c>
      <c r="BD22" s="8">
        <f>SUMIF(QLFS_NT!$A$3:$A$64,BB22,QLFS_NT!$M$3:$M$64)/SUMIF(QLFS_NT!$A$3:$A$64,BB22,QLFS_NT!$G$3:$G$64)*1000</f>
        <v>88.616223585548738</v>
      </c>
      <c r="BE22" s="17"/>
      <c r="BF22" s="9">
        <f t="shared" si="37"/>
        <v>0.97003855874151823</v>
      </c>
      <c r="BG22" s="9">
        <f t="shared" si="38"/>
        <v>1.1024944262399603</v>
      </c>
      <c r="BI22" s="9">
        <v>1.1861403844925593</v>
      </c>
    </row>
    <row r="23" spans="1:61" x14ac:dyDescent="0.25">
      <c r="A23" s="1" t="str">
        <f>VLOOKUP($C23,Concordance!$E$2:$F$63,2,)</f>
        <v>Manufacturing</v>
      </c>
      <c r="B23" s="1" t="str">
        <f>INDEX(Concordance!$H$2:$H$83,MATCH($C23,Concordance!$I$2:$I$83,0))</f>
        <v>aplas</v>
      </c>
      <c r="C23" s="1" t="s">
        <v>30</v>
      </c>
      <c r="D23" s="2">
        <f>QLFS_NT!C23/1000*VLOOKUP(Calc!$A23,'Employment Comparison'!$B$2:$F$10,COLUMNS('Employment Comparison'!$B$2:$F$2),)</f>
        <v>2.0277199379910509</v>
      </c>
      <c r="E23" s="2">
        <f>QLFS_NT!D23/1000*VLOOKUP(Calc!$A23,'Employment Comparison'!$B$2:$F$10,COLUMNS('Employment Comparison'!$B$2:$F$2),)</f>
        <v>11.412191276468308</v>
      </c>
      <c r="F23" s="2">
        <f>QLFS_NT!E23/1000*VLOOKUP(Calc!$A23,'Employment Comparison'!$B$2:$F$10,COLUMNS('Employment Comparison'!$B$2:$F$2),)</f>
        <v>20.634530352675895</v>
      </c>
      <c r="G23" s="2">
        <f>QLFS_NT!F23/1000*VLOOKUP(Calc!$A23,'Employment Comparison'!$B$2:$F$10,COLUMNS('Employment Comparison'!$B$2:$F$2),)</f>
        <v>12.731649226649754</v>
      </c>
      <c r="H23" s="13">
        <f t="shared" si="7"/>
        <v>46.806090793785003</v>
      </c>
      <c r="J23" s="1" t="str">
        <f>VLOOKUP($K23,Concordance!$B$2:$C$68,2,)</f>
        <v>Manufacturing</v>
      </c>
      <c r="K23" s="1" t="s">
        <v>30</v>
      </c>
      <c r="L23" s="2">
        <f t="shared" si="8"/>
        <v>2.0277199379910509</v>
      </c>
      <c r="M23" s="2">
        <f t="shared" si="9"/>
        <v>11.412191276468308</v>
      </c>
      <c r="N23" s="2">
        <f t="shared" si="10"/>
        <v>20.634530352675895</v>
      </c>
      <c r="O23" s="2">
        <f t="shared" si="11"/>
        <v>12.731649226649754</v>
      </c>
      <c r="P23" s="13">
        <f t="shared" si="12"/>
        <v>46.806090793785003</v>
      </c>
      <c r="R23" s="2">
        <f>VLOOKUP($K23,'2012 SAM'!$B$4:$F$70,COLUMNS('2012 SAM'!$B$4:C$4),)</f>
        <v>198.78244543641884</v>
      </c>
      <c r="S23" s="2">
        <f>VLOOKUP($K23,'2012 SAM'!$B$4:$F$70,COLUMNS('2012 SAM'!$B$4:D$4),)</f>
        <v>1869.5384664117926</v>
      </c>
      <c r="T23" s="2">
        <f>VLOOKUP($K23,'2012 SAM'!$B$4:$F$70,COLUMNS('2012 SAM'!$B$4:E$4),)</f>
        <v>4130.098616037827</v>
      </c>
      <c r="U23" s="2">
        <f>VLOOKUP($K23,'2012 SAM'!$B$4:$F$70,COLUMNS('2012 SAM'!$B$4:F$4),)</f>
        <v>4356.3113243689149</v>
      </c>
      <c r="V23" s="13">
        <f t="shared" si="13"/>
        <v>10554.730852254954</v>
      </c>
      <c r="X23" s="2">
        <f t="shared" si="14"/>
        <v>98032.495371802259</v>
      </c>
      <c r="Y23" s="2">
        <f t="shared" si="0"/>
        <v>163819.41216379195</v>
      </c>
      <c r="Z23" s="2">
        <f t="shared" si="1"/>
        <v>200154.71859296443</v>
      </c>
      <c r="AA23" s="2">
        <f t="shared" si="2"/>
        <v>342163.94489178428</v>
      </c>
      <c r="AB23" s="13">
        <f t="shared" si="3"/>
        <v>225499.08939749419</v>
      </c>
      <c r="AF23" s="25">
        <f>AF22</f>
        <v>81475.533666623378</v>
      </c>
      <c r="AG23" s="25">
        <f t="shared" ref="AG23:AI23" si="43">AG22</f>
        <v>153591.58471203633</v>
      </c>
      <c r="AH23" s="25">
        <f t="shared" si="43"/>
        <v>183185.99997174085</v>
      </c>
      <c r="AI23" s="25">
        <f t="shared" si="43"/>
        <v>261362.44471843066</v>
      </c>
      <c r="AJ23" s="13"/>
      <c r="AN23" s="2"/>
      <c r="AO23" s="18">
        <f t="shared" si="16"/>
        <v>0.8851252369882352</v>
      </c>
      <c r="AP23" s="18">
        <f t="shared" si="5"/>
        <v>0.1926825308508282</v>
      </c>
      <c r="AQ23" s="18">
        <f t="shared" si="6"/>
        <v>0.42675993121062583</v>
      </c>
      <c r="AS23" s="2">
        <f>R23/(AF23/1000)</f>
        <v>2.4397808334681761</v>
      </c>
      <c r="AT23" s="2">
        <f>S23/(AG23/1000)</f>
        <v>12.172141266182825</v>
      </c>
      <c r="AU23" s="2">
        <f>T23/(AH23/1000)</f>
        <v>22.545929365098623</v>
      </c>
      <c r="AV23" s="2">
        <f>U23/(AI23/1000)</f>
        <v>16.667701930405606</v>
      </c>
      <c r="AW23" s="13">
        <f t="shared" si="17"/>
        <v>53.825553395155232</v>
      </c>
      <c r="AX23" s="22">
        <f t="shared" si="18"/>
        <v>0.14996899938292407</v>
      </c>
      <c r="AY23" s="28"/>
      <c r="AZ23" s="22"/>
      <c r="BB23" s="1" t="s">
        <v>80</v>
      </c>
      <c r="BC23" s="10">
        <f t="shared" si="36"/>
        <v>122.37358404610997</v>
      </c>
      <c r="BD23" s="8">
        <f>SUMIF(QLFS_NT!$A$3:$A$64,BB23,QLFS_NT!$M$3:$M$64)/SUMIF(QLFS_NT!$A$3:$A$64,BB23,QLFS_NT!$G$3:$G$64)*1000</f>
        <v>113.56426863502794</v>
      </c>
      <c r="BE23" s="17"/>
      <c r="BF23" s="9">
        <f t="shared" si="37"/>
        <v>1.1979264329214614</v>
      </c>
      <c r="BG23" s="9">
        <f t="shared" si="38"/>
        <v>1.4128786820763792</v>
      </c>
      <c r="BI23" s="9">
        <v>1.0954589001724468</v>
      </c>
    </row>
    <row r="24" spans="1:61" x14ac:dyDescent="0.25">
      <c r="A24" s="1" t="str">
        <f>VLOOKUP($C24,Concordance!$E$2:$F$63,2,)</f>
        <v>Manufacturing</v>
      </c>
      <c r="B24" s="1" t="str">
        <f>INDEX(Concordance!$H$2:$H$83,MATCH($C24,Concordance!$I$2:$I$83,0))</f>
        <v>aglas</v>
      </c>
      <c r="C24" s="1" t="s">
        <v>93</v>
      </c>
      <c r="D24" s="2">
        <f>QLFS_NT!C24/1000*VLOOKUP(Calc!$A24,'Employment Comparison'!$B$2:$F$10,COLUMNS('Employment Comparison'!$B$2:$F$2),)</f>
        <v>0.5802628333861819</v>
      </c>
      <c r="E24" s="2">
        <f>QLFS_NT!D24/1000*VLOOKUP(Calc!$A24,'Employment Comparison'!$B$2:$F$10,COLUMNS('Employment Comparison'!$B$2:$F$2),)</f>
        <v>2.1461191558327166</v>
      </c>
      <c r="F24" s="2">
        <f>QLFS_NT!E24/1000*VLOOKUP(Calc!$A24,'Employment Comparison'!$B$2:$F$10,COLUMNS('Employment Comparison'!$B$2:$F$2),)</f>
        <v>10.226065778811259</v>
      </c>
      <c r="G24" s="2">
        <f>QLFS_NT!F24/1000*VLOOKUP(Calc!$A24,'Employment Comparison'!$B$2:$F$10,COLUMNS('Employment Comparison'!$B$2:$F$2),)</f>
        <v>4.5301034069689603</v>
      </c>
      <c r="H24" s="13">
        <f t="shared" si="7"/>
        <v>17.482551174999116</v>
      </c>
      <c r="J24" s="1" t="str">
        <f>VLOOKUP($K24,Concordance!$B$2:$C$68,2,)</f>
        <v>Manufacturing</v>
      </c>
      <c r="K24" s="1" t="s">
        <v>31</v>
      </c>
      <c r="L24" s="2">
        <f t="shared" si="8"/>
        <v>0.5802628333861819</v>
      </c>
      <c r="M24" s="2">
        <f t="shared" si="9"/>
        <v>2.1461191558327166</v>
      </c>
      <c r="N24" s="2">
        <f t="shared" si="10"/>
        <v>10.226065778811259</v>
      </c>
      <c r="O24" s="2">
        <f t="shared" si="11"/>
        <v>4.5301034069689603</v>
      </c>
      <c r="P24" s="13">
        <f t="shared" si="12"/>
        <v>17.482551174999116</v>
      </c>
      <c r="R24" s="2">
        <f>VLOOKUP($K24,'2012 SAM'!$B$4:$F$70,COLUMNS('2012 SAM'!$B$4:C$4),)</f>
        <v>25.042714733898777</v>
      </c>
      <c r="S24" s="2">
        <f>VLOOKUP($K24,'2012 SAM'!$B$4:$F$70,COLUMNS('2012 SAM'!$B$4:D$4),)</f>
        <v>279.5239974305166</v>
      </c>
      <c r="T24" s="2">
        <f>VLOOKUP($K24,'2012 SAM'!$B$4:$F$70,COLUMNS('2012 SAM'!$B$4:E$4),)</f>
        <v>1357.900651248706</v>
      </c>
      <c r="U24" s="2">
        <f>VLOOKUP($K24,'2012 SAM'!$B$4:$F$70,COLUMNS('2012 SAM'!$B$4:F$4),)</f>
        <v>768.91775605971714</v>
      </c>
      <c r="V24" s="13">
        <f t="shared" si="13"/>
        <v>2431.3851194728386</v>
      </c>
      <c r="X24" s="2">
        <f t="shared" si="14"/>
        <v>43157.537055681307</v>
      </c>
      <c r="Y24" s="2">
        <f t="shared" si="0"/>
        <v>130246.2618027648</v>
      </c>
      <c r="Z24" s="2">
        <f t="shared" si="1"/>
        <v>132788.17881871251</v>
      </c>
      <c r="AA24" s="2">
        <f t="shared" si="2"/>
        <v>169735.1444288975</v>
      </c>
      <c r="AB24" s="13">
        <f t="shared" si="3"/>
        <v>139074.96080719819</v>
      </c>
      <c r="AF24" s="26">
        <f>SUM(R24:R25)/SUM(L24:L25)*1000</f>
        <v>37907.765101258432</v>
      </c>
      <c r="AG24" s="26">
        <f t="shared" ref="AG24:AI24" si="44">SUM(S24:S25)/SUM(M24:M25)*1000</f>
        <v>43778.992597686287</v>
      </c>
      <c r="AH24" s="26">
        <f t="shared" si="44"/>
        <v>82310.231491887811</v>
      </c>
      <c r="AI24" s="26">
        <f t="shared" si="44"/>
        <v>114592.92352094807</v>
      </c>
      <c r="AJ24" s="13"/>
      <c r="AN24" s="2"/>
      <c r="AO24" s="18">
        <f t="shared" si="16"/>
        <v>0.15488192144128665</v>
      </c>
      <c r="AP24" s="18">
        <f t="shared" si="5"/>
        <v>0.88013077980779975</v>
      </c>
      <c r="AQ24" s="18">
        <f t="shared" si="6"/>
        <v>0.39220752321953944</v>
      </c>
      <c r="AS24" s="2">
        <f>R24/(AF24/1000)</f>
        <v>0.66062229379667192</v>
      </c>
      <c r="AT24" s="2">
        <f>S24/(AG24/1000)</f>
        <v>6.3848887524490312</v>
      </c>
      <c r="AU24" s="2">
        <f>T24/(AH24/1000)</f>
        <v>16.497349438052982</v>
      </c>
      <c r="AV24" s="2">
        <f>U24/(AI24/1000)</f>
        <v>6.7099933611446412</v>
      </c>
      <c r="AW24" s="13">
        <f t="shared" si="17"/>
        <v>30.252853845443326</v>
      </c>
      <c r="AX24" s="22">
        <f t="shared" si="18"/>
        <v>0.73045990499981217</v>
      </c>
      <c r="AY24" s="28"/>
      <c r="AZ24" s="22"/>
      <c r="BB24" s="1" t="s">
        <v>82</v>
      </c>
      <c r="BC24" s="10">
        <f t="shared" si="36"/>
        <v>123.36050114358801</v>
      </c>
      <c r="BD24" s="8">
        <f>SUMIF(QLFS_NT!$A$3:$A$64,BB24,QLFS_NT!$M$3:$M$64)/SUMIF(QLFS_NT!$A$3:$A$64,BB24,QLFS_NT!$G$3:$G$64)*1000</f>
        <v>85.489529302886169</v>
      </c>
      <c r="BE24" s="17"/>
      <c r="BF24" s="9">
        <f t="shared" si="37"/>
        <v>1.2075874564780291</v>
      </c>
      <c r="BG24" s="9">
        <f t="shared" si="38"/>
        <v>1.063594517400311</v>
      </c>
      <c r="BI24" s="9">
        <v>1.2140639969342786</v>
      </c>
    </row>
    <row r="25" spans="1:61" x14ac:dyDescent="0.25">
      <c r="A25" s="1" t="str">
        <f>VLOOKUP($C25,Concordance!$E$2:$F$63,2,)</f>
        <v>Manufacturing</v>
      </c>
      <c r="B25" s="1" t="str">
        <f>INDEX(Concordance!$H$2:$H$83,MATCH($C25,Concordance!$I$2:$I$83,0))</f>
        <v>anmet</v>
      </c>
      <c r="C25" s="1" t="s">
        <v>94</v>
      </c>
      <c r="D25" s="2">
        <f>QLFS_NT!C25/1000*VLOOKUP(Calc!$A25,'Employment Comparison'!$B$2:$F$10,COLUMNS('Employment Comparison'!$B$2:$F$2),)</f>
        <v>15.219099460944932</v>
      </c>
      <c r="E25" s="2">
        <f>QLFS_NT!D25/1000*VLOOKUP(Calc!$A25,'Employment Comparison'!$B$2:$F$10,COLUMNS('Employment Comparison'!$B$2:$F$2),)</f>
        <v>23.998774794771517</v>
      </c>
      <c r="F25" s="2">
        <f>QLFS_NT!E25/1000*VLOOKUP(Calc!$A25,'Employment Comparison'!$B$2:$F$10,COLUMNS('Employment Comparison'!$B$2:$F$2),)</f>
        <v>20.324132403199094</v>
      </c>
      <c r="G25" s="2">
        <f>QLFS_NT!F25/1000*VLOOKUP(Calc!$A25,'Employment Comparison'!$B$2:$F$10,COLUMNS('Employment Comparison'!$B$2:$F$2),)</f>
        <v>19.078273966811118</v>
      </c>
      <c r="H25" s="13">
        <f t="shared" si="7"/>
        <v>78.620280625726664</v>
      </c>
      <c r="J25" s="1" t="str">
        <f>VLOOKUP($K25,Concordance!$B$2:$C$68,2,)</f>
        <v>Manufacturing</v>
      </c>
      <c r="K25" s="1" t="s">
        <v>32</v>
      </c>
      <c r="L25" s="2">
        <f t="shared" si="8"/>
        <v>15.219099460944932</v>
      </c>
      <c r="M25" s="2">
        <f t="shared" si="9"/>
        <v>23.998774794771517</v>
      </c>
      <c r="N25" s="2">
        <f t="shared" si="10"/>
        <v>20.324132403199094</v>
      </c>
      <c r="O25" s="2">
        <f t="shared" si="11"/>
        <v>19.078273966811118</v>
      </c>
      <c r="P25" s="13">
        <f t="shared" si="12"/>
        <v>78.620280625726664</v>
      </c>
      <c r="R25" s="2">
        <f>VLOOKUP($K25,'2012 SAM'!$B$4:$F$70,COLUMNS('2012 SAM'!$B$4:C$4),)</f>
        <v>573.87579986928461</v>
      </c>
      <c r="S25" s="2">
        <f>VLOOKUP($K25,'2012 SAM'!$B$4:$F$70,COLUMNS('2012 SAM'!$B$4:D$4),)</f>
        <v>865.07312130027913</v>
      </c>
      <c r="T25" s="2">
        <f>VLOOKUP($K25,'2012 SAM'!$B$4:$F$70,COLUMNS('2012 SAM'!$B$4:E$4),)</f>
        <v>1156.6932332356159</v>
      </c>
      <c r="U25" s="2">
        <f>VLOOKUP($K25,'2012 SAM'!$B$4:$F$70,COLUMNS('2012 SAM'!$B$4:F$4),)</f>
        <v>1936.4352267875445</v>
      </c>
      <c r="V25" s="13">
        <f t="shared" si="13"/>
        <v>4532.0773811927238</v>
      </c>
      <c r="X25" s="2">
        <f t="shared" si="14"/>
        <v>37707.605587436876</v>
      </c>
      <c r="Y25" s="2">
        <f t="shared" si="0"/>
        <v>36046.553571924342</v>
      </c>
      <c r="Z25" s="2">
        <f t="shared" si="1"/>
        <v>56912.305543411443</v>
      </c>
      <c r="AA25" s="2">
        <f t="shared" si="2"/>
        <v>101499.49781391122</v>
      </c>
      <c r="AB25" s="13">
        <f t="shared" si="3"/>
        <v>57645.143786343935</v>
      </c>
      <c r="AF25" s="25">
        <f>AF24</f>
        <v>37907.765101258432</v>
      </c>
      <c r="AG25" s="25">
        <f t="shared" ref="AG25:AI25" si="45">AG24</f>
        <v>43778.992597686287</v>
      </c>
      <c r="AH25" s="25">
        <f t="shared" si="45"/>
        <v>82310.231491887811</v>
      </c>
      <c r="AI25" s="25">
        <f t="shared" si="45"/>
        <v>114592.92352094807</v>
      </c>
      <c r="AJ25" s="13"/>
      <c r="AN25" s="2"/>
      <c r="AO25" s="18">
        <f t="shared" si="16"/>
        <v>0.15488192144128665</v>
      </c>
      <c r="AP25" s="18">
        <f t="shared" si="5"/>
        <v>0.88013077980779975</v>
      </c>
      <c r="AQ25" s="18">
        <f t="shared" si="6"/>
        <v>0.39220752321953944</v>
      </c>
      <c r="AS25" s="2">
        <f>R25/(AF25/1000)</f>
        <v>15.138740000534442</v>
      </c>
      <c r="AT25" s="2">
        <f>S25/(AG25/1000)</f>
        <v>19.760005198155199</v>
      </c>
      <c r="AU25" s="2">
        <f>T25/(AH25/1000)</f>
        <v>14.052848743957371</v>
      </c>
      <c r="AV25" s="2">
        <f>U25/(AI25/1000)</f>
        <v>16.898384012635439</v>
      </c>
      <c r="AW25" s="13">
        <f t="shared" si="17"/>
        <v>65.849977955282441</v>
      </c>
      <c r="AX25" s="22">
        <f t="shared" si="18"/>
        <v>-0.16243013340587642</v>
      </c>
      <c r="AY25" s="23"/>
      <c r="AZ25" s="22"/>
      <c r="BC25" s="10">
        <f>SUM(V50)/AW50</f>
        <v>102.15450689043526</v>
      </c>
      <c r="BD25" s="10">
        <f>SUM(QLFS_NT!R15:Z15)/SUM(QLFS_NT!R8:Z8)*1000</f>
        <v>80.377933417561991</v>
      </c>
      <c r="BE25" s="17"/>
      <c r="BF25" s="9">
        <f t="shared" si="37"/>
        <v>1</v>
      </c>
      <c r="BG25" s="9">
        <f t="shared" si="38"/>
        <v>1</v>
      </c>
      <c r="BI25" s="9">
        <v>1</v>
      </c>
    </row>
    <row r="26" spans="1:61" x14ac:dyDescent="0.25">
      <c r="A26" s="1" t="str">
        <f>VLOOKUP($C26,Concordance!$E$2:$F$63,2,)</f>
        <v>Manufacturing</v>
      </c>
      <c r="B26" s="1" t="str">
        <f>INDEX(Concordance!$H$2:$H$83,MATCH($C26,Concordance!$I$2:$I$83,0))</f>
        <v>airon</v>
      </c>
      <c r="C26" s="1" t="s">
        <v>95</v>
      </c>
      <c r="D26" s="2">
        <f>QLFS_NT!C26/1000*VLOOKUP(Calc!$A26,'Employment Comparison'!$B$2:$F$10,COLUMNS('Employment Comparison'!$B$2:$F$2),)</f>
        <v>13.440977874079556</v>
      </c>
      <c r="E26" s="2">
        <f>QLFS_NT!D26/1000*VLOOKUP(Calc!$A26,'Employment Comparison'!$B$2:$F$10,COLUMNS('Employment Comparison'!$B$2:$F$2),)</f>
        <v>21.067594158475146</v>
      </c>
      <c r="F26" s="2">
        <f>QLFS_NT!E26/1000*VLOOKUP(Calc!$A26,'Employment Comparison'!$B$2:$F$10,COLUMNS('Employment Comparison'!$B$2:$F$2),)</f>
        <v>37.570951802135077</v>
      </c>
      <c r="G26" s="2">
        <f>QLFS_NT!F26/1000*VLOOKUP(Calc!$A26,'Employment Comparison'!$B$2:$F$10,COLUMNS('Employment Comparison'!$B$2:$F$2),)</f>
        <v>45.243434450199061</v>
      </c>
      <c r="H26" s="13">
        <f t="shared" si="7"/>
        <v>117.32295828488884</v>
      </c>
      <c r="J26" s="1" t="str">
        <f>VLOOKUP($K26,Concordance!$B$2:$C$68,2,)</f>
        <v>Manufacturing</v>
      </c>
      <c r="K26" s="1" t="s">
        <v>33</v>
      </c>
      <c r="L26" s="2">
        <f t="shared" si="8"/>
        <v>13.440977874079556</v>
      </c>
      <c r="M26" s="2">
        <f t="shared" si="9"/>
        <v>21.067594158475146</v>
      </c>
      <c r="N26" s="2">
        <f t="shared" si="10"/>
        <v>37.570951802135077</v>
      </c>
      <c r="O26" s="2">
        <f t="shared" si="11"/>
        <v>45.243434450199061</v>
      </c>
      <c r="P26" s="13">
        <f t="shared" si="12"/>
        <v>117.32295828488884</v>
      </c>
      <c r="R26" s="2">
        <f>VLOOKUP($K26,'2012 SAM'!$B$4:$F$70,COLUMNS('2012 SAM'!$B$4:C$4),)</f>
        <v>578.73103800786589</v>
      </c>
      <c r="S26" s="2">
        <f>VLOOKUP($K26,'2012 SAM'!$B$4:$F$70,COLUMNS('2012 SAM'!$B$4:D$4),)</f>
        <v>3766.6583615126219</v>
      </c>
      <c r="T26" s="2">
        <f>VLOOKUP($K26,'2012 SAM'!$B$4:$F$70,COLUMNS('2012 SAM'!$B$4:E$4),)</f>
        <v>4508.2717643412425</v>
      </c>
      <c r="U26" s="2">
        <f>VLOOKUP($K26,'2012 SAM'!$B$4:$F$70,COLUMNS('2012 SAM'!$B$4:F$4),)</f>
        <v>4339.2859052330332</v>
      </c>
      <c r="V26" s="13">
        <f t="shared" si="13"/>
        <v>13192.947069094764</v>
      </c>
      <c r="X26" s="2">
        <f t="shared" si="14"/>
        <v>43057.212312202966</v>
      </c>
      <c r="Y26" s="2">
        <f t="shared" si="0"/>
        <v>178789.20265783442</v>
      </c>
      <c r="Z26" s="2">
        <f t="shared" si="1"/>
        <v>119993.54682531751</v>
      </c>
      <c r="AA26" s="2">
        <f t="shared" si="2"/>
        <v>95909.737135659496</v>
      </c>
      <c r="AB26" s="13">
        <f t="shared" si="3"/>
        <v>112449.83302465883</v>
      </c>
      <c r="AF26" s="27">
        <f>AF27</f>
        <v>43570.814994396416</v>
      </c>
      <c r="AG26" s="27">
        <f t="shared" ref="AG26:AI26" si="46">AG27</f>
        <v>114252.71629799789</v>
      </c>
      <c r="AH26" s="27">
        <f t="shared" si="46"/>
        <v>120852.43227242175</v>
      </c>
      <c r="AI26" s="27">
        <f t="shared" si="46"/>
        <v>318858.86483238963</v>
      </c>
      <c r="AJ26" s="13"/>
      <c r="AN26" s="2"/>
      <c r="AO26" s="18">
        <f t="shared" si="16"/>
        <v>1.6222304153064795</v>
      </c>
      <c r="AP26" s="18">
        <f t="shared" si="5"/>
        <v>5.7764193169904665E-2</v>
      </c>
      <c r="AQ26" s="18">
        <f t="shared" si="6"/>
        <v>1.6384149564621753</v>
      </c>
      <c r="AS26" s="2">
        <f>R26/(AF26/1000)</f>
        <v>13.282538737967048</v>
      </c>
      <c r="AT26" s="2">
        <f>S26/(AG26/1000)</f>
        <v>32.967779529094898</v>
      </c>
      <c r="AU26" s="2">
        <f>T26/(AH26/1000)</f>
        <v>37.303939023575779</v>
      </c>
      <c r="AV26" s="2">
        <f>U26/(AI26/1000)</f>
        <v>13.608798072821367</v>
      </c>
      <c r="AW26" s="13">
        <f t="shared" si="17"/>
        <v>97.163055363459094</v>
      </c>
      <c r="AX26" s="22">
        <f t="shared" si="18"/>
        <v>-0.17183254851515573</v>
      </c>
      <c r="AY26" s="23">
        <f>SUM(AW26:AW28)/SUM(P26:P28)-1</f>
        <v>-6.4533427038878544E-2</v>
      </c>
      <c r="AZ26" s="22"/>
    </row>
    <row r="27" spans="1:61" x14ac:dyDescent="0.25">
      <c r="A27" s="1" t="str">
        <f>VLOOKUP($C27,Concordance!$E$2:$F$63,2,)</f>
        <v>Manufacturing</v>
      </c>
      <c r="B27" s="1" t="str">
        <f>INDEX(Concordance!$H$2:$H$83,MATCH($C27,Concordance!$I$2:$I$83,0))</f>
        <v>anfrm</v>
      </c>
      <c r="C27" s="1" t="s">
        <v>96</v>
      </c>
      <c r="D27" s="2">
        <f>QLFS_NT!C27/1000*VLOOKUP(Calc!$A27,'Employment Comparison'!$B$2:$F$10,COLUMNS('Employment Comparison'!$B$2:$F$2),)</f>
        <v>1.1434591128492408</v>
      </c>
      <c r="E27" s="2">
        <f>QLFS_NT!D27/1000*VLOOKUP(Calc!$A27,'Employment Comparison'!$B$2:$F$10,COLUMNS('Employment Comparison'!$B$2:$F$2),)</f>
        <v>2.300784800761019</v>
      </c>
      <c r="F27" s="2">
        <f>QLFS_NT!E27/1000*VLOOKUP(Calc!$A27,'Employment Comparison'!$B$2:$F$10,COLUMNS('Employment Comparison'!$B$2:$F$2),)</f>
        <v>6.9962204488602335</v>
      </c>
      <c r="G27" s="2">
        <f>QLFS_NT!F27/1000*VLOOKUP(Calc!$A27,'Employment Comparison'!$B$2:$F$10,COLUMNS('Employment Comparison'!$B$2:$F$2),)</f>
        <v>9.1903392876017325</v>
      </c>
      <c r="H27" s="13">
        <f t="shared" si="7"/>
        <v>19.630803650072224</v>
      </c>
      <c r="J27" s="1" t="str">
        <f>VLOOKUP($K27,Concordance!$B$2:$C$68,2,)</f>
        <v>Manufacturing</v>
      </c>
      <c r="K27" s="1" t="s">
        <v>34</v>
      </c>
      <c r="L27" s="2">
        <f t="shared" si="8"/>
        <v>1.1434591128492408</v>
      </c>
      <c r="M27" s="2">
        <f t="shared" si="9"/>
        <v>2.300784800761019</v>
      </c>
      <c r="N27" s="2">
        <f t="shared" si="10"/>
        <v>6.9962204488602335</v>
      </c>
      <c r="O27" s="2">
        <f t="shared" si="11"/>
        <v>9.1903392876017325</v>
      </c>
      <c r="P27" s="13">
        <f t="shared" si="12"/>
        <v>19.630803650072224</v>
      </c>
      <c r="R27" s="2">
        <f>VLOOKUP($K27,'2012 SAM'!$B$4:$F$70,COLUMNS('2012 SAM'!$B$4:C$4),)</f>
        <v>49.821445459610928</v>
      </c>
      <c r="S27" s="2">
        <f>VLOOKUP($K27,'2012 SAM'!$B$4:$F$70,COLUMNS('2012 SAM'!$B$4:D$4),)</f>
        <v>262.87091310409431</v>
      </c>
      <c r="T27" s="2">
        <f>VLOOKUP($K27,'2012 SAM'!$B$4:$F$70,COLUMNS('2012 SAM'!$B$4:E$4),)</f>
        <v>845.51025795881344</v>
      </c>
      <c r="U27" s="2">
        <f>VLOOKUP($K27,'2012 SAM'!$B$4:$F$70,COLUMNS('2012 SAM'!$B$4:F$4),)</f>
        <v>2930.4211526692011</v>
      </c>
      <c r="V27" s="13">
        <f t="shared" si="13"/>
        <v>4088.6237691917195</v>
      </c>
      <c r="X27" s="2">
        <f t="shared" si="14"/>
        <v>43570.814994396416</v>
      </c>
      <c r="Y27" s="2">
        <f t="shared" si="0"/>
        <v>114252.71629799789</v>
      </c>
      <c r="Z27" s="2">
        <f t="shared" si="1"/>
        <v>120852.43227242175</v>
      </c>
      <c r="AA27" s="2">
        <f t="shared" si="2"/>
        <v>318858.86483238963</v>
      </c>
      <c r="AB27" s="13">
        <f t="shared" si="3"/>
        <v>208275.92400562149</v>
      </c>
      <c r="AF27" s="24">
        <f>X27</f>
        <v>43570.814994396416</v>
      </c>
      <c r="AG27" s="24">
        <f t="shared" ref="AG27" si="47">Y27</f>
        <v>114252.71629799789</v>
      </c>
      <c r="AH27" s="24">
        <f t="shared" ref="AH27" si="48">Z27</f>
        <v>120852.43227242175</v>
      </c>
      <c r="AI27" s="24">
        <f t="shared" ref="AI27" si="49">AA27</f>
        <v>318858.86483238963</v>
      </c>
      <c r="AJ27" s="13"/>
      <c r="AN27" s="2"/>
      <c r="AO27" s="18">
        <f t="shared" si="16"/>
        <v>1.6222304153064795</v>
      </c>
      <c r="AP27" s="18">
        <f t="shared" si="5"/>
        <v>5.7764193169904665E-2</v>
      </c>
      <c r="AQ27" s="18">
        <f t="shared" si="6"/>
        <v>1.6384149564621753</v>
      </c>
      <c r="AS27" s="2">
        <f>R27/(AF27/1000)</f>
        <v>1.1434591128492408</v>
      </c>
      <c r="AT27" s="2">
        <f>S27/(AG27/1000)</f>
        <v>2.300784800761019</v>
      </c>
      <c r="AU27" s="2">
        <f>T27/(AH27/1000)</f>
        <v>6.9962204488602335</v>
      </c>
      <c r="AV27" s="2">
        <f>U27/(AI27/1000)</f>
        <v>9.1903392876017325</v>
      </c>
      <c r="AW27" s="13">
        <f t="shared" si="17"/>
        <v>19.630803650072224</v>
      </c>
      <c r="AX27" s="22">
        <f t="shared" si="18"/>
        <v>0</v>
      </c>
      <c r="AY27" s="28"/>
      <c r="AZ27" s="22"/>
    </row>
    <row r="28" spans="1:61" x14ac:dyDescent="0.25">
      <c r="A28" s="1" t="str">
        <f>VLOOKUP($C28,Concordance!$E$2:$F$63,2,)</f>
        <v>Manufacturing</v>
      </c>
      <c r="B28" s="1" t="str">
        <f>INDEX(Concordance!$H$2:$H$83,MATCH($C28,Concordance!$I$2:$I$83,0))</f>
        <v>ametp</v>
      </c>
      <c r="C28" s="1" t="s">
        <v>97</v>
      </c>
      <c r="D28" s="2">
        <f>QLFS_NT!C28/1000*VLOOKUP(Calc!$A28,'Employment Comparison'!$B$2:$F$10,COLUMNS('Employment Comparison'!$B$2:$F$2),)</f>
        <v>19.496404537927631</v>
      </c>
      <c r="E28" s="2">
        <f>QLFS_NT!D28/1000*VLOOKUP(Calc!$A28,'Employment Comparison'!$B$2:$F$10,COLUMNS('Employment Comparison'!$B$2:$F$2),)</f>
        <v>42.907449881971601</v>
      </c>
      <c r="F28" s="2">
        <f>QLFS_NT!E28/1000*VLOOKUP(Calc!$A28,'Employment Comparison'!$B$2:$F$10,COLUMNS('Employment Comparison'!$B$2:$F$2),)</f>
        <v>65.790498714018952</v>
      </c>
      <c r="G28" s="2">
        <f>QLFS_NT!F28/1000*VLOOKUP(Calc!$A28,'Employment Comparison'!$B$2:$F$10,COLUMNS('Employment Comparison'!$B$2:$F$2),)</f>
        <v>47.246621216925618</v>
      </c>
      <c r="H28" s="13">
        <f t="shared" si="7"/>
        <v>175.44097435084382</v>
      </c>
      <c r="J28" s="1" t="str">
        <f>VLOOKUP($K28,Concordance!$B$2:$C$68,2,)</f>
        <v>Manufacturing</v>
      </c>
      <c r="K28" s="1" t="s">
        <v>35</v>
      </c>
      <c r="L28" s="2">
        <f t="shared" si="8"/>
        <v>19.496404537927631</v>
      </c>
      <c r="M28" s="2">
        <f t="shared" si="9"/>
        <v>42.907449881971601</v>
      </c>
      <c r="N28" s="2">
        <f t="shared" si="10"/>
        <v>65.790498714018952</v>
      </c>
      <c r="O28" s="2">
        <f t="shared" si="11"/>
        <v>47.246621216925618</v>
      </c>
      <c r="P28" s="13">
        <f t="shared" si="12"/>
        <v>175.44097435084382</v>
      </c>
      <c r="R28" s="2">
        <f>VLOOKUP($K28,'2012 SAM'!$B$4:$F$70,COLUMNS('2012 SAM'!$B$4:C$4),)</f>
        <v>1209.6366130940671</v>
      </c>
      <c r="S28" s="2">
        <f>VLOOKUP($K28,'2012 SAM'!$B$4:$F$70,COLUMNS('2012 SAM'!$B$4:D$4),)</f>
        <v>3701.6411925006528</v>
      </c>
      <c r="T28" s="2">
        <f>VLOOKUP($K28,'2012 SAM'!$B$4:$F$70,COLUMNS('2012 SAM'!$B$4:E$4),)</f>
        <v>7056.1864652200147</v>
      </c>
      <c r="U28" s="2">
        <f>VLOOKUP($K28,'2012 SAM'!$B$4:$F$70,COLUMNS('2012 SAM'!$B$4:F$4),)</f>
        <v>7836.870946720971</v>
      </c>
      <c r="V28" s="13">
        <f t="shared" si="13"/>
        <v>19804.335217535707</v>
      </c>
      <c r="X28" s="2">
        <f t="shared" si="14"/>
        <v>62044.086679719941</v>
      </c>
      <c r="Y28" s="2">
        <f t="shared" si="0"/>
        <v>86270.361037139373</v>
      </c>
      <c r="Z28" s="2">
        <f t="shared" si="1"/>
        <v>107252.36323093032</v>
      </c>
      <c r="AA28" s="2">
        <f t="shared" si="2"/>
        <v>165871.56382546763</v>
      </c>
      <c r="AB28" s="13">
        <f t="shared" si="3"/>
        <v>112883.18074391983</v>
      </c>
      <c r="AF28" s="24">
        <f>X28</f>
        <v>62044.086679719941</v>
      </c>
      <c r="AG28" s="24">
        <f t="shared" si="23"/>
        <v>86270.361037139373</v>
      </c>
      <c r="AH28" s="24">
        <f t="shared" si="24"/>
        <v>107252.36323093032</v>
      </c>
      <c r="AI28" s="24">
        <f t="shared" si="25"/>
        <v>165871.56382546763</v>
      </c>
      <c r="AJ28" s="13"/>
      <c r="AN28" s="2"/>
      <c r="AO28" s="18">
        <f t="shared" si="16"/>
        <v>0.39046870787991073</v>
      </c>
      <c r="AP28" s="18">
        <f t="shared" si="5"/>
        <v>0.24321217555538222</v>
      </c>
      <c r="AQ28" s="18">
        <f t="shared" si="6"/>
        <v>0.54655392970988848</v>
      </c>
      <c r="AS28" s="2">
        <f>R28/(AF28/1000)</f>
        <v>19.496404537927631</v>
      </c>
      <c r="AT28" s="2">
        <f>S28/(AG28/1000)</f>
        <v>42.907449881971601</v>
      </c>
      <c r="AU28" s="2">
        <f>T28/(AH28/1000)</f>
        <v>65.790498714018952</v>
      </c>
      <c r="AV28" s="2">
        <f>U28/(AI28/1000)</f>
        <v>47.246621216925618</v>
      </c>
      <c r="AW28" s="13">
        <f t="shared" si="17"/>
        <v>175.44097435084382</v>
      </c>
      <c r="AX28" s="22">
        <f t="shared" si="18"/>
        <v>0</v>
      </c>
      <c r="AY28" s="28"/>
      <c r="AZ28" s="22"/>
    </row>
    <row r="29" spans="1:61" x14ac:dyDescent="0.25">
      <c r="A29" s="1" t="str">
        <f>VLOOKUP($C29,Concordance!$E$2:$F$63,2,)</f>
        <v>Manufacturing</v>
      </c>
      <c r="B29" s="1" t="str">
        <f>INDEX(Concordance!$H$2:$H$83,MATCH($C29,Concordance!$I$2:$I$83,0))</f>
        <v>amach</v>
      </c>
      <c r="C29" s="1" t="s">
        <v>36</v>
      </c>
      <c r="D29" s="2">
        <f>QLFS_NT!C29/1000*VLOOKUP(Calc!$A29,'Employment Comparison'!$B$2:$F$10,COLUMNS('Employment Comparison'!$B$2:$F$2),)</f>
        <v>7.3023517598562515</v>
      </c>
      <c r="E29" s="2">
        <f>QLFS_NT!D29/1000*VLOOKUP(Calc!$A29,'Employment Comparison'!$B$2:$F$10,COLUMNS('Employment Comparison'!$B$2:$F$2),)</f>
        <v>15.621230137758516</v>
      </c>
      <c r="F29" s="2">
        <f>QLFS_NT!E29/1000*VLOOKUP(Calc!$A29,'Employment Comparison'!$B$2:$F$10,COLUMNS('Employment Comparison'!$B$2:$F$2),)</f>
        <v>36.389092942958811</v>
      </c>
      <c r="G29" s="2">
        <f>QLFS_NT!F29/1000*VLOOKUP(Calc!$A29,'Employment Comparison'!$B$2:$F$10,COLUMNS('Employment Comparison'!$B$2:$F$2),)</f>
        <v>54.934037099672338</v>
      </c>
      <c r="H29" s="13">
        <f t="shared" si="7"/>
        <v>114.24671194024592</v>
      </c>
      <c r="J29" s="1" t="str">
        <f>VLOOKUP($K29,Concordance!$B$2:$C$68,2,)</f>
        <v>Manufacturing</v>
      </c>
      <c r="K29" s="1" t="s">
        <v>36</v>
      </c>
      <c r="L29" s="2">
        <f t="shared" si="8"/>
        <v>7.3023517598562515</v>
      </c>
      <c r="M29" s="2">
        <f t="shared" si="9"/>
        <v>15.621230137758516</v>
      </c>
      <c r="N29" s="2">
        <f t="shared" si="10"/>
        <v>36.389092942958811</v>
      </c>
      <c r="O29" s="2">
        <f t="shared" si="11"/>
        <v>54.934037099672338</v>
      </c>
      <c r="P29" s="13">
        <f t="shared" si="12"/>
        <v>114.24671194024592</v>
      </c>
      <c r="R29" s="2">
        <f>VLOOKUP($K29,'2012 SAM'!$B$4:$F$70,COLUMNS('2012 SAM'!$B$4:C$4),)</f>
        <v>398.37078561264758</v>
      </c>
      <c r="S29" s="2">
        <f>VLOOKUP($K29,'2012 SAM'!$B$4:$F$70,COLUMNS('2012 SAM'!$B$4:D$4),)</f>
        <v>1328.7224692908292</v>
      </c>
      <c r="T29" s="2">
        <f>VLOOKUP($K29,'2012 SAM'!$B$4:$F$70,COLUMNS('2012 SAM'!$B$4:E$4),)</f>
        <v>3777.2504231610419</v>
      </c>
      <c r="U29" s="2">
        <f>VLOOKUP($K29,'2012 SAM'!$B$4:$F$70,COLUMNS('2012 SAM'!$B$4:F$4),)</f>
        <v>11846.819942587188</v>
      </c>
      <c r="V29" s="13">
        <f t="shared" si="13"/>
        <v>17351.163620651707</v>
      </c>
      <c r="X29" s="2">
        <f t="shared" si="14"/>
        <v>54553.765514644234</v>
      </c>
      <c r="Y29" s="2">
        <f t="shared" si="0"/>
        <v>85058.760262364784</v>
      </c>
      <c r="Z29" s="2">
        <f t="shared" si="1"/>
        <v>103801.71962741736</v>
      </c>
      <c r="AA29" s="2">
        <f t="shared" si="2"/>
        <v>215655.36720143675</v>
      </c>
      <c r="AB29" s="13">
        <f t="shared" si="3"/>
        <v>151874.51197481141</v>
      </c>
      <c r="AF29" s="24">
        <f>X29</f>
        <v>54553.765514644234</v>
      </c>
      <c r="AG29" s="24">
        <f t="shared" si="23"/>
        <v>85058.760262364784</v>
      </c>
      <c r="AH29" s="24">
        <f t="shared" si="24"/>
        <v>103801.71962741736</v>
      </c>
      <c r="AI29" s="24">
        <f t="shared" si="25"/>
        <v>215655.36720143675</v>
      </c>
      <c r="AJ29" s="13"/>
      <c r="AN29" s="2"/>
      <c r="AO29" s="18">
        <f t="shared" si="16"/>
        <v>0.55917303709368849</v>
      </c>
      <c r="AP29" s="18">
        <f t="shared" si="5"/>
        <v>0.22035307483014899</v>
      </c>
      <c r="AQ29" s="18">
        <f t="shared" si="6"/>
        <v>1.0775702750927767</v>
      </c>
      <c r="AS29" s="2">
        <f>R29/(AF29/1000)</f>
        <v>7.3023517598562515</v>
      </c>
      <c r="AT29" s="2">
        <f>S29/(AG29/1000)</f>
        <v>15.621230137758515</v>
      </c>
      <c r="AU29" s="2">
        <f>T29/(AH29/1000)</f>
        <v>36.389092942958811</v>
      </c>
      <c r="AV29" s="2">
        <f>U29/(AI29/1000)</f>
        <v>54.934037099672338</v>
      </c>
      <c r="AW29" s="13">
        <f t="shared" si="17"/>
        <v>114.24671194024592</v>
      </c>
      <c r="AX29" s="22">
        <f t="shared" si="18"/>
        <v>0</v>
      </c>
      <c r="AY29" s="23">
        <f>SUM(AW29:AW33)/SUM(P29:P33)-1</f>
        <v>7.3266757835924512E-2</v>
      </c>
      <c r="AZ29" s="22"/>
    </row>
    <row r="30" spans="1:61" x14ac:dyDescent="0.25">
      <c r="A30" s="1" t="str">
        <f>VLOOKUP($C30,Concordance!$E$2:$F$63,2,)</f>
        <v>Manufacturing</v>
      </c>
      <c r="B30" s="1" t="str">
        <f>INDEX(Concordance!$H$2:$H$83,MATCH($C30,Concordance!$I$2:$I$83,0))</f>
        <v>aemch</v>
      </c>
      <c r="C30" s="1" t="s">
        <v>37</v>
      </c>
      <c r="D30" s="2">
        <f>QLFS_NT!C30/1000*VLOOKUP(Calc!$A30,'Employment Comparison'!$B$2:$F$10,COLUMNS('Employment Comparison'!$B$2:$F$2),)</f>
        <v>2.137585878871155</v>
      </c>
      <c r="E30" s="2">
        <f>QLFS_NT!D30/1000*VLOOKUP(Calc!$A30,'Employment Comparison'!$B$2:$F$10,COLUMNS('Employment Comparison'!$B$2:$F$2),)</f>
        <v>5.5242301729908752</v>
      </c>
      <c r="F30" s="2">
        <f>QLFS_NT!E30/1000*VLOOKUP(Calc!$A30,'Employment Comparison'!$B$2:$F$10,COLUMNS('Employment Comparison'!$B$2:$F$2),)</f>
        <v>11.299125356727618</v>
      </c>
      <c r="G30" s="2">
        <f>QLFS_NT!F30/1000*VLOOKUP(Calc!$A30,'Employment Comparison'!$B$2:$F$10,COLUMNS('Employment Comparison'!$B$2:$F$2),)</f>
        <v>13.801508825705527</v>
      </c>
      <c r="H30" s="13">
        <f t="shared" si="7"/>
        <v>32.762450234295173</v>
      </c>
      <c r="J30" s="1" t="str">
        <f>VLOOKUP($K30,Concordance!$B$2:$C$68,2,)</f>
        <v>Manufacturing</v>
      </c>
      <c r="K30" s="1" t="s">
        <v>37</v>
      </c>
      <c r="L30" s="2">
        <f t="shared" si="8"/>
        <v>2.137585878871155</v>
      </c>
      <c r="M30" s="2">
        <f t="shared" si="9"/>
        <v>5.5242301729908752</v>
      </c>
      <c r="N30" s="2">
        <f t="shared" si="10"/>
        <v>11.299125356727618</v>
      </c>
      <c r="O30" s="2">
        <f t="shared" si="11"/>
        <v>13.801508825705527</v>
      </c>
      <c r="P30" s="13">
        <f t="shared" si="12"/>
        <v>32.762450234295173</v>
      </c>
      <c r="R30" s="2">
        <f>VLOOKUP($K30,'2012 SAM'!$B$4:$F$70,COLUMNS('2012 SAM'!$B$4:C$4),)</f>
        <v>356.93202742783933</v>
      </c>
      <c r="S30" s="2">
        <f>VLOOKUP($K30,'2012 SAM'!$B$4:$F$70,COLUMNS('2012 SAM'!$B$4:D$4),)</f>
        <v>1165.8965266429786</v>
      </c>
      <c r="T30" s="2">
        <f>VLOOKUP($K30,'2012 SAM'!$B$4:$F$70,COLUMNS('2012 SAM'!$B$4:E$4),)</f>
        <v>1348.150535552774</v>
      </c>
      <c r="U30" s="2">
        <f>VLOOKUP($K30,'2012 SAM'!$B$4:$F$70,COLUMNS('2012 SAM'!$B$4:F$4),)</f>
        <v>3000.3015744686577</v>
      </c>
      <c r="V30" s="13">
        <f t="shared" si="13"/>
        <v>5871.2806640922499</v>
      </c>
      <c r="X30" s="2">
        <f>R30/L30*1000</f>
        <v>166979.03506750934</v>
      </c>
      <c r="Y30" s="2">
        <f t="shared" si="0"/>
        <v>211051.40266299772</v>
      </c>
      <c r="Z30" s="2">
        <f t="shared" si="1"/>
        <v>119314.59232373866</v>
      </c>
      <c r="AA30" s="2">
        <f t="shared" si="2"/>
        <v>217389.38925869821</v>
      </c>
      <c r="AB30" s="13">
        <f t="shared" si="3"/>
        <v>179207.6179316495</v>
      </c>
      <c r="AF30" s="25">
        <f>AF29*1.4</f>
        <v>76375.271720501929</v>
      </c>
      <c r="AG30" s="25">
        <f t="shared" ref="AG30:AI30" si="50">AG29*1.4</f>
        <v>119082.26436731069</v>
      </c>
      <c r="AH30" s="25">
        <f t="shared" si="50"/>
        <v>145322.4074783843</v>
      </c>
      <c r="AI30" s="25">
        <f t="shared" si="50"/>
        <v>301917.51408201142</v>
      </c>
      <c r="AJ30" s="13"/>
      <c r="AN30" s="2"/>
      <c r="AO30" s="18">
        <f t="shared" si="16"/>
        <v>0.55917303709368849</v>
      </c>
      <c r="AP30" s="18">
        <f t="shared" si="5"/>
        <v>0.22035307483014899</v>
      </c>
      <c r="AQ30" s="18">
        <f t="shared" si="6"/>
        <v>1.0775702750927763</v>
      </c>
      <c r="AS30" s="2">
        <f>R30/(AF30/1000)</f>
        <v>4.6733978077884295</v>
      </c>
      <c r="AT30" s="2">
        <f>S30/(AG30/1000)</f>
        <v>9.7906815329506713</v>
      </c>
      <c r="AU30" s="2">
        <f>T30/(AH30/1000)</f>
        <v>9.2769625754603755</v>
      </c>
      <c r="AV30" s="2">
        <f>U30/(AI30/1000)</f>
        <v>9.9374876730525497</v>
      </c>
      <c r="AW30" s="13">
        <f t="shared" si="17"/>
        <v>33.67852958925203</v>
      </c>
      <c r="AX30" s="22">
        <f t="shared" si="18"/>
        <v>2.7961258953639545E-2</v>
      </c>
      <c r="AY30" s="28"/>
      <c r="AZ30" s="22"/>
    </row>
    <row r="31" spans="1:61" x14ac:dyDescent="0.25">
      <c r="A31" s="1" t="str">
        <f>VLOOKUP($C31,Concordance!$E$2:$F$63,2,)</f>
        <v>Manufacturing</v>
      </c>
      <c r="B31" s="1" t="str">
        <f>INDEX(Concordance!$H$2:$H$83,MATCH($C31,Concordance!$I$2:$I$83,0))</f>
        <v>asequ</v>
      </c>
      <c r="C31" s="1" t="s">
        <v>98</v>
      </c>
      <c r="D31" s="2">
        <f>QLFS_NT!C31/1000*VLOOKUP(Calc!$A31,'Employment Comparison'!$B$2:$F$10,COLUMNS('Employment Comparison'!$B$2:$F$2),)</f>
        <v>8.8532748476200546E-2</v>
      </c>
      <c r="E31" s="2">
        <f>QLFS_NT!D31/1000*VLOOKUP(Calc!$A31,'Employment Comparison'!$B$2:$F$10,COLUMNS('Employment Comparison'!$B$2:$F$2),)</f>
        <v>1.8325212274953315</v>
      </c>
      <c r="F31" s="2">
        <f>QLFS_NT!E31/1000*VLOOKUP(Calc!$A31,'Employment Comparison'!$B$2:$F$10,COLUMNS('Employment Comparison'!$B$2:$F$2),)</f>
        <v>0.55466300250149736</v>
      </c>
      <c r="G31" s="2">
        <f>QLFS_NT!F31/1000*VLOOKUP(Calc!$A31,'Employment Comparison'!$B$2:$F$10,COLUMNS('Employment Comparison'!$B$2:$F$2),)</f>
        <v>2.7701150336469014</v>
      </c>
      <c r="H31" s="13">
        <f t="shared" si="7"/>
        <v>5.2458320121199309</v>
      </c>
      <c r="J31" s="1" t="str">
        <f>VLOOKUP($K31,Concordance!$B$2:$C$68,2,)</f>
        <v>Manufacturing</v>
      </c>
      <c r="K31" s="1" t="s">
        <v>38</v>
      </c>
      <c r="L31" s="2">
        <f t="shared" si="8"/>
        <v>8.8532748476200546E-2</v>
      </c>
      <c r="M31" s="2">
        <f t="shared" si="9"/>
        <v>1.8325212274953315</v>
      </c>
      <c r="N31" s="2">
        <f t="shared" si="10"/>
        <v>0.55466300250149736</v>
      </c>
      <c r="O31" s="2">
        <f t="shared" si="11"/>
        <v>2.7701150336469014</v>
      </c>
      <c r="P31" s="13">
        <f t="shared" si="12"/>
        <v>5.2458320121199309</v>
      </c>
      <c r="R31" s="2">
        <f>VLOOKUP($K31,'2012 SAM'!$B$4:$F$70,COLUMNS('2012 SAM'!$B$4:C$4),)</f>
        <v>7.1613991924958835</v>
      </c>
      <c r="S31" s="2">
        <f>VLOOKUP($K31,'2012 SAM'!$B$4:$F$70,COLUMNS('2012 SAM'!$B$4:D$4),)</f>
        <v>672.37186979921614</v>
      </c>
      <c r="T31" s="2">
        <f>VLOOKUP($K31,'2012 SAM'!$B$4:$F$70,COLUMNS('2012 SAM'!$B$4:E$4),)</f>
        <v>383.81853776121642</v>
      </c>
      <c r="U31" s="2">
        <f>VLOOKUP($K31,'2012 SAM'!$B$4:$F$70,COLUMNS('2012 SAM'!$B$4:F$4),)</f>
        <v>2553.1423345374033</v>
      </c>
      <c r="V31" s="13">
        <f t="shared" si="13"/>
        <v>3616.4941412903318</v>
      </c>
      <c r="X31" s="2">
        <f t="shared" si="14"/>
        <v>80889.832471664617</v>
      </c>
      <c r="Y31" s="2">
        <f t="shared" si="0"/>
        <v>366910.82193803898</v>
      </c>
      <c r="Z31" s="2">
        <f t="shared" si="1"/>
        <v>691985.1081291117</v>
      </c>
      <c r="AA31" s="2">
        <f t="shared" si="2"/>
        <v>921673.75849953422</v>
      </c>
      <c r="AB31" s="13">
        <f t="shared" si="3"/>
        <v>689403.34592011536</v>
      </c>
      <c r="AF31" s="24">
        <f t="shared" si="22"/>
        <v>80889.832471664617</v>
      </c>
      <c r="AG31" s="24">
        <f t="shared" si="23"/>
        <v>366910.82193803898</v>
      </c>
      <c r="AH31" s="24">
        <f t="shared" si="24"/>
        <v>691985.1081291117</v>
      </c>
      <c r="AI31" s="24">
        <f t="shared" si="25"/>
        <v>921673.75849953422</v>
      </c>
      <c r="AJ31" s="13"/>
      <c r="AN31" s="2"/>
      <c r="AO31" s="18">
        <f t="shared" si="16"/>
        <v>3.5359325236155774</v>
      </c>
      <c r="AP31" s="18">
        <f t="shared" si="5"/>
        <v>0.8859762829398603</v>
      </c>
      <c r="AQ31" s="18">
        <f t="shared" si="6"/>
        <v>0.33192715807341733</v>
      </c>
      <c r="AS31" s="2">
        <f>R31/(AF31/1000)</f>
        <v>8.8532748476200546E-2</v>
      </c>
      <c r="AT31" s="2">
        <f>S31/(AG31/1000)</f>
        <v>1.8325212274953315</v>
      </c>
      <c r="AU31" s="2">
        <f>T31/(AH31/1000)</f>
        <v>0.55466300250149736</v>
      </c>
      <c r="AV31" s="2">
        <f>U31/(AI31/1000)</f>
        <v>2.7701150336469014</v>
      </c>
      <c r="AW31" s="13">
        <f t="shared" si="17"/>
        <v>5.2458320121199309</v>
      </c>
      <c r="AX31" s="22">
        <f t="shared" si="18"/>
        <v>0</v>
      </c>
      <c r="AY31" s="28"/>
      <c r="AZ31" s="22"/>
    </row>
    <row r="32" spans="1:61" x14ac:dyDescent="0.25">
      <c r="A32" s="1" t="str">
        <f>VLOOKUP($C32,Concordance!$E$2:$F$63,2,)</f>
        <v>Manufacturing</v>
      </c>
      <c r="B32" s="1" t="str">
        <f>INDEX(Concordance!$H$2:$H$83,MATCH($C32,Concordance!$I$2:$I$83,0))</f>
        <v>avehi</v>
      </c>
      <c r="C32" s="1" t="s">
        <v>99</v>
      </c>
      <c r="D32" s="2">
        <f>QLFS_NT!C32/1000*VLOOKUP(Calc!$A32,'Employment Comparison'!$B$2:$F$10,COLUMNS('Employment Comparison'!$B$2:$F$2),)</f>
        <v>9.7066025437762035E-2</v>
      </c>
      <c r="E32" s="2">
        <f>QLFS_NT!D32/1000*VLOOKUP(Calc!$A32,'Employment Comparison'!$B$2:$F$10,COLUMNS('Employment Comparison'!$B$2:$F$2),)</f>
        <v>2.3306512701264843</v>
      </c>
      <c r="F32" s="2">
        <f>QLFS_NT!E32/1000*VLOOKUP(Calc!$A32,'Employment Comparison'!$B$2:$F$10,COLUMNS('Employment Comparison'!$B$2:$F$2),)</f>
        <v>5.7215622027269841</v>
      </c>
      <c r="G32" s="2">
        <f>QLFS_NT!F32/1000*VLOOKUP(Calc!$A32,'Employment Comparison'!$B$2:$F$10,COLUMNS('Employment Comparison'!$B$2:$F$2),)</f>
        <v>11.246859035338055</v>
      </c>
      <c r="H32" s="13">
        <f t="shared" si="7"/>
        <v>19.396138533629284</v>
      </c>
      <c r="J32" s="1" t="str">
        <f>VLOOKUP($K32,Concordance!$B$2:$C$68,2,)</f>
        <v>Manufacturing</v>
      </c>
      <c r="K32" s="1" t="s">
        <v>39</v>
      </c>
      <c r="L32" s="2">
        <f>SUMIF($B$3:$B$64,$K32,D$3:D$64)</f>
        <v>9.7066025437762035E-2</v>
      </c>
      <c r="M32" s="2">
        <f t="shared" si="9"/>
        <v>2.3306512701264843</v>
      </c>
      <c r="N32" s="2">
        <f t="shared" si="10"/>
        <v>5.7215622027269841</v>
      </c>
      <c r="O32" s="2">
        <f t="shared" si="11"/>
        <v>11.246859035338055</v>
      </c>
      <c r="P32" s="13">
        <f t="shared" si="12"/>
        <v>19.396138533629284</v>
      </c>
      <c r="R32" s="2">
        <f>VLOOKUP($K32,'2012 SAM'!$B$4:$F$70,COLUMNS('2012 SAM'!$B$4:C$4),)</f>
        <v>369.94076737650454</v>
      </c>
      <c r="S32" s="2">
        <f>VLOOKUP($K32,'2012 SAM'!$B$4:$F$70,COLUMNS('2012 SAM'!$B$4:D$4),)</f>
        <v>1364.4591820975932</v>
      </c>
      <c r="T32" s="2">
        <f>VLOOKUP($K32,'2012 SAM'!$B$4:$F$70,COLUMNS('2012 SAM'!$B$4:E$4),)</f>
        <v>4113.5310878641958</v>
      </c>
      <c r="U32" s="2">
        <f>VLOOKUP($K32,'2012 SAM'!$B$4:$F$70,COLUMNS('2012 SAM'!$B$4:F$4),)</f>
        <v>13998.42625091743</v>
      </c>
      <c r="V32" s="13">
        <f t="shared" si="13"/>
        <v>19846.357288255724</v>
      </c>
      <c r="X32" s="2">
        <f t="shared" si="14"/>
        <v>3811228.1378380698</v>
      </c>
      <c r="Y32" s="2">
        <f t="shared" si="0"/>
        <v>585441.15955345985</v>
      </c>
      <c r="Z32" s="2">
        <f t="shared" si="1"/>
        <v>718952.43678441946</v>
      </c>
      <c r="AA32" s="2">
        <f t="shared" si="2"/>
        <v>1244652.0585822093</v>
      </c>
      <c r="AB32" s="13">
        <f t="shared" si="3"/>
        <v>1023211.7724796534</v>
      </c>
      <c r="AF32" s="25">
        <f>AF31*0.5</f>
        <v>40444.916235832308</v>
      </c>
      <c r="AG32" s="25">
        <f t="shared" ref="AG32:AI32" si="51">AG31*0.5</f>
        <v>183455.41096901949</v>
      </c>
      <c r="AH32" s="25">
        <f t="shared" si="51"/>
        <v>345992.55406455585</v>
      </c>
      <c r="AI32" s="25">
        <f t="shared" si="51"/>
        <v>460836.87924976711</v>
      </c>
      <c r="AJ32" s="13"/>
      <c r="AN32" s="2"/>
      <c r="AO32" s="18">
        <f t="shared" si="16"/>
        <v>3.5359325236155774</v>
      </c>
      <c r="AP32" s="18">
        <f t="shared" si="5"/>
        <v>0.8859762829398603</v>
      </c>
      <c r="AQ32" s="18">
        <f t="shared" si="6"/>
        <v>0.33192715807341733</v>
      </c>
      <c r="AS32" s="2">
        <f>R32/(AF32/1000)</f>
        <v>9.1467804066992802</v>
      </c>
      <c r="AT32" s="2">
        <f>S32/(AG32/1000)</f>
        <v>7.4375521271924345</v>
      </c>
      <c r="AU32" s="2">
        <f>T32/(AH32/1000)</f>
        <v>11.889074026421639</v>
      </c>
      <c r="AV32" s="2">
        <f>U32/(AI32/1000)</f>
        <v>30.376098097241215</v>
      </c>
      <c r="AW32" s="13">
        <f t="shared" si="17"/>
        <v>58.849504657554569</v>
      </c>
      <c r="AX32" s="22">
        <f t="shared" si="18"/>
        <v>2.0340835396447861</v>
      </c>
      <c r="AY32" s="28"/>
      <c r="AZ32" s="22"/>
    </row>
    <row r="33" spans="1:52" x14ac:dyDescent="0.25">
      <c r="A33" s="1" t="str">
        <f>VLOOKUP($C33,Concordance!$E$2:$F$63,2,)</f>
        <v>Manufacturing</v>
      </c>
      <c r="B33" s="1" t="str">
        <f>INDEX(Concordance!$H$2:$H$83,MATCH($C33,Concordance!$I$2:$I$83,0))</f>
        <v>atequ</v>
      </c>
      <c r="C33" s="1" t="s">
        <v>100</v>
      </c>
      <c r="D33" s="2">
        <f>QLFS_NT!C33/1000*VLOOKUP(Calc!$A33,'Employment Comparison'!$B$2:$F$10,COLUMNS('Employment Comparison'!$B$2:$F$2),)</f>
        <v>4.3391713349540213</v>
      </c>
      <c r="E33" s="2">
        <f>QLFS_NT!D33/1000*VLOOKUP(Calc!$A33,'Employment Comparison'!$B$2:$F$10,COLUMNS('Employment Comparison'!$B$2:$F$2),)</f>
        <v>14.95776785399711</v>
      </c>
      <c r="F33" s="2">
        <f>QLFS_NT!E33/1000*VLOOKUP(Calc!$A33,'Employment Comparison'!$B$2:$F$10,COLUMNS('Employment Comparison'!$B$2:$F$2),)</f>
        <v>41.263727407250819</v>
      </c>
      <c r="G33" s="2">
        <f>QLFS_NT!F33/1000*VLOOKUP(Calc!$A33,'Employment Comparison'!$B$2:$F$10,COLUMNS('Employment Comparison'!$B$2:$F$2),)</f>
        <v>58.11374942747419</v>
      </c>
      <c r="H33" s="13">
        <f t="shared" si="7"/>
        <v>118.67441602367614</v>
      </c>
      <c r="J33" s="1" t="str">
        <f>VLOOKUP($K33,Concordance!$B$2:$C$68,2,)</f>
        <v>Manufacturing</v>
      </c>
      <c r="K33" s="1" t="s">
        <v>40</v>
      </c>
      <c r="L33" s="2">
        <f t="shared" si="8"/>
        <v>4.3391713349540213</v>
      </c>
      <c r="M33" s="2">
        <f t="shared" si="9"/>
        <v>18.04468079484198</v>
      </c>
      <c r="N33" s="2">
        <f t="shared" si="10"/>
        <v>46.815690730366768</v>
      </c>
      <c r="O33" s="2">
        <f t="shared" si="11"/>
        <v>65.973964168692518</v>
      </c>
      <c r="P33" s="13">
        <f t="shared" si="12"/>
        <v>135.17350702885528</v>
      </c>
      <c r="R33" s="2">
        <f>VLOOKUP($K33,'2012 SAM'!$B$4:$F$70,COLUMNS('2012 SAM'!$B$4:C$4),)</f>
        <v>0</v>
      </c>
      <c r="S33" s="2">
        <f>VLOOKUP($K33,'2012 SAM'!$B$4:$F$70,COLUMNS('2012 SAM'!$B$4:D$4),)</f>
        <v>625.2052940965882</v>
      </c>
      <c r="T33" s="2">
        <f>VLOOKUP($K33,'2012 SAM'!$B$4:$F$70,COLUMNS('2012 SAM'!$B$4:E$4),)</f>
        <v>941.44403804086619</v>
      </c>
      <c r="U33" s="2">
        <f>VLOOKUP($K33,'2012 SAM'!$B$4:$F$70,COLUMNS('2012 SAM'!$B$4:F$4),)</f>
        <v>2580.4442659900856</v>
      </c>
      <c r="V33" s="13">
        <f t="shared" si="13"/>
        <v>4147.0935981275397</v>
      </c>
      <c r="X33" s="17"/>
      <c r="Y33" s="2">
        <f t="shared" si="0"/>
        <v>34647.622820532313</v>
      </c>
      <c r="Z33" s="2">
        <f t="shared" si="1"/>
        <v>20109.583418582417</v>
      </c>
      <c r="AA33" s="2">
        <f t="shared" si="2"/>
        <v>39113.069807234911</v>
      </c>
      <c r="AB33" s="13">
        <f t="shared" si="3"/>
        <v>30679.781040542701</v>
      </c>
      <c r="AF33" s="25">
        <f>AF32*0.1</f>
        <v>4044.4916235832311</v>
      </c>
      <c r="AG33" s="25">
        <f t="shared" ref="AG33:AI33" si="52">AG32*0.1</f>
        <v>18345.54109690195</v>
      </c>
      <c r="AH33" s="25">
        <f t="shared" si="52"/>
        <v>34599.255406455588</v>
      </c>
      <c r="AI33" s="25">
        <f t="shared" si="52"/>
        <v>46083.687924976715</v>
      </c>
      <c r="AJ33" s="13"/>
      <c r="AN33" s="2"/>
      <c r="AO33" s="18"/>
      <c r="AP33" s="18">
        <f t="shared" si="5"/>
        <v>0.8859762829398603</v>
      </c>
      <c r="AQ33" s="18">
        <f t="shared" si="6"/>
        <v>0.33192715807341755</v>
      </c>
      <c r="AS33" s="2"/>
      <c r="AT33" s="2">
        <f>S33/(AG33/1000)</f>
        <v>34.079414218104908</v>
      </c>
      <c r="AU33" s="2">
        <f>T33/(AH33/1000)</f>
        <v>27.209950820652917</v>
      </c>
      <c r="AV33" s="2">
        <f>U33/(AI33/1000)</f>
        <v>55.994743089810761</v>
      </c>
      <c r="AW33" s="13">
        <f t="shared" si="17"/>
        <v>117.28410812856859</v>
      </c>
      <c r="AX33" s="22">
        <f t="shared" si="18"/>
        <v>-0.13234397252464469</v>
      </c>
      <c r="AY33" s="28"/>
      <c r="AZ33" s="22"/>
    </row>
    <row r="34" spans="1:52" x14ac:dyDescent="0.25">
      <c r="A34" s="1" t="str">
        <f>VLOOKUP($C34,Concordance!$E$2:$F$63,2,)</f>
        <v>Manufacturing</v>
      </c>
      <c r="B34" s="1" t="str">
        <f>INDEX(Concordance!$H$2:$H$83,MATCH($C34,Concordance!$I$2:$I$83,0))</f>
        <v>atequ</v>
      </c>
      <c r="C34" s="1" t="s">
        <v>101</v>
      </c>
      <c r="D34" s="2">
        <f>QLFS_NT!C34/1000*VLOOKUP(Calc!$A34,'Employment Comparison'!$B$2:$F$10,COLUMNS('Employment Comparison'!$B$2:$F$2),)</f>
        <v>0</v>
      </c>
      <c r="E34" s="2">
        <f>QLFS_NT!D34/1000*VLOOKUP(Calc!$A34,'Employment Comparison'!$B$2:$F$10,COLUMNS('Employment Comparison'!$B$2:$F$2),)</f>
        <v>3.0869129408448721</v>
      </c>
      <c r="F34" s="2">
        <f>QLFS_NT!E34/1000*VLOOKUP(Calc!$A34,'Employment Comparison'!$B$2:$F$10,COLUMNS('Employment Comparison'!$B$2:$F$2),)</f>
        <v>5.5519633231159498</v>
      </c>
      <c r="G34" s="2">
        <f>QLFS_NT!F34/1000*VLOOKUP(Calc!$A34,'Employment Comparison'!$B$2:$F$10,COLUMNS('Employment Comparison'!$B$2:$F$2),)</f>
        <v>7.8602147412183347</v>
      </c>
      <c r="H34" s="13">
        <f t="shared" si="7"/>
        <v>16.499091005179157</v>
      </c>
      <c r="J34" s="1" t="str">
        <f>VLOOKUP($K34,Concordance!$B$2:$C$68,2,)</f>
        <v>Manufacturing</v>
      </c>
      <c r="K34" s="1" t="s">
        <v>41</v>
      </c>
      <c r="L34" s="2">
        <f t="shared" si="8"/>
        <v>7.5476834725011441</v>
      </c>
      <c r="M34" s="2">
        <f t="shared" si="9"/>
        <v>9.7375356727618634</v>
      </c>
      <c r="N34" s="2">
        <f t="shared" si="10"/>
        <v>21.784389423246306</v>
      </c>
      <c r="O34" s="2">
        <f t="shared" si="11"/>
        <v>8.9098078074903988</v>
      </c>
      <c r="P34" s="13">
        <f t="shared" si="12"/>
        <v>47.979416375999705</v>
      </c>
      <c r="R34" s="2">
        <f>VLOOKUP($K34,'2012 SAM'!$B$4:$F$70,COLUMNS('2012 SAM'!$B$4:C$4),)</f>
        <v>449.86941563690976</v>
      </c>
      <c r="S34" s="2">
        <f>VLOOKUP($K34,'2012 SAM'!$B$4:$F$70,COLUMNS('2012 SAM'!$B$4:D$4),)</f>
        <v>918.2387252481069</v>
      </c>
      <c r="T34" s="2">
        <f>VLOOKUP($K34,'2012 SAM'!$B$4:$F$70,COLUMNS('2012 SAM'!$B$4:E$4),)</f>
        <v>1740.2310485421426</v>
      </c>
      <c r="U34" s="2">
        <f>VLOOKUP($K34,'2012 SAM'!$B$4:$F$70,COLUMNS('2012 SAM'!$B$4:F$4),)</f>
        <v>759.09887765912686</v>
      </c>
      <c r="V34" s="13">
        <f t="shared" si="13"/>
        <v>3867.4380670862856</v>
      </c>
      <c r="X34" s="2">
        <f t="shared" si="14"/>
        <v>59603.640941746125</v>
      </c>
      <c r="Y34" s="2">
        <f t="shared" si="0"/>
        <v>94298.881781417527</v>
      </c>
      <c r="Z34" s="2">
        <f t="shared" si="1"/>
        <v>79884.315999471044</v>
      </c>
      <c r="AA34" s="2">
        <f t="shared" si="2"/>
        <v>85198.120325441691</v>
      </c>
      <c r="AB34" s="13">
        <f t="shared" si="3"/>
        <v>80606.192388385491</v>
      </c>
      <c r="AF34" s="31">
        <f>SUM(R34:R35)/SUM(L34:L35)*1000</f>
        <v>50236.874072787701</v>
      </c>
      <c r="AG34" s="31">
        <f>SUM(S34:S35)/SUM(M34:M35)*1000*0.9</f>
        <v>100762.54095183015</v>
      </c>
      <c r="AH34" s="31">
        <f>SUM(T34:T35)/SUM(N34:N35)*1000*1.1</f>
        <v>104615.52393322508</v>
      </c>
      <c r="AI34" s="31">
        <f t="shared" ref="AG34:AI34" si="53">SUM(U34:U35)/SUM(O34:O35)*1000</f>
        <v>148690.42742799199</v>
      </c>
      <c r="AJ34" s="13"/>
      <c r="AN34" s="2"/>
      <c r="AO34" s="18">
        <f t="shared" si="16"/>
        <v>1.0057486221343375</v>
      </c>
      <c r="AP34" s="18">
        <f t="shared" si="5"/>
        <v>3.8238247517367263E-2</v>
      </c>
      <c r="AQ34" s="18">
        <f t="shared" si="6"/>
        <v>0.42130366352606941</v>
      </c>
      <c r="AS34" s="2">
        <f>R34/(AF34/1000)</f>
        <v>8.9549643352629484</v>
      </c>
      <c r="AT34" s="2">
        <f>S34/(AG34/1000)</f>
        <v>9.11289767580468</v>
      </c>
      <c r="AU34" s="2">
        <f>T34/(AH34/1000)</f>
        <v>16.63453934095778</v>
      </c>
      <c r="AV34" s="2">
        <f>U34/(AI34/1000)</f>
        <v>5.1052303150230989</v>
      </c>
      <c r="AW34" s="13">
        <f t="shared" si="17"/>
        <v>39.807631667048504</v>
      </c>
      <c r="AX34" s="22">
        <f t="shared" si="18"/>
        <v>-0.1703185517079131</v>
      </c>
      <c r="AY34" s="23">
        <f>SUM(AW34:AW35)/SUM(P34:P35)-1</f>
        <v>-2.110514499725813E-2</v>
      </c>
      <c r="AZ34" s="22"/>
    </row>
    <row r="35" spans="1:52" x14ac:dyDescent="0.25">
      <c r="A35" s="1" t="str">
        <f>VLOOKUP($C35,Concordance!$E$2:$F$63,2,)</f>
        <v>Manufacturing</v>
      </c>
      <c r="B35" s="1" t="str">
        <f>INDEX(Concordance!$H$2:$H$83,MATCH($C35,Concordance!$I$2:$I$83,0))</f>
        <v>afurn</v>
      </c>
      <c r="C35" s="1" t="s">
        <v>41</v>
      </c>
      <c r="D35" s="2">
        <f>QLFS_NT!C35/1000*VLOOKUP(Calc!$A35,'Employment Comparison'!$B$2:$F$10,COLUMNS('Employment Comparison'!$B$2:$F$2),)</f>
        <v>7.5476834725011441</v>
      </c>
      <c r="E35" s="2">
        <f>QLFS_NT!D35/1000*VLOOKUP(Calc!$A35,'Employment Comparison'!$B$2:$F$10,COLUMNS('Employment Comparison'!$B$2:$F$2),)</f>
        <v>9.7375356727618634</v>
      </c>
      <c r="F35" s="2">
        <f>QLFS_NT!E35/1000*VLOOKUP(Calc!$A35,'Employment Comparison'!$B$2:$F$10,COLUMNS('Employment Comparison'!$B$2:$F$2),)</f>
        <v>21.784389423246306</v>
      </c>
      <c r="G35" s="2">
        <f>QLFS_NT!F35/1000*VLOOKUP(Calc!$A35,'Employment Comparison'!$B$2:$F$10,COLUMNS('Employment Comparison'!$B$2:$F$2),)</f>
        <v>8.9098078074903988</v>
      </c>
      <c r="H35" s="13">
        <f t="shared" si="7"/>
        <v>47.979416375999705</v>
      </c>
      <c r="J35" s="1" t="str">
        <f>VLOOKUP($K35,Concordance!$B$2:$C$68,2,)</f>
        <v>Manufacturing</v>
      </c>
      <c r="K35" s="1" t="s">
        <v>42</v>
      </c>
      <c r="L35" s="2">
        <f t="shared" si="8"/>
        <v>4.9183675087200083</v>
      </c>
      <c r="M35" s="2">
        <f t="shared" si="9"/>
        <v>3.1615791142585348</v>
      </c>
      <c r="N35" s="2">
        <f t="shared" si="10"/>
        <v>12.114053306556741</v>
      </c>
      <c r="O35" s="2">
        <f t="shared" si="11"/>
        <v>9.9327343832575821</v>
      </c>
      <c r="P35" s="13">
        <f t="shared" si="12"/>
        <v>30.126734312792866</v>
      </c>
      <c r="R35" s="2">
        <f>VLOOKUP($K35,'2012 SAM'!$B$4:$F$70,COLUMNS('2012 SAM'!$B$4:C$4),)</f>
        <v>176.38601769164879</v>
      </c>
      <c r="S35" s="2">
        <f>VLOOKUP($K35,'2012 SAM'!$B$4:$F$70,COLUMNS('2012 SAM'!$B$4:D$4),)</f>
        <v>525.92525471800468</v>
      </c>
      <c r="T35" s="2">
        <f>VLOOKUP($K35,'2012 SAM'!$B$4:$F$70,COLUMNS('2012 SAM'!$B$4:E$4),)</f>
        <v>1483.6810848203761</v>
      </c>
      <c r="U35" s="2">
        <f>VLOOKUP($K35,'2012 SAM'!$B$4:$F$70,COLUMNS('2012 SAM'!$B$4:F$4),)</f>
        <v>2042.6067745131629</v>
      </c>
      <c r="V35" s="13">
        <f t="shared" si="13"/>
        <v>4228.5991317431926</v>
      </c>
      <c r="X35" s="2">
        <f t="shared" si="14"/>
        <v>35862.716110360925</v>
      </c>
      <c r="Y35" s="2">
        <f t="shared" si="0"/>
        <v>166348.9148021357</v>
      </c>
      <c r="Z35" s="2">
        <f t="shared" si="1"/>
        <v>122476.02410807722</v>
      </c>
      <c r="AA35" s="2">
        <f t="shared" si="2"/>
        <v>205643.95419212457</v>
      </c>
      <c r="AB35" s="13">
        <f t="shared" si="3"/>
        <v>140360.35528575632</v>
      </c>
      <c r="AF35" s="30">
        <f>AF34</f>
        <v>50236.874072787701</v>
      </c>
      <c r="AG35" s="30">
        <f t="shared" ref="AG35:AI35" si="54">AG34</f>
        <v>100762.54095183015</v>
      </c>
      <c r="AH35" s="30">
        <f t="shared" si="54"/>
        <v>104615.52393322508</v>
      </c>
      <c r="AI35" s="30">
        <f t="shared" si="54"/>
        <v>148690.42742799199</v>
      </c>
      <c r="AJ35" s="13"/>
      <c r="AN35" s="2"/>
      <c r="AO35" s="18">
        <f t="shared" si="16"/>
        <v>1.0057486221343375</v>
      </c>
      <c r="AP35" s="18">
        <f t="shared" si="5"/>
        <v>3.8238247517367263E-2</v>
      </c>
      <c r="AQ35" s="18">
        <f t="shared" si="6"/>
        <v>0.42130366352606941</v>
      </c>
      <c r="AS35" s="2">
        <f>R35/(AF35/1000)</f>
        <v>3.5110866459582031</v>
      </c>
      <c r="AT35" s="2">
        <f>S35/(AG35/1000)</f>
        <v>5.2194520875513142</v>
      </c>
      <c r="AU35" s="2">
        <f>T35/(AH35/1000)</f>
        <v>14.182226777044994</v>
      </c>
      <c r="AV35" s="2">
        <f>U35/(AI35/1000)</f>
        <v>13.737311875724879</v>
      </c>
      <c r="AW35" s="13">
        <f t="shared" si="17"/>
        <v>36.650077386279392</v>
      </c>
      <c r="AX35" s="22">
        <f t="shared" si="18"/>
        <v>0.21653004290997724</v>
      </c>
      <c r="AY35" s="28"/>
      <c r="AZ35" s="22"/>
    </row>
    <row r="36" spans="1:52" x14ac:dyDescent="0.25">
      <c r="A36" s="1" t="str">
        <f>VLOOKUP($C36,Concordance!$E$2:$F$63,2,)</f>
        <v>Manufacturing</v>
      </c>
      <c r="B36" s="1" t="str">
        <f>INDEX(Concordance!$H$2:$H$83,MATCH($C36,Concordance!$I$2:$I$83,0))</f>
        <v>aoman</v>
      </c>
      <c r="C36" s="1" t="s">
        <v>102</v>
      </c>
      <c r="D36" s="2">
        <f>QLFS_NT!C36/1000*VLOOKUP(Calc!$A36,'Employment Comparison'!$B$2:$F$10,COLUMNS('Employment Comparison'!$B$2:$F$2),)</f>
        <v>4.9183675087200083</v>
      </c>
      <c r="E36" s="2">
        <f>QLFS_NT!D36/1000*VLOOKUP(Calc!$A36,'Employment Comparison'!$B$2:$F$10,COLUMNS('Employment Comparison'!$B$2:$F$2),)</f>
        <v>3.1615791142585348</v>
      </c>
      <c r="F36" s="2">
        <f>QLFS_NT!E36/1000*VLOOKUP(Calc!$A36,'Employment Comparison'!$B$2:$F$10,COLUMNS('Employment Comparison'!$B$2:$F$2),)</f>
        <v>12.114053306556741</v>
      </c>
      <c r="G36" s="2">
        <f>QLFS_NT!F36/1000*VLOOKUP(Calc!$A36,'Employment Comparison'!$B$2:$F$10,COLUMNS('Employment Comparison'!$B$2:$F$2),)</f>
        <v>9.9327343832575821</v>
      </c>
      <c r="H36" s="13">
        <f t="shared" si="7"/>
        <v>30.126734312792866</v>
      </c>
      <c r="J36" s="1" t="str">
        <f>VLOOKUP($K36,Concordance!$B$2:$C$68,2,)</f>
        <v>EGW</v>
      </c>
      <c r="K36" s="1" t="s">
        <v>43</v>
      </c>
      <c r="L36" s="2">
        <f t="shared" si="8"/>
        <v>3.4382444617611041</v>
      </c>
      <c r="M36" s="2">
        <f t="shared" si="9"/>
        <v>4.6038906824000891</v>
      </c>
      <c r="N36" s="2">
        <f t="shared" si="10"/>
        <v>14.31314705554937</v>
      </c>
      <c r="O36" s="2">
        <f t="shared" si="11"/>
        <v>50.137203606812861</v>
      </c>
      <c r="P36" s="13">
        <f t="shared" si="12"/>
        <v>72.492485806523433</v>
      </c>
      <c r="R36" s="2">
        <f>SUM('2012 SAM'!C43:C51)</f>
        <v>410.04551253190147</v>
      </c>
      <c r="S36" s="2">
        <f>SUM('2012 SAM'!D43:D51)</f>
        <v>483.18418170699516</v>
      </c>
      <c r="T36" s="2">
        <f>SUM('2012 SAM'!E43:E51)</f>
        <v>2443.7872932143946</v>
      </c>
      <c r="U36" s="2">
        <f>SUM('2012 SAM'!F43:F51)</f>
        <v>19860.74934330512</v>
      </c>
      <c r="V36" s="13">
        <f t="shared" si="13"/>
        <v>23197.766330758412</v>
      </c>
      <c r="X36" s="2">
        <f t="shared" si="14"/>
        <v>119260.13903091461</v>
      </c>
      <c r="Y36" s="2">
        <f t="shared" si="0"/>
        <v>104951.27166119043</v>
      </c>
      <c r="Z36" s="2">
        <f t="shared" si="1"/>
        <v>170737.24483721491</v>
      </c>
      <c r="AA36" s="2">
        <f t="shared" si="2"/>
        <v>396127.98310527147</v>
      </c>
      <c r="AB36" s="13">
        <f t="shared" si="3"/>
        <v>320002.35710872669</v>
      </c>
      <c r="AF36" s="26">
        <f>SUM(R36:R37)/SUM(L36:L37)*1000</f>
        <v>109912.77298305844</v>
      </c>
      <c r="AG36" s="26">
        <f t="shared" ref="AG36:AI36" si="55">SUM(S36:S37)/SUM(M36:M37)*1000</f>
        <v>113804.26068004005</v>
      </c>
      <c r="AH36" s="26">
        <f t="shared" si="55"/>
        <v>173963.64741552915</v>
      </c>
      <c r="AI36" s="26">
        <f t="shared" si="55"/>
        <v>394909.12939267978</v>
      </c>
      <c r="AJ36" s="13"/>
      <c r="AN36" s="2"/>
      <c r="AO36" s="18">
        <f t="shared" si="16"/>
        <v>3.540523627387171E-2</v>
      </c>
      <c r="AP36" s="18">
        <f t="shared" si="5"/>
        <v>0.5286215680854589</v>
      </c>
      <c r="AQ36" s="18">
        <f t="shared" si="6"/>
        <v>1.2700669666312572</v>
      </c>
      <c r="AS36" s="2">
        <f>R36/(AF36/1000)</f>
        <v>3.7306447777011722</v>
      </c>
      <c r="AT36" s="2">
        <f>S36/(AG36/1000)</f>
        <v>4.2457477322880237</v>
      </c>
      <c r="AU36" s="2">
        <f>T36/(AH36/1000)</f>
        <v>14.047689442709661</v>
      </c>
      <c r="AV36" s="2">
        <f>U36/(AI36/1000)</f>
        <v>50.291947856076249</v>
      </c>
      <c r="AW36" s="13">
        <f t="shared" si="17"/>
        <v>72.316029808775113</v>
      </c>
      <c r="AX36" s="22">
        <f t="shared" si="18"/>
        <v>-2.4341281139023119E-3</v>
      </c>
      <c r="AY36" s="28"/>
      <c r="AZ36" s="22"/>
    </row>
    <row r="37" spans="1:52" x14ac:dyDescent="0.25">
      <c r="A37" s="1" t="str">
        <f>VLOOKUP($C37,Concordance!$E$2:$F$63,2,)</f>
        <v>EGW</v>
      </c>
      <c r="B37" s="1" t="str">
        <f>INDEX(Concordance!$H$2:$H$83,MATCH($C37,Concordance!$I$2:$I$83,0))</f>
        <v>aelec-clw</v>
      </c>
      <c r="C37" s="1" t="s">
        <v>103</v>
      </c>
      <c r="D37" s="2">
        <f>QLFS_NT!C37/1000*VLOOKUP(Calc!$A37,'Employment Comparison'!$B$2:$F$10,COLUMNS('Employment Comparison'!$B$2:$F$2),)</f>
        <v>3.4382444617611041</v>
      </c>
      <c r="E37" s="2">
        <f>QLFS_NT!D37/1000*VLOOKUP(Calc!$A37,'Employment Comparison'!$B$2:$F$10,COLUMNS('Employment Comparison'!$B$2:$F$2),)</f>
        <v>4.6038906824000891</v>
      </c>
      <c r="F37" s="2">
        <f>QLFS_NT!E37/1000*VLOOKUP(Calc!$A37,'Employment Comparison'!$B$2:$F$10,COLUMNS('Employment Comparison'!$B$2:$F$2),)</f>
        <v>14.31314705554937</v>
      </c>
      <c r="G37" s="2">
        <f>QLFS_NT!F37/1000*VLOOKUP(Calc!$A37,'Employment Comparison'!$B$2:$F$10,COLUMNS('Employment Comparison'!$B$2:$F$2),)</f>
        <v>50.137203606812861</v>
      </c>
      <c r="H37" s="13">
        <f t="shared" si="7"/>
        <v>72.492485806523433</v>
      </c>
      <c r="J37" s="1" t="str">
        <f>VLOOKUP($K37,Concordance!$B$2:$C$68,2,)</f>
        <v>EGW</v>
      </c>
      <c r="K37" s="1" t="s">
        <v>52</v>
      </c>
      <c r="L37" s="2">
        <f t="shared" si="8"/>
        <v>6.2071690971835682</v>
      </c>
      <c r="M37" s="2">
        <f t="shared" si="9"/>
        <v>6.0990482021596346</v>
      </c>
      <c r="N37" s="2">
        <f t="shared" si="10"/>
        <v>7.7713180451964812</v>
      </c>
      <c r="O37" s="2">
        <f t="shared" si="11"/>
        <v>9.1799788489368783</v>
      </c>
      <c r="P37" s="13">
        <f t="shared" si="12"/>
        <v>29.25751419347656</v>
      </c>
      <c r="R37" s="2">
        <f>VLOOKUP($K37,'2012 SAM'!$B$4:$F$70,COLUMNS('2012 SAM'!$B$4:C$4),)</f>
        <v>650.10863830009805</v>
      </c>
      <c r="S37" s="2">
        <f>VLOOKUP($K37,'2012 SAM'!$B$4:$F$70,COLUMNS('2012 SAM'!$B$4:D$4),)</f>
        <v>734.85586515397688</v>
      </c>
      <c r="T37" s="2">
        <f>VLOOKUP($K37,'2012 SAM'!$B$4:$F$70,COLUMNS('2012 SAM'!$B$4:E$4),)</f>
        <v>1398.1068069323157</v>
      </c>
      <c r="U37" s="2">
        <f>VLOOKUP($K37,'2012 SAM'!$B$4:$F$70,COLUMNS('2012 SAM'!$B$4:F$4),)</f>
        <v>3564.1475383217457</v>
      </c>
      <c r="V37" s="13">
        <f t="shared" si="13"/>
        <v>6347.2188487081366</v>
      </c>
      <c r="X37" s="2">
        <f t="shared" si="14"/>
        <v>104735.12612941016</v>
      </c>
      <c r="Y37" s="2">
        <f t="shared" si="0"/>
        <v>120486.97449116224</v>
      </c>
      <c r="Z37" s="2">
        <f t="shared" si="1"/>
        <v>179906.00806725412</v>
      </c>
      <c r="AA37" s="2">
        <f t="shared" si="2"/>
        <v>388252.26037797518</v>
      </c>
      <c r="AB37" s="13">
        <f t="shared" si="3"/>
        <v>216943.20326514111</v>
      </c>
      <c r="AF37" s="25">
        <f>AF36</f>
        <v>109912.77298305844</v>
      </c>
      <c r="AG37" s="25">
        <f t="shared" ref="AG37:AI37" si="56">AG36</f>
        <v>113804.26068004005</v>
      </c>
      <c r="AH37" s="25">
        <f t="shared" si="56"/>
        <v>173963.64741552915</v>
      </c>
      <c r="AI37" s="25">
        <f t="shared" si="56"/>
        <v>394909.12939267978</v>
      </c>
      <c r="AJ37" s="13"/>
      <c r="AN37" s="2"/>
      <c r="AO37" s="18">
        <f t="shared" si="16"/>
        <v>3.540523627387171E-2</v>
      </c>
      <c r="AP37" s="18">
        <f t="shared" si="5"/>
        <v>0.5286215680854589</v>
      </c>
      <c r="AQ37" s="18">
        <f t="shared" si="6"/>
        <v>1.2700669666312572</v>
      </c>
      <c r="AS37" s="2">
        <f>R37/(AF37/1000)</f>
        <v>5.9147687812434997</v>
      </c>
      <c r="AT37" s="2">
        <f>S37/(AG37/1000)</f>
        <v>6.4571911522717009</v>
      </c>
      <c r="AU37" s="2">
        <f>T37/(AH37/1000)</f>
        <v>8.0367756580361949</v>
      </c>
      <c r="AV37" s="2">
        <f>U37/(AI37/1000)</f>
        <v>9.0252345996734817</v>
      </c>
      <c r="AW37" s="13">
        <f t="shared" si="17"/>
        <v>29.433970191224876</v>
      </c>
      <c r="AX37" s="22">
        <f t="shared" si="18"/>
        <v>6.0311343124175298E-3</v>
      </c>
      <c r="AY37" s="28"/>
      <c r="AZ37" s="22"/>
    </row>
    <row r="38" spans="1:52" x14ac:dyDescent="0.25">
      <c r="A38" s="1" t="str">
        <f>VLOOKUP($C38,Concordance!$E$2:$F$63,2,)</f>
        <v>EGW</v>
      </c>
      <c r="B38" s="1" t="str">
        <f>INDEX(Concordance!$H$2:$H$83,MATCH($C38,Concordance!$I$2:$I$83,0))</f>
        <v>awatr</v>
      </c>
      <c r="C38" s="1" t="s">
        <v>104</v>
      </c>
      <c r="D38" s="2">
        <f>QLFS_NT!C38/1000*VLOOKUP(Calc!$A38,'Employment Comparison'!$B$2:$F$10,COLUMNS('Employment Comparison'!$B$2:$F$2),)</f>
        <v>6.2071690971835682</v>
      </c>
      <c r="E38" s="2">
        <f>QLFS_NT!D38/1000*VLOOKUP(Calc!$A38,'Employment Comparison'!$B$2:$F$10,COLUMNS('Employment Comparison'!$B$2:$F$2),)</f>
        <v>6.0990482021596346</v>
      </c>
      <c r="F38" s="2">
        <f>QLFS_NT!E38/1000*VLOOKUP(Calc!$A38,'Employment Comparison'!$B$2:$F$10,COLUMNS('Employment Comparison'!$B$2:$F$2),)</f>
        <v>7.7713180451964812</v>
      </c>
      <c r="G38" s="2">
        <f>QLFS_NT!F38/1000*VLOOKUP(Calc!$A38,'Employment Comparison'!$B$2:$F$10,COLUMNS('Employment Comparison'!$B$2:$F$2),)</f>
        <v>9.1799788489368783</v>
      </c>
      <c r="H38" s="13">
        <f t="shared" si="7"/>
        <v>29.25751419347656</v>
      </c>
      <c r="J38" s="1" t="str">
        <f>VLOOKUP($K38,Concordance!$B$2:$C$68,2,)</f>
        <v>Construction</v>
      </c>
      <c r="K38" s="1" t="s">
        <v>53</v>
      </c>
      <c r="L38" s="2">
        <f t="shared" si="8"/>
        <v>228.36166787025246</v>
      </c>
      <c r="M38" s="2">
        <f t="shared" si="9"/>
        <v>281.12402565136227</v>
      </c>
      <c r="N38" s="2">
        <f t="shared" si="10"/>
        <v>335.42063269944481</v>
      </c>
      <c r="O38" s="2">
        <f t="shared" si="11"/>
        <v>245.84367377894043</v>
      </c>
      <c r="P38" s="13">
        <f t="shared" si="12"/>
        <v>1090.75</v>
      </c>
      <c r="R38" s="2">
        <f>VLOOKUP($K38,'2012 SAM'!$B$4:$F$70,COLUMNS('2012 SAM'!$B$4:C$4),)</f>
        <v>4254.1094206398921</v>
      </c>
      <c r="S38" s="2">
        <f>VLOOKUP($K38,'2012 SAM'!$B$4:$F$70,COLUMNS('2012 SAM'!$B$4:D$4),)</f>
        <v>6886.7197256688769</v>
      </c>
      <c r="T38" s="2">
        <f>VLOOKUP($K38,'2012 SAM'!$B$4:$F$70,COLUMNS('2012 SAM'!$B$4:E$4),)</f>
        <v>12405.133882058668</v>
      </c>
      <c r="U38" s="2">
        <f>VLOOKUP($K38,'2012 SAM'!$B$4:$F$70,COLUMNS('2012 SAM'!$B$4:F$4),)</f>
        <v>19832.605135392911</v>
      </c>
      <c r="V38" s="13">
        <f t="shared" si="13"/>
        <v>43378.568163760348</v>
      </c>
      <c r="X38" s="2">
        <f t="shared" si="14"/>
        <v>18628.824444639002</v>
      </c>
      <c r="Y38" s="2">
        <f t="shared" si="0"/>
        <v>24497.087040897335</v>
      </c>
      <c r="Z38" s="2">
        <f t="shared" si="1"/>
        <v>36983.812779264372</v>
      </c>
      <c r="AA38" s="2">
        <f t="shared" si="2"/>
        <v>80671.610664369349</v>
      </c>
      <c r="AB38" s="13">
        <f t="shared" si="3"/>
        <v>39769.487200330368</v>
      </c>
      <c r="AF38" s="24">
        <f t="shared" si="22"/>
        <v>18628.824444639002</v>
      </c>
      <c r="AG38" s="24">
        <f t="shared" si="23"/>
        <v>24497.087040897335</v>
      </c>
      <c r="AH38" s="24">
        <f t="shared" si="24"/>
        <v>36983.812779264372</v>
      </c>
      <c r="AI38" s="24">
        <f t="shared" si="25"/>
        <v>80671.610664369349</v>
      </c>
      <c r="AJ38" s="13"/>
      <c r="AN38" s="2"/>
      <c r="AO38" s="18">
        <f t="shared" si="16"/>
        <v>0.31500981791403904</v>
      </c>
      <c r="AP38" s="18">
        <f t="shared" si="5"/>
        <v>0.50972287919460513</v>
      </c>
      <c r="AQ38" s="18">
        <f t="shared" si="6"/>
        <v>1.1812680900655899</v>
      </c>
      <c r="AS38" s="2">
        <f>R38/(AF38/1000)</f>
        <v>228.36166787025246</v>
      </c>
      <c r="AT38" s="2">
        <f>S38/(AG38/1000)</f>
        <v>281.12402565136227</v>
      </c>
      <c r="AU38" s="2">
        <f>T38/(AH38/1000)</f>
        <v>335.42063269944481</v>
      </c>
      <c r="AV38" s="2">
        <f>U38/(AI38/1000)</f>
        <v>245.84367377894043</v>
      </c>
      <c r="AW38" s="13">
        <f t="shared" si="17"/>
        <v>1090.75</v>
      </c>
      <c r="AX38" s="22">
        <f t="shared" si="18"/>
        <v>0</v>
      </c>
      <c r="AY38" s="28"/>
      <c r="AZ38" s="22"/>
    </row>
    <row r="39" spans="1:52" x14ac:dyDescent="0.25">
      <c r="A39" s="1" t="str">
        <f>VLOOKUP($C39,Concordance!$E$2:$F$63,2,)</f>
        <v>Construction</v>
      </c>
      <c r="B39" s="1" t="str">
        <f>INDEX(Concordance!$H$2:$H$83,MATCH($C39,Concordance!$I$2:$I$83,0))</f>
        <v>acons</v>
      </c>
      <c r="C39" s="1" t="s">
        <v>105</v>
      </c>
      <c r="D39" s="2">
        <f>QLFS_NT!C39/1000*VLOOKUP(Calc!$A39,'Employment Comparison'!$B$2:$F$10,COLUMNS('Employment Comparison'!$B$2:$F$2),)</f>
        <v>228.36166787025246</v>
      </c>
      <c r="E39" s="2">
        <f>QLFS_NT!D39/1000*VLOOKUP(Calc!$A39,'Employment Comparison'!$B$2:$F$10,COLUMNS('Employment Comparison'!$B$2:$F$2),)</f>
        <v>281.12402565136227</v>
      </c>
      <c r="F39" s="2">
        <f>QLFS_NT!E39/1000*VLOOKUP(Calc!$A39,'Employment Comparison'!$B$2:$F$10,COLUMNS('Employment Comparison'!$B$2:$F$2),)</f>
        <v>335.42063269944481</v>
      </c>
      <c r="G39" s="2">
        <f>QLFS_NT!F39/1000*VLOOKUP(Calc!$A39,'Employment Comparison'!$B$2:$F$10,COLUMNS('Employment Comparison'!$B$2:$F$2),)</f>
        <v>245.84367377894043</v>
      </c>
      <c r="H39" s="13">
        <f t="shared" si="7"/>
        <v>1090.75</v>
      </c>
      <c r="J39" s="1" t="str">
        <f>VLOOKUP($K39,Concordance!$B$2:$C$68,2,)</f>
        <v>Trade</v>
      </c>
      <c r="K39" s="1" t="s">
        <v>54</v>
      </c>
      <c r="L39" s="2">
        <f t="shared" si="8"/>
        <v>311.19775627802994</v>
      </c>
      <c r="M39" s="2">
        <f t="shared" si="9"/>
        <v>526.78634902785359</v>
      </c>
      <c r="N39" s="2">
        <f t="shared" si="10"/>
        <v>962.159351170435</v>
      </c>
      <c r="O39" s="2">
        <f t="shared" si="11"/>
        <v>808.08917330955649</v>
      </c>
      <c r="P39" s="13">
        <f t="shared" si="12"/>
        <v>2608.2326297858749</v>
      </c>
      <c r="R39" s="2">
        <f>VLOOKUP($K39,'2012 SAM'!$B$4:$F$70,COLUMNS('2012 SAM'!$B$4:C$4),)</f>
        <v>8567.7226035906824</v>
      </c>
      <c r="S39" s="2">
        <f>VLOOKUP($K39,'2012 SAM'!$B$4:$F$70,COLUMNS('2012 SAM'!$B$4:D$4),)</f>
        <v>19849.294243101696</v>
      </c>
      <c r="T39" s="2">
        <f>VLOOKUP($K39,'2012 SAM'!$B$4:$F$70,COLUMNS('2012 SAM'!$B$4:E$4),)</f>
        <v>47242.965373286846</v>
      </c>
      <c r="U39" s="2">
        <f>VLOOKUP($K39,'2012 SAM'!$B$4:$F$70,COLUMNS('2012 SAM'!$B$4:F$4),)</f>
        <v>81715.585784961499</v>
      </c>
      <c r="V39" s="13">
        <f t="shared" si="13"/>
        <v>157375.56800494072</v>
      </c>
      <c r="X39" s="2">
        <f t="shared" si="14"/>
        <v>27531.440798487369</v>
      </c>
      <c r="Y39" s="2">
        <f t="shared" si="0"/>
        <v>37679.970788408136</v>
      </c>
      <c r="Z39" s="2">
        <f t="shared" si="1"/>
        <v>49100.978248371583</v>
      </c>
      <c r="AA39" s="2">
        <f t="shared" si="2"/>
        <v>101121.99059701859</v>
      </c>
      <c r="AB39" s="13">
        <f t="shared" si="3"/>
        <v>60338.010577630339</v>
      </c>
      <c r="AF39" s="24">
        <f t="shared" si="22"/>
        <v>27531.440798487369</v>
      </c>
      <c r="AG39" s="24">
        <f t="shared" si="23"/>
        <v>37679.970788408136</v>
      </c>
      <c r="AH39" s="24">
        <f t="shared" si="24"/>
        <v>49100.978248371583</v>
      </c>
      <c r="AI39" s="24">
        <f t="shared" si="25"/>
        <v>101121.99059701859</v>
      </c>
      <c r="AJ39" s="13"/>
      <c r="AN39" s="2"/>
      <c r="AO39" s="18">
        <f t="shared" si="16"/>
        <v>0.36861601483923612</v>
      </c>
      <c r="AP39" s="18">
        <f t="shared" si="5"/>
        <v>0.30310552850738959</v>
      </c>
      <c r="AQ39" s="18">
        <f t="shared" si="6"/>
        <v>1.0594699780828147</v>
      </c>
      <c r="AS39" s="2">
        <f>R39/(AF39/1000)</f>
        <v>311.19775627802994</v>
      </c>
      <c r="AT39" s="2">
        <f>S39/(AG39/1000)</f>
        <v>526.78634902785359</v>
      </c>
      <c r="AU39" s="2">
        <f>T39/(AH39/1000)</f>
        <v>962.159351170435</v>
      </c>
      <c r="AV39" s="2">
        <f>U39/(AI39/1000)</f>
        <v>808.08917330955649</v>
      </c>
      <c r="AW39" s="13">
        <f t="shared" si="17"/>
        <v>2608.2326297858749</v>
      </c>
      <c r="AX39" s="22">
        <f t="shared" si="18"/>
        <v>0</v>
      </c>
      <c r="AY39" s="28"/>
      <c r="AZ39" s="22"/>
    </row>
    <row r="40" spans="1:52" x14ac:dyDescent="0.25">
      <c r="A40" s="1" t="str">
        <f>VLOOKUP($C40,Concordance!$E$2:$F$63,2,)</f>
        <v>Trade</v>
      </c>
      <c r="B40" s="1" t="str">
        <f>INDEX(Concordance!$H$2:$H$83,MATCH($C40,Concordance!$I$2:$I$83,0))</f>
        <v>atrad</v>
      </c>
      <c r="C40" s="1" t="s">
        <v>106</v>
      </c>
      <c r="D40" s="2">
        <f>QLFS_NT!C40/1000*VLOOKUP(Calc!$A40,'Employment Comparison'!$B$2:$F$10,COLUMNS('Employment Comparison'!$B$2:$F$2),)</f>
        <v>16.649335267423449</v>
      </c>
      <c r="E40" s="2">
        <f>QLFS_NT!D40/1000*VLOOKUP(Calc!$A40,'Employment Comparison'!$B$2:$F$10,COLUMNS('Employment Comparison'!$B$2:$F$2),)</f>
        <v>24.949937119891406</v>
      </c>
      <c r="F40" s="2">
        <f>QLFS_NT!E40/1000*VLOOKUP(Calc!$A40,'Employment Comparison'!$B$2:$F$10,COLUMNS('Employment Comparison'!$B$2:$F$2),)</f>
        <v>52.298081657639436</v>
      </c>
      <c r="G40" s="2">
        <f>QLFS_NT!F40/1000*VLOOKUP(Calc!$A40,'Employment Comparison'!$B$2:$F$10,COLUMNS('Employment Comparison'!$B$2:$F$2),)</f>
        <v>63.648759698175482</v>
      </c>
      <c r="H40" s="13">
        <f t="shared" si="7"/>
        <v>157.54611374312975</v>
      </c>
      <c r="J40" s="1" t="str">
        <f>VLOOKUP($K40,Concordance!$B$2:$C$68,2,)</f>
        <v>Trade</v>
      </c>
      <c r="K40" s="1" t="s">
        <v>55</v>
      </c>
      <c r="L40" s="2">
        <f t="shared" si="8"/>
        <v>39.072365356719857</v>
      </c>
      <c r="M40" s="2">
        <f t="shared" si="9"/>
        <v>93.313497265214323</v>
      </c>
      <c r="N40" s="2">
        <f t="shared" si="10"/>
        <v>228.0536210957774</v>
      </c>
      <c r="O40" s="2">
        <f t="shared" si="11"/>
        <v>176.32788649641353</v>
      </c>
      <c r="P40" s="13">
        <f t="shared" si="12"/>
        <v>536.76737021412509</v>
      </c>
      <c r="R40" s="2">
        <f>VLOOKUP($K40,'2012 SAM'!$B$4:$F$70,COLUMNS('2012 SAM'!$B$4:C$4),)</f>
        <v>435.69385902360301</v>
      </c>
      <c r="S40" s="2">
        <f>VLOOKUP($K40,'2012 SAM'!$B$4:$F$70,COLUMNS('2012 SAM'!$B$4:D$4),)</f>
        <v>1378.5116677547057</v>
      </c>
      <c r="T40" s="2">
        <f>VLOOKUP($K40,'2012 SAM'!$B$4:$F$70,COLUMNS('2012 SAM'!$B$4:E$4),)</f>
        <v>3917.7955107218845</v>
      </c>
      <c r="U40" s="2">
        <f>VLOOKUP($K40,'2012 SAM'!$B$4:$F$70,COLUMNS('2012 SAM'!$B$4:F$4),)</f>
        <v>4970.7711175066552</v>
      </c>
      <c r="V40" s="13">
        <f t="shared" si="13"/>
        <v>10702.772155006849</v>
      </c>
      <c r="X40" s="2">
        <f t="shared" si="14"/>
        <v>11150.946584519235</v>
      </c>
      <c r="Y40" s="2">
        <f t="shared" si="0"/>
        <v>14772.907544518657</v>
      </c>
      <c r="Z40" s="2">
        <f t="shared" si="1"/>
        <v>17179.273417791945</v>
      </c>
      <c r="AA40" s="2">
        <f t="shared" si="2"/>
        <v>28190.49905420241</v>
      </c>
      <c r="AB40" s="13">
        <f t="shared" si="3"/>
        <v>19939.31216559856</v>
      </c>
      <c r="AF40" s="24">
        <f t="shared" si="22"/>
        <v>11150.946584519235</v>
      </c>
      <c r="AG40" s="24">
        <f t="shared" si="23"/>
        <v>14772.907544518657</v>
      </c>
      <c r="AH40" s="24">
        <f t="shared" si="24"/>
        <v>17179.273417791945</v>
      </c>
      <c r="AI40" s="24">
        <f t="shared" si="25"/>
        <v>28190.49905420241</v>
      </c>
      <c r="AJ40" s="13"/>
      <c r="AN40" s="2"/>
      <c r="AO40" s="18">
        <f t="shared" si="16"/>
        <v>0.32481197291607145</v>
      </c>
      <c r="AP40" s="18">
        <f t="shared" si="5"/>
        <v>0.16289047135925161</v>
      </c>
      <c r="AQ40" s="18">
        <f t="shared" si="6"/>
        <v>0.64095991539470698</v>
      </c>
      <c r="AS40" s="2">
        <f>R40/(AF40/1000)</f>
        <v>39.072365356719857</v>
      </c>
      <c r="AT40" s="2">
        <f>S40/(AG40/1000)</f>
        <v>93.313497265214323</v>
      </c>
      <c r="AU40" s="2">
        <f>T40/(AH40/1000)</f>
        <v>228.0536210957774</v>
      </c>
      <c r="AV40" s="2">
        <f>U40/(AI40/1000)</f>
        <v>176.32788649641353</v>
      </c>
      <c r="AW40" s="13">
        <f t="shared" si="17"/>
        <v>536.76737021412509</v>
      </c>
      <c r="AX40" s="22">
        <f t="shared" si="18"/>
        <v>0</v>
      </c>
      <c r="AY40" s="28"/>
      <c r="AZ40" s="22"/>
    </row>
    <row r="41" spans="1:52" x14ac:dyDescent="0.25">
      <c r="A41" s="1" t="str">
        <f>VLOOKUP($C41,Concordance!$E$2:$F$63,2,)</f>
        <v>Trade</v>
      </c>
      <c r="B41" s="1" t="str">
        <f>INDEX(Concordance!$H$2:$H$83,MATCH($C41,Concordance!$I$2:$I$83,0))</f>
        <v>atrad</v>
      </c>
      <c r="C41" s="1" t="s">
        <v>107</v>
      </c>
      <c r="D41" s="2">
        <f>QLFS_NT!C41/1000*VLOOKUP(Calc!$A41,'Employment Comparison'!$B$2:$F$10,COLUMNS('Employment Comparison'!$B$2:$F$2),)</f>
        <v>256.20744613603398</v>
      </c>
      <c r="E41" s="2">
        <f>QLFS_NT!D41/1000*VLOOKUP(Calc!$A41,'Employment Comparison'!$B$2:$F$10,COLUMNS('Employment Comparison'!$B$2:$F$2),)</f>
        <v>398.84742424444067</v>
      </c>
      <c r="F41" s="2">
        <f>QLFS_NT!E41/1000*VLOOKUP(Calc!$A41,'Employment Comparison'!$B$2:$F$10,COLUMNS('Employment Comparison'!$B$2:$F$2),)</f>
        <v>704.31543190982529</v>
      </c>
      <c r="G41" s="2">
        <f>QLFS_NT!F41/1000*VLOOKUP(Calc!$A41,'Employment Comparison'!$B$2:$F$10,COLUMNS('Employment Comparison'!$B$2:$F$2),)</f>
        <v>568.29668265839803</v>
      </c>
      <c r="H41" s="13">
        <f t="shared" si="7"/>
        <v>1927.666984948698</v>
      </c>
      <c r="J41" s="1" t="str">
        <f>VLOOKUP($K41,Concordance!$B$2:$C$68,2,)</f>
        <v>Transport</v>
      </c>
      <c r="K41" s="1" t="s">
        <v>57</v>
      </c>
      <c r="L41" s="2">
        <f t="shared" si="8"/>
        <v>69.185701345517316</v>
      </c>
      <c r="M41" s="2">
        <f t="shared" si="9"/>
        <v>126.64492314400293</v>
      </c>
      <c r="N41" s="2">
        <f t="shared" si="10"/>
        <v>216.41452956023511</v>
      </c>
      <c r="O41" s="2">
        <f t="shared" si="11"/>
        <v>167.26574396482374</v>
      </c>
      <c r="P41" s="13">
        <f t="shared" si="12"/>
        <v>579.51089801457908</v>
      </c>
      <c r="R41" s="2">
        <f>SUM('2012 SAM'!C57:C59)</f>
        <v>3163.0652807350316</v>
      </c>
      <c r="S41" s="2">
        <f>SUM('2012 SAM'!D57:D59)</f>
        <v>7610.2925672189094</v>
      </c>
      <c r="T41" s="2">
        <f>SUM('2012 SAM'!E57:E59)</f>
        <v>14086.741601241285</v>
      </c>
      <c r="U41" s="2">
        <f>SUM('2012 SAM'!F57:F59)</f>
        <v>18747.590943814965</v>
      </c>
      <c r="V41" s="13">
        <f t="shared" si="13"/>
        <v>43607.690393010191</v>
      </c>
      <c r="X41" s="2">
        <f t="shared" si="14"/>
        <v>45718.482565328115</v>
      </c>
      <c r="Y41" s="2">
        <f t="shared" si="0"/>
        <v>60091.572392250942</v>
      </c>
      <c r="Z41" s="2">
        <f t="shared" si="1"/>
        <v>65091.478053096682</v>
      </c>
      <c r="AA41" s="2">
        <f t="shared" si="2"/>
        <v>112082.66856934922</v>
      </c>
      <c r="AB41" s="13">
        <f t="shared" si="3"/>
        <v>75249.129123216466</v>
      </c>
      <c r="AF41" s="24">
        <f t="shared" si="22"/>
        <v>45718.482565328115</v>
      </c>
      <c r="AG41" s="24">
        <f t="shared" si="23"/>
        <v>60091.572392250942</v>
      </c>
      <c r="AH41" s="24">
        <f t="shared" si="24"/>
        <v>65091.478053096682</v>
      </c>
      <c r="AI41" s="24">
        <f t="shared" si="25"/>
        <v>112082.66856934922</v>
      </c>
      <c r="AJ41" s="13"/>
      <c r="AN41" s="2"/>
      <c r="AO41" s="18">
        <f t="shared" si="16"/>
        <v>0.31438247772954431</v>
      </c>
      <c r="AP41" s="18">
        <f t="shared" si="5"/>
        <v>8.320477334506382E-2</v>
      </c>
      <c r="AQ41" s="18">
        <f t="shared" si="6"/>
        <v>0.72192538749728019</v>
      </c>
      <c r="AS41" s="2">
        <f>R41/(AF41/1000)</f>
        <v>69.185701345517316</v>
      </c>
      <c r="AT41" s="2">
        <f>S41/(AG41/1000)</f>
        <v>126.64492314400293</v>
      </c>
      <c r="AU41" s="2">
        <f>T41/(AH41/1000)</f>
        <v>216.41452956023508</v>
      </c>
      <c r="AV41" s="2">
        <f>U41/(AI41/1000)</f>
        <v>167.26574396482374</v>
      </c>
      <c r="AW41" s="13">
        <f t="shared" si="17"/>
        <v>579.51089801457908</v>
      </c>
      <c r="AX41" s="22">
        <f t="shared" si="18"/>
        <v>0</v>
      </c>
      <c r="AY41" s="28"/>
      <c r="AZ41" s="22"/>
    </row>
    <row r="42" spans="1:52" x14ac:dyDescent="0.25">
      <c r="A42" s="1" t="str">
        <f>VLOOKUP($C42,Concordance!$E$2:$F$63,2,)</f>
        <v>Trade</v>
      </c>
      <c r="B42" s="1" t="str">
        <f>INDEX(Concordance!$H$2:$H$83,MATCH($C42,Concordance!$I$2:$I$83,0))</f>
        <v>atrad</v>
      </c>
      <c r="C42" s="1" t="s">
        <v>108</v>
      </c>
      <c r="D42" s="2">
        <f>QLFS_NT!C42/1000*VLOOKUP(Calc!$A42,'Employment Comparison'!$B$2:$F$10,COLUMNS('Employment Comparison'!$B$2:$F$2),)</f>
        <v>38.340974874572481</v>
      </c>
      <c r="E42" s="2">
        <f>QLFS_NT!D42/1000*VLOOKUP(Calc!$A42,'Employment Comparison'!$B$2:$F$10,COLUMNS('Employment Comparison'!$B$2:$F$2),)</f>
        <v>102.98898766352156</v>
      </c>
      <c r="F42" s="2">
        <f>QLFS_NT!E42/1000*VLOOKUP(Calc!$A42,'Employment Comparison'!$B$2:$F$10,COLUMNS('Employment Comparison'!$B$2:$F$2),)</f>
        <v>205.54583760297035</v>
      </c>
      <c r="G42" s="2">
        <f>QLFS_NT!F42/1000*VLOOKUP(Calc!$A42,'Employment Comparison'!$B$2:$F$10,COLUMNS('Employment Comparison'!$B$2:$F$2),)</f>
        <v>176.14373095298296</v>
      </c>
      <c r="H42" s="13">
        <f t="shared" si="7"/>
        <v>523.01953109404735</v>
      </c>
      <c r="J42" s="1" t="str">
        <f>VLOOKUP($K42,Concordance!$B$2:$C$68,2,)</f>
        <v>Transport</v>
      </c>
      <c r="K42" s="1" t="s">
        <v>60</v>
      </c>
      <c r="L42" s="2">
        <f t="shared" si="8"/>
        <v>0</v>
      </c>
      <c r="M42" s="2">
        <f t="shared" si="9"/>
        <v>0.13621934818253839</v>
      </c>
      <c r="N42" s="2">
        <f t="shared" si="10"/>
        <v>2.1921811381934084</v>
      </c>
      <c r="O42" s="2">
        <f t="shared" si="11"/>
        <v>3.4614497933516342</v>
      </c>
      <c r="P42" s="13">
        <f t="shared" si="12"/>
        <v>5.789850279727581</v>
      </c>
      <c r="R42" s="2">
        <f>SUM('2012 SAM'!C60:C62)</f>
        <v>0</v>
      </c>
      <c r="S42" s="2">
        <f>SUM('2012 SAM'!D60:D62)</f>
        <v>0.1238951714711206</v>
      </c>
      <c r="T42" s="2">
        <f>SUM('2012 SAM'!E60:E62)</f>
        <v>31.532127035917501</v>
      </c>
      <c r="U42" s="2">
        <f>SUM('2012 SAM'!F60:F62)</f>
        <v>64.843766864374444</v>
      </c>
      <c r="V42" s="13">
        <f t="shared" si="13"/>
        <v>96.499789071763061</v>
      </c>
      <c r="X42" s="2"/>
      <c r="Y42" s="2">
        <f t="shared" si="0"/>
        <v>909.52697340099598</v>
      </c>
      <c r="Z42" s="2">
        <f t="shared" si="1"/>
        <v>14383.905821716604</v>
      </c>
      <c r="AA42" s="2">
        <f t="shared" si="2"/>
        <v>18733.123614538363</v>
      </c>
      <c r="AB42" s="13">
        <f t="shared" si="3"/>
        <v>16667.061220847925</v>
      </c>
      <c r="AF42" s="26">
        <f>SUM(R42:R43)/SUM(L42:L43)*1000</f>
        <v>17120.269022986908</v>
      </c>
      <c r="AG42" s="26">
        <f t="shared" ref="AG42:AI42" si="57">SUM(S42:S43)/SUM(M42:M43)*1000</f>
        <v>21890.130788774077</v>
      </c>
      <c r="AH42" s="26">
        <f t="shared" si="57"/>
        <v>35425.533685778057</v>
      </c>
      <c r="AI42" s="26">
        <f t="shared" si="57"/>
        <v>75670.387105936752</v>
      </c>
      <c r="AJ42" s="13"/>
      <c r="AN42" s="2"/>
      <c r="AO42" s="18">
        <f t="shared" si="16"/>
        <v>0.27860904284756316</v>
      </c>
      <c r="AP42" s="18">
        <f t="shared" si="5"/>
        <v>0.61833357815958534</v>
      </c>
      <c r="AQ42" s="18">
        <f t="shared" si="6"/>
        <v>1.1360408505663644</v>
      </c>
      <c r="AS42" s="2">
        <f>R42/(AF42/1000)</f>
        <v>0</v>
      </c>
      <c r="AT42" s="2">
        <f>S42/(AG42/1000)</f>
        <v>5.6598643775421301E-3</v>
      </c>
      <c r="AU42" s="2">
        <f>T42/(AH42/1000)</f>
        <v>0.89009603399641646</v>
      </c>
      <c r="AV42" s="2">
        <f>U42/(AI42/1000)</f>
        <v>0.85692394798502491</v>
      </c>
      <c r="AW42" s="13">
        <f t="shared" si="17"/>
        <v>1.7526798463589834</v>
      </c>
      <c r="AX42" s="22">
        <f t="shared" si="18"/>
        <v>-0.6972840813352692</v>
      </c>
      <c r="AY42" s="28"/>
      <c r="AZ42" s="22"/>
    </row>
    <row r="43" spans="1:52" x14ac:dyDescent="0.25">
      <c r="A43" s="1" t="str">
        <f>VLOOKUP($C43,Concordance!$E$2:$F$63,2,)</f>
        <v>Trade</v>
      </c>
      <c r="B43" s="1" t="str">
        <f>INDEX(Concordance!$H$2:$H$83,MATCH($C43,Concordance!$I$2:$I$83,0))</f>
        <v>ahotl</v>
      </c>
      <c r="C43" s="1" t="s">
        <v>109</v>
      </c>
      <c r="D43" s="2">
        <f>QLFS_NT!C43/1000*VLOOKUP(Calc!$A43,'Employment Comparison'!$B$2:$F$10,COLUMNS('Employment Comparison'!$B$2:$F$2),)</f>
        <v>39.072365356719857</v>
      </c>
      <c r="E43" s="2">
        <f>QLFS_NT!D43/1000*VLOOKUP(Calc!$A43,'Employment Comparison'!$B$2:$F$10,COLUMNS('Employment Comparison'!$B$2:$F$2),)</f>
        <v>93.313497265214323</v>
      </c>
      <c r="F43" s="2">
        <f>QLFS_NT!E43/1000*VLOOKUP(Calc!$A43,'Employment Comparison'!$B$2:$F$10,COLUMNS('Employment Comparison'!$B$2:$F$2),)</f>
        <v>228.0536210957774</v>
      </c>
      <c r="G43" s="2">
        <f>QLFS_NT!F43/1000*VLOOKUP(Calc!$A43,'Employment Comparison'!$B$2:$F$10,COLUMNS('Employment Comparison'!$B$2:$F$2),)</f>
        <v>176.32788649641353</v>
      </c>
      <c r="H43" s="13">
        <f t="shared" si="7"/>
        <v>536.76737021412509</v>
      </c>
      <c r="J43" s="1" t="str">
        <f>VLOOKUP($K43,Concordance!$B$2:$C$68,2,)</f>
        <v>Transport</v>
      </c>
      <c r="K43" s="1" t="s">
        <v>63</v>
      </c>
      <c r="L43" s="2">
        <f t="shared" si="8"/>
        <v>2.6409658124382052</v>
      </c>
      <c r="M43" s="2">
        <f t="shared" si="9"/>
        <v>1.6652551324330467</v>
      </c>
      <c r="N43" s="2">
        <f t="shared" si="10"/>
        <v>12.105570601276124</v>
      </c>
      <c r="O43" s="2">
        <f t="shared" si="11"/>
        <v>23.022125806788388</v>
      </c>
      <c r="P43" s="13">
        <f t="shared" si="12"/>
        <v>39.433917352935765</v>
      </c>
      <c r="R43" s="2">
        <f>SUM('2012 SAM'!C63:C65)</f>
        <v>45.214045189453252</v>
      </c>
      <c r="S43" s="2">
        <f>SUM('2012 SAM'!D63:D65)</f>
        <v>39.310616821842892</v>
      </c>
      <c r="T43" s="2">
        <f>SUM('2012 SAM'!E63:E65)</f>
        <v>474.97335884155223</v>
      </c>
      <c r="U43" s="2">
        <f>SUM('2012 SAM'!F63:F65)</f>
        <v>1939.1786507475622</v>
      </c>
      <c r="V43" s="13">
        <f t="shared" si="13"/>
        <v>2498.6766716004104</v>
      </c>
      <c r="X43" s="2">
        <f t="shared" si="14"/>
        <v>17120.269022986908</v>
      </c>
      <c r="Y43" s="2">
        <f t="shared" si="0"/>
        <v>23606.362806645437</v>
      </c>
      <c r="Z43" s="2">
        <f t="shared" si="1"/>
        <v>39235.933148948985</v>
      </c>
      <c r="AA43" s="2">
        <f t="shared" si="2"/>
        <v>84231.085653079383</v>
      </c>
      <c r="AB43" s="13">
        <f t="shared" si="3"/>
        <v>63363.643262654186</v>
      </c>
      <c r="AF43" s="25">
        <f>AF42</f>
        <v>17120.269022986908</v>
      </c>
      <c r="AG43" s="25">
        <f t="shared" ref="AG43:AI44" si="58">AG42</f>
        <v>21890.130788774077</v>
      </c>
      <c r="AH43" s="25">
        <f t="shared" si="58"/>
        <v>35425.533685778057</v>
      </c>
      <c r="AI43" s="25">
        <f t="shared" si="58"/>
        <v>75670.387105936752</v>
      </c>
      <c r="AJ43" s="13"/>
      <c r="AN43" s="2"/>
      <c r="AO43" s="18">
        <f t="shared" si="16"/>
        <v>0.27860904284756316</v>
      </c>
      <c r="AP43" s="18">
        <f t="shared" si="5"/>
        <v>0.61833357815958534</v>
      </c>
      <c r="AQ43" s="18">
        <f t="shared" si="6"/>
        <v>1.1360408505663644</v>
      </c>
      <c r="AS43" s="2">
        <f>R43/(AF43/1000)</f>
        <v>2.6409658124382052</v>
      </c>
      <c r="AT43" s="2">
        <f>S43/(AG43/1000)</f>
        <v>1.7958146162380433</v>
      </c>
      <c r="AU43" s="2">
        <f>T43/(AH43/1000)</f>
        <v>13.407655705473116</v>
      </c>
      <c r="AV43" s="2">
        <f>U43/(AI43/1000)</f>
        <v>25.626651652154994</v>
      </c>
      <c r="AW43" s="13">
        <f t="shared" si="17"/>
        <v>43.471087786304359</v>
      </c>
      <c r="AX43" s="22">
        <f t="shared" si="18"/>
        <v>0.10237812280316194</v>
      </c>
      <c r="AY43" s="28"/>
      <c r="AZ43" s="22"/>
    </row>
    <row r="44" spans="1:52" x14ac:dyDescent="0.25">
      <c r="A44" s="1" t="str">
        <f>VLOOKUP($C44,Concordance!$E$2:$F$63,2,)</f>
        <v>Transport</v>
      </c>
      <c r="B44" s="1" t="str">
        <f>INDEX(Concordance!$H$2:$H$83,MATCH($C44,Concordance!$I$2:$I$83,0))</f>
        <v>altrp_p</v>
      </c>
      <c r="C44" s="1" t="s">
        <v>110</v>
      </c>
      <c r="D44" s="2">
        <f>QLFS_NT!C44/1000*VLOOKUP(Calc!$A44,'Employment Comparison'!$B$2:$F$10,COLUMNS('Employment Comparison'!$B$2:$F$2),)</f>
        <v>69.185701345517316</v>
      </c>
      <c r="E44" s="2">
        <f>QLFS_NT!D44/1000*VLOOKUP(Calc!$A44,'Employment Comparison'!$B$2:$F$10,COLUMNS('Employment Comparison'!$B$2:$F$2),)</f>
        <v>126.64492314400293</v>
      </c>
      <c r="F44" s="2">
        <f>QLFS_NT!E44/1000*VLOOKUP(Calc!$A44,'Employment Comparison'!$B$2:$F$10,COLUMNS('Employment Comparison'!$B$2:$F$2),)</f>
        <v>216.41452956023511</v>
      </c>
      <c r="G44" s="2">
        <f>QLFS_NT!F44/1000*VLOOKUP(Calc!$A44,'Employment Comparison'!$B$2:$F$10,COLUMNS('Employment Comparison'!$B$2:$F$2),)</f>
        <v>167.26574396482374</v>
      </c>
      <c r="H44" s="13">
        <f t="shared" si="7"/>
        <v>579.51089801457908</v>
      </c>
      <c r="J44" s="1" t="str">
        <f>VLOOKUP($K44,Concordance!$B$2:$C$68,2,)</f>
        <v>Transport</v>
      </c>
      <c r="K44" s="1" t="s">
        <v>56</v>
      </c>
      <c r="L44" s="2">
        <f t="shared" si="8"/>
        <v>3.9081225397176325</v>
      </c>
      <c r="M44" s="2">
        <f t="shared" si="9"/>
        <v>7.0739024300373998</v>
      </c>
      <c r="N44" s="2">
        <f t="shared" si="10"/>
        <v>22.383267623451676</v>
      </c>
      <c r="O44" s="2">
        <f t="shared" si="11"/>
        <v>27.508916585296955</v>
      </c>
      <c r="P44" s="13">
        <f t="shared" si="12"/>
        <v>60.874209178503662</v>
      </c>
      <c r="R44" s="2">
        <f>VLOOKUP($K44,'2012 SAM'!$B$4:$F$70,COLUMNS('2012 SAM'!$B$4:C$4),)</f>
        <v>289.57625391490626</v>
      </c>
      <c r="S44" s="2">
        <f>VLOOKUP($K44,'2012 SAM'!$B$4:$F$70,COLUMNS('2012 SAM'!$B$4:D$4),)</f>
        <v>654.76299764809005</v>
      </c>
      <c r="T44" s="2">
        <f>VLOOKUP($K44,'2012 SAM'!$B$4:$F$70,COLUMNS('2012 SAM'!$B$4:E$4),)</f>
        <v>3548.0126794427533</v>
      </c>
      <c r="U44" s="2">
        <f>VLOOKUP($K44,'2012 SAM'!$B$4:$F$70,COLUMNS('2012 SAM'!$B$4:F$4),)</f>
        <v>10374.803136820625</v>
      </c>
      <c r="V44" s="13">
        <f t="shared" si="13"/>
        <v>14867.155067826374</v>
      </c>
      <c r="X44" s="2">
        <f t="shared" si="14"/>
        <v>74096.001589507112</v>
      </c>
      <c r="Y44" s="2">
        <f t="shared" si="0"/>
        <v>92560.365954132663</v>
      </c>
      <c r="Z44" s="2">
        <f t="shared" si="1"/>
        <v>158511.82852879734</v>
      </c>
      <c r="AA44" s="2">
        <f t="shared" si="2"/>
        <v>377143.28387493751</v>
      </c>
      <c r="AB44" s="13">
        <f t="shared" si="3"/>
        <v>244227.48596586892</v>
      </c>
      <c r="AF44" s="24">
        <f>X44</f>
        <v>74096.001589507112</v>
      </c>
      <c r="AG44" s="24">
        <f t="shared" ref="AG44:AI44" si="59">Y44</f>
        <v>92560.365954132663</v>
      </c>
      <c r="AH44" s="24">
        <f t="shared" si="59"/>
        <v>158511.82852879734</v>
      </c>
      <c r="AI44" s="24">
        <f t="shared" si="59"/>
        <v>377143.28387493751</v>
      </c>
      <c r="AJ44" s="13"/>
      <c r="AN44" s="2"/>
      <c r="AO44" s="18">
        <f t="shared" si="16"/>
        <v>0.24919515181019336</v>
      </c>
      <c r="AP44" s="18">
        <f t="shared" si="5"/>
        <v>0.71252378806871008</v>
      </c>
      <c r="AQ44" s="18">
        <f t="shared" si="6"/>
        <v>1.3792753346884816</v>
      </c>
      <c r="AS44" s="2">
        <f>R44/(AF44/1000)</f>
        <v>3.9081225397176325</v>
      </c>
      <c r="AT44" s="2">
        <f>S44/(AG44/1000)</f>
        <v>7.0739024300373998</v>
      </c>
      <c r="AU44" s="2">
        <f>T44/(AH44/1000)</f>
        <v>22.383267623451676</v>
      </c>
      <c r="AV44" s="2">
        <f>U44/(AI44/1000)</f>
        <v>27.508916585296955</v>
      </c>
      <c r="AW44" s="13">
        <f t="shared" si="17"/>
        <v>60.874209178503662</v>
      </c>
      <c r="AX44" s="22">
        <f t="shared" si="18"/>
        <v>0</v>
      </c>
      <c r="AY44" s="28"/>
      <c r="AZ44" s="22"/>
    </row>
    <row r="45" spans="1:52" x14ac:dyDescent="0.25">
      <c r="A45" s="1" t="str">
        <f>VLOOKUP($C45,Concordance!$E$2:$F$63,2,)</f>
        <v>Transport</v>
      </c>
      <c r="B45" s="1" t="str">
        <f>INDEX(Concordance!$H$2:$H$83,MATCH($C45,Concordance!$I$2:$I$83,0))</f>
        <v>awtrp_p</v>
      </c>
      <c r="C45" s="1" t="s">
        <v>111</v>
      </c>
      <c r="D45" s="2">
        <f>QLFS_NT!C45/1000*VLOOKUP(Calc!$A45,'Employment Comparison'!$B$2:$F$10,COLUMNS('Employment Comparison'!$B$2:$F$2),)</f>
        <v>0</v>
      </c>
      <c r="E45" s="2">
        <f>QLFS_NT!D45/1000*VLOOKUP(Calc!$A45,'Employment Comparison'!$B$2:$F$10,COLUMNS('Employment Comparison'!$B$2:$F$2),)</f>
        <v>0.13621934818253839</v>
      </c>
      <c r="F45" s="2">
        <f>QLFS_NT!E45/1000*VLOOKUP(Calc!$A45,'Employment Comparison'!$B$2:$F$10,COLUMNS('Employment Comparison'!$B$2:$F$2),)</f>
        <v>2.1921811381934084</v>
      </c>
      <c r="G45" s="2">
        <f>QLFS_NT!F45/1000*VLOOKUP(Calc!$A45,'Employment Comparison'!$B$2:$F$10,COLUMNS('Employment Comparison'!$B$2:$F$2),)</f>
        <v>3.4614497933516342</v>
      </c>
      <c r="H45" s="13">
        <f t="shared" si="7"/>
        <v>5.789850279727581</v>
      </c>
      <c r="J45" s="1" t="str">
        <f>VLOOKUP($K45,Concordance!$B$2:$C$68,2,)</f>
        <v>Transport</v>
      </c>
      <c r="K45" s="1" t="s">
        <v>66</v>
      </c>
      <c r="L45" s="2">
        <f t="shared" si="8"/>
        <v>4.4519439685083864</v>
      </c>
      <c r="M45" s="2">
        <f t="shared" si="9"/>
        <v>15.956671088266184</v>
      </c>
      <c r="N45" s="2">
        <f t="shared" si="10"/>
        <v>55.361021450898761</v>
      </c>
      <c r="O45" s="2">
        <f t="shared" si="11"/>
        <v>98.371488666580703</v>
      </c>
      <c r="P45" s="13">
        <f t="shared" si="12"/>
        <v>174.14112517425406</v>
      </c>
      <c r="R45" s="2">
        <f>VLOOKUP($K45,'2012 SAM'!$B$4:$F$70,COLUMNS('2012 SAM'!$B$4:C$4),)</f>
        <v>173.27985087217718</v>
      </c>
      <c r="S45" s="2">
        <f>VLOOKUP($K45,'2012 SAM'!$B$4:$F$70,COLUMNS('2012 SAM'!$B$4:D$4),)</f>
        <v>824.23213242766599</v>
      </c>
      <c r="T45" s="2">
        <f>VLOOKUP($K45,'2012 SAM'!$B$4:$F$70,COLUMNS('2012 SAM'!$B$4:E$4),)</f>
        <v>4127.9036246201867</v>
      </c>
      <c r="U45" s="2">
        <f>VLOOKUP($K45,'2012 SAM'!$B$4:$F$70,COLUMNS('2012 SAM'!$B$4:F$4),)</f>
        <v>19000.466162248551</v>
      </c>
      <c r="V45" s="13">
        <f t="shared" si="13"/>
        <v>24125.88177016858</v>
      </c>
      <c r="X45" s="2">
        <f t="shared" si="14"/>
        <v>38922.289251145761</v>
      </c>
      <c r="Y45" s="2">
        <f t="shared" si="0"/>
        <v>51654.391311842555</v>
      </c>
      <c r="Z45" s="2">
        <f t="shared" si="1"/>
        <v>74563.357330415951</v>
      </c>
      <c r="AA45" s="2">
        <f t="shared" si="2"/>
        <v>193150.13343600536</v>
      </c>
      <c r="AB45" s="13">
        <f t="shared" si="3"/>
        <v>138542.12637036227</v>
      </c>
      <c r="AF45" s="24">
        <f t="shared" si="22"/>
        <v>38922.289251145761</v>
      </c>
      <c r="AG45" s="24">
        <f t="shared" si="23"/>
        <v>51654.391311842555</v>
      </c>
      <c r="AH45" s="24">
        <f t="shared" si="24"/>
        <v>74563.357330415951</v>
      </c>
      <c r="AI45" s="24">
        <f t="shared" si="25"/>
        <v>193150.13343600536</v>
      </c>
      <c r="AJ45" s="13"/>
      <c r="AN45" s="2"/>
      <c r="AO45" s="18">
        <f t="shared" si="16"/>
        <v>0.32711596120523656</v>
      </c>
      <c r="AP45" s="18">
        <f t="shared" si="5"/>
        <v>0.4435047134767256</v>
      </c>
      <c r="AQ45" s="18">
        <f t="shared" si="6"/>
        <v>1.59041626277758</v>
      </c>
      <c r="AS45" s="2">
        <f>R45/(AF45/1000)</f>
        <v>4.4519439685083864</v>
      </c>
      <c r="AT45" s="2">
        <f>S45/(AG45/1000)</f>
        <v>15.956671088266184</v>
      </c>
      <c r="AU45" s="2">
        <f>T45/(AH45/1000)</f>
        <v>55.361021450898761</v>
      </c>
      <c r="AV45" s="2">
        <f>U45/(AI45/1000)</f>
        <v>98.371488666580703</v>
      </c>
      <c r="AW45" s="13">
        <f t="shared" si="17"/>
        <v>174.14112517425406</v>
      </c>
      <c r="AX45" s="22">
        <f t="shared" si="18"/>
        <v>0</v>
      </c>
      <c r="AY45" s="28"/>
      <c r="AZ45" s="22"/>
    </row>
    <row r="46" spans="1:52" x14ac:dyDescent="0.25">
      <c r="A46" s="1" t="str">
        <f>VLOOKUP($C46,Concordance!$E$2:$F$63,2,)</f>
        <v>Transport</v>
      </c>
      <c r="B46" s="1" t="str">
        <f>INDEX(Concordance!$H$2:$H$83,MATCH($C46,Concordance!$I$2:$I$83,0))</f>
        <v>aatrp_p</v>
      </c>
      <c r="C46" s="1" t="s">
        <v>112</v>
      </c>
      <c r="D46" s="2">
        <f>QLFS_NT!C46/1000*VLOOKUP(Calc!$A46,'Employment Comparison'!$B$2:$F$10,COLUMNS('Employment Comparison'!$B$2:$F$2),)</f>
        <v>2.6409658124382052</v>
      </c>
      <c r="E46" s="2">
        <f>QLFS_NT!D46/1000*VLOOKUP(Calc!$A46,'Employment Comparison'!$B$2:$F$10,COLUMNS('Employment Comparison'!$B$2:$F$2),)</f>
        <v>1.6652551324330467</v>
      </c>
      <c r="F46" s="2">
        <f>QLFS_NT!E46/1000*VLOOKUP(Calc!$A46,'Employment Comparison'!$B$2:$F$10,COLUMNS('Employment Comparison'!$B$2:$F$2),)</f>
        <v>12.105570601276124</v>
      </c>
      <c r="G46" s="2">
        <f>QLFS_NT!F46/1000*VLOOKUP(Calc!$A46,'Employment Comparison'!$B$2:$F$10,COLUMNS('Employment Comparison'!$B$2:$F$2),)</f>
        <v>23.022125806788388</v>
      </c>
      <c r="H46" s="13">
        <f t="shared" si="7"/>
        <v>39.433917352935765</v>
      </c>
      <c r="J46" s="1" t="str">
        <f>VLOOKUP($K46,Concordance!$B$2:$C$68,2,)</f>
        <v>Finance</v>
      </c>
      <c r="K46" s="1" t="s">
        <v>67</v>
      </c>
      <c r="L46" s="2">
        <f t="shared" si="8"/>
        <v>2.8569648323061676</v>
      </c>
      <c r="M46" s="2">
        <f t="shared" si="9"/>
        <v>12.311402156993429</v>
      </c>
      <c r="N46" s="2">
        <f t="shared" si="10"/>
        <v>84.958727166923893</v>
      </c>
      <c r="O46" s="2">
        <f t="shared" si="11"/>
        <v>256.84219655944753</v>
      </c>
      <c r="P46" s="13">
        <f t="shared" si="12"/>
        <v>356.96929071567104</v>
      </c>
      <c r="R46" s="2">
        <f>VLOOKUP($K46,'2012 SAM'!$B$4:$F$70,COLUMNS('2012 SAM'!$B$4:C$4),)</f>
        <v>757.00196639052092</v>
      </c>
      <c r="S46" s="2">
        <f>VLOOKUP($K46,'2012 SAM'!$B$4:$F$70,COLUMNS('2012 SAM'!$B$4:D$4),)</f>
        <v>887.78950736625507</v>
      </c>
      <c r="T46" s="2">
        <f>VLOOKUP($K46,'2012 SAM'!$B$4:$F$70,COLUMNS('2012 SAM'!$B$4:E$4),)</f>
        <v>31941.892989149605</v>
      </c>
      <c r="U46" s="2">
        <f>VLOOKUP($K46,'2012 SAM'!$B$4:$F$70,COLUMNS('2012 SAM'!$B$4:F$4),)</f>
        <v>104003.12897196467</v>
      </c>
      <c r="V46" s="13">
        <f t="shared" si="13"/>
        <v>137589.81343487106</v>
      </c>
      <c r="X46" s="2">
        <f t="shared" si="14"/>
        <v>264967.19799643528</v>
      </c>
      <c r="Y46" s="2">
        <f t="shared" si="0"/>
        <v>72111.161348258829</v>
      </c>
      <c r="Z46" s="2">
        <f t="shared" si="1"/>
        <v>375969.53314038366</v>
      </c>
      <c r="AA46" s="2">
        <f t="shared" si="2"/>
        <v>404930.07132452464</v>
      </c>
      <c r="AB46" s="13">
        <f t="shared" si="3"/>
        <v>385438.79547460144</v>
      </c>
      <c r="AF46" s="25">
        <f>SUM(R46,R48)/SUM(L46,L48)*1000*0.82</f>
        <v>168144.64184276786</v>
      </c>
      <c r="AG46" s="25">
        <f t="shared" ref="AG46:AI46" si="60">SUM(S46,S48)/SUM(M46,M48)*1000*0.82</f>
        <v>182669.96391438696</v>
      </c>
      <c r="AH46" s="25">
        <f t="shared" si="60"/>
        <v>330103.17335051438</v>
      </c>
      <c r="AI46" s="25">
        <f t="shared" si="60"/>
        <v>411144.19268934568</v>
      </c>
      <c r="AJ46" s="13"/>
      <c r="AN46" s="2"/>
      <c r="AO46" s="18">
        <f t="shared" si="16"/>
        <v>8.6385875353683472E-2</v>
      </c>
      <c r="AP46" s="18">
        <f t="shared" si="5"/>
        <v>0.80710154136355894</v>
      </c>
      <c r="AQ46" s="18">
        <f t="shared" si="6"/>
        <v>0.24550209110767707</v>
      </c>
      <c r="AS46" s="2">
        <f>R46/(AF46/1000)</f>
        <v>4.5020879529327722</v>
      </c>
      <c r="AT46" s="2">
        <f>S46/(AG46/1000)</f>
        <v>4.8600738093009141</v>
      </c>
      <c r="AU46" s="2">
        <f>T46/(AH46/1000)</f>
        <v>96.763362390438616</v>
      </c>
      <c r="AV46" s="2">
        <f>U46/(AI46/1000)</f>
        <v>252.9602286041478</v>
      </c>
      <c r="AW46" s="13">
        <f t="shared" si="17"/>
        <v>359.08575275682011</v>
      </c>
      <c r="AX46" s="22">
        <f t="shared" si="18"/>
        <v>5.9289751140942926E-3</v>
      </c>
      <c r="AY46" s="28"/>
      <c r="AZ46" s="22"/>
    </row>
    <row r="47" spans="1:52" x14ac:dyDescent="0.25">
      <c r="A47" s="1" t="str">
        <f>VLOOKUP($C47,Concordance!$E$2:$F$63,2,)</f>
        <v>Transport</v>
      </c>
      <c r="B47" s="1" t="str">
        <f>INDEX(Concordance!$H$2:$H$83,MATCH($C47,Concordance!$I$2:$I$83,0))</f>
        <v>atrps</v>
      </c>
      <c r="C47" s="1" t="s">
        <v>56</v>
      </c>
      <c r="D47" s="2">
        <f>QLFS_NT!C47/1000*VLOOKUP(Calc!$A47,'Employment Comparison'!$B$2:$F$10,COLUMNS('Employment Comparison'!$B$2:$F$2),)</f>
        <v>3.9081225397176325</v>
      </c>
      <c r="E47" s="2">
        <f>QLFS_NT!D47/1000*VLOOKUP(Calc!$A47,'Employment Comparison'!$B$2:$F$10,COLUMNS('Employment Comparison'!$B$2:$F$2),)</f>
        <v>7.0739024300373998</v>
      </c>
      <c r="F47" s="2">
        <f>QLFS_NT!E47/1000*VLOOKUP(Calc!$A47,'Employment Comparison'!$B$2:$F$10,COLUMNS('Employment Comparison'!$B$2:$F$2),)</f>
        <v>22.383267623451676</v>
      </c>
      <c r="G47" s="2">
        <f>QLFS_NT!F47/1000*VLOOKUP(Calc!$A47,'Employment Comparison'!$B$2:$F$10,COLUMNS('Employment Comparison'!$B$2:$F$2),)</f>
        <v>27.508916585296955</v>
      </c>
      <c r="H47" s="13">
        <f t="shared" si="7"/>
        <v>60.874209178503662</v>
      </c>
      <c r="J47" s="1" t="str">
        <f>VLOOKUP($K47,Concordance!$B$2:$C$68,2,)</f>
        <v>Finance</v>
      </c>
      <c r="K47" s="1" t="s">
        <v>68</v>
      </c>
      <c r="L47" s="2">
        <f t="shared" si="8"/>
        <v>79.58551701194213</v>
      </c>
      <c r="M47" s="2">
        <f t="shared" si="9"/>
        <v>209.79221831185725</v>
      </c>
      <c r="N47" s="2">
        <f t="shared" si="10"/>
        <v>557.86682518294845</v>
      </c>
      <c r="O47" s="2">
        <f t="shared" si="11"/>
        <v>697.78614877758139</v>
      </c>
      <c r="P47" s="13">
        <f t="shared" si="12"/>
        <v>1545.0307092843291</v>
      </c>
      <c r="R47" s="2">
        <f>VLOOKUP($K47,'2012 SAM'!$B$4:$F$70,COLUMNS('2012 SAM'!$B$4:C$4),)</f>
        <v>1672.400818108224</v>
      </c>
      <c r="S47" s="2">
        <f>VLOOKUP($K47,'2012 SAM'!$B$4:$F$70,COLUMNS('2012 SAM'!$B$4:D$4),)</f>
        <v>5575.9176792988692</v>
      </c>
      <c r="T47" s="2">
        <f>VLOOKUP($K47,'2012 SAM'!$B$4:$F$70,COLUMNS('2012 SAM'!$B$4:E$4),)</f>
        <v>22393.207856396893</v>
      </c>
      <c r="U47" s="2">
        <f>VLOOKUP($K47,'2012 SAM'!$B$4:$F$70,COLUMNS('2012 SAM'!$B$4:F$4),)</f>
        <v>65782.216112499067</v>
      </c>
      <c r="V47" s="13">
        <f t="shared" si="13"/>
        <v>95423.742466303054</v>
      </c>
      <c r="X47" s="2">
        <f t="shared" si="14"/>
        <v>21013.883943950172</v>
      </c>
      <c r="Y47" s="2">
        <f t="shared" si="0"/>
        <v>26578.286478720758</v>
      </c>
      <c r="Z47" s="2">
        <f t="shared" si="1"/>
        <v>40140.777055622915</v>
      </c>
      <c r="AA47" s="2">
        <f t="shared" si="2"/>
        <v>94272.745636667954</v>
      </c>
      <c r="AB47" s="13">
        <f t="shared" si="3"/>
        <v>61761.712497290173</v>
      </c>
      <c r="AF47" s="24">
        <f>X47</f>
        <v>21013.883943950172</v>
      </c>
      <c r="AG47" s="24">
        <f t="shared" ref="AG47:AI47" si="61">Y47</f>
        <v>26578.286478720758</v>
      </c>
      <c r="AH47" s="24">
        <f t="shared" si="61"/>
        <v>40140.777055622915</v>
      </c>
      <c r="AI47" s="24">
        <f t="shared" si="61"/>
        <v>94272.745636667954</v>
      </c>
      <c r="AJ47" s="13"/>
      <c r="AN47" s="2"/>
      <c r="AO47" s="18">
        <f t="shared" si="16"/>
        <v>0.26479648167908332</v>
      </c>
      <c r="AP47" s="18">
        <f t="shared" si="5"/>
        <v>0.5102846110023167</v>
      </c>
      <c r="AQ47" s="18">
        <f t="shared" si="6"/>
        <v>1.3485530812229816</v>
      </c>
      <c r="AS47" s="2">
        <f>R47/(AF47/1000)</f>
        <v>79.58551701194213</v>
      </c>
      <c r="AT47" s="2">
        <f>S47/(AG47/1000)</f>
        <v>209.79221831185725</v>
      </c>
      <c r="AU47" s="2">
        <f>T47/(AH47/1000)</f>
        <v>557.86682518294845</v>
      </c>
      <c r="AV47" s="2">
        <f>U47/(AI47/1000)</f>
        <v>697.78614877758139</v>
      </c>
      <c r="AW47" s="13">
        <f t="shared" si="17"/>
        <v>1545.0307092843291</v>
      </c>
      <c r="AX47" s="22">
        <f t="shared" si="18"/>
        <v>0</v>
      </c>
      <c r="AY47" s="28"/>
      <c r="AZ47" s="22"/>
    </row>
    <row r="48" spans="1:52" x14ac:dyDescent="0.25">
      <c r="A48" s="1" t="str">
        <f>VLOOKUP($C48,Concordance!$E$2:$F$63,2,)</f>
        <v>Transport</v>
      </c>
      <c r="B48" s="1" t="str">
        <f>INDEX(Concordance!$H$2:$H$83,MATCH($C48,Concordance!$I$2:$I$83,0))</f>
        <v>acomm</v>
      </c>
      <c r="C48" s="1" t="s">
        <v>113</v>
      </c>
      <c r="D48" s="2">
        <f>QLFS_NT!C48/1000*VLOOKUP(Calc!$A48,'Employment Comparison'!$B$2:$F$10,COLUMNS('Employment Comparison'!$B$2:$F$2),)</f>
        <v>4.4519439685083864</v>
      </c>
      <c r="E48" s="2">
        <f>QLFS_NT!D48/1000*VLOOKUP(Calc!$A48,'Employment Comparison'!$B$2:$F$10,COLUMNS('Employment Comparison'!$B$2:$F$2),)</f>
        <v>15.956671088266184</v>
      </c>
      <c r="F48" s="2">
        <f>QLFS_NT!E48/1000*VLOOKUP(Calc!$A48,'Employment Comparison'!$B$2:$F$10,COLUMNS('Employment Comparison'!$B$2:$F$2),)</f>
        <v>55.361021450898761</v>
      </c>
      <c r="G48" s="2">
        <f>QLFS_NT!F48/1000*VLOOKUP(Calc!$A48,'Employment Comparison'!$B$2:$F$10,COLUMNS('Employment Comparison'!$B$2:$F$2),)</f>
        <v>98.371488666580703</v>
      </c>
      <c r="H48" s="13">
        <f t="shared" si="7"/>
        <v>174.14112517425406</v>
      </c>
      <c r="J48" s="1" t="str">
        <f>VLOOKUP($K48,Concordance!$B$2:$C$68,2,)</f>
        <v>Other</v>
      </c>
      <c r="K48" s="1" t="s">
        <v>69</v>
      </c>
      <c r="L48" s="2">
        <f t="shared" si="8"/>
        <v>43.986718317404566</v>
      </c>
      <c r="M48" s="2">
        <f t="shared" si="9"/>
        <v>73.721497963999752</v>
      </c>
      <c r="N48" s="2">
        <f t="shared" si="10"/>
        <v>244.56331003599581</v>
      </c>
      <c r="O48" s="2">
        <f t="shared" si="11"/>
        <v>526.22240772688144</v>
      </c>
      <c r="P48" s="13">
        <f t="shared" si="12"/>
        <v>888.49393404428156</v>
      </c>
      <c r="R48" s="2">
        <f>VLOOKUP($K48,'2012 SAM'!$B$4:$F$70,COLUMNS('2012 SAM'!$B$4:C$4),)</f>
        <v>8848.5033089804692</v>
      </c>
      <c r="S48" s="2">
        <f>VLOOKUP($K48,'2012 SAM'!$B$4:$F$70,COLUMNS('2012 SAM'!$B$4:D$4),)</f>
        <v>18277.608981111651</v>
      </c>
      <c r="T48" s="2">
        <f>VLOOKUP($K48,'2012 SAM'!$B$4:$F$70,COLUMNS('2012 SAM'!$B$4:E$4),)</f>
        <v>100712.09502257001</v>
      </c>
      <c r="U48" s="2">
        <f>VLOOKUP($K48,'2012 SAM'!$B$4:$F$70,COLUMNS('2012 SAM'!$B$4:F$4),)</f>
        <v>288621.82779987028</v>
      </c>
      <c r="V48" s="13">
        <f t="shared" si="13"/>
        <v>416460.03511253244</v>
      </c>
      <c r="X48" s="2">
        <f t="shared" si="14"/>
        <v>201163.07029613786</v>
      </c>
      <c r="Y48" s="2">
        <f t="shared" si="0"/>
        <v>247927.80241710652</v>
      </c>
      <c r="Z48" s="2">
        <f t="shared" si="1"/>
        <v>411803.77795731829</v>
      </c>
      <c r="AA48" s="2">
        <f t="shared" si="2"/>
        <v>548478.78684343304</v>
      </c>
      <c r="AB48" s="13">
        <f t="shared" si="3"/>
        <v>468725.80572033091</v>
      </c>
      <c r="AF48" s="25">
        <f>SUM(R46,R48)/SUM(L46,L48)*1000*1.07</f>
        <v>219408.2521606849</v>
      </c>
      <c r="AG48" s="25">
        <f t="shared" ref="AG48:AI48" si="62">SUM(S46,S48)/SUM(M46,M48)*1000*1.07</f>
        <v>238362.02608340743</v>
      </c>
      <c r="AH48" s="25">
        <f t="shared" si="62"/>
        <v>430744.38473786641</v>
      </c>
      <c r="AI48" s="25">
        <f t="shared" si="62"/>
        <v>536493.03192390234</v>
      </c>
      <c r="AJ48" s="13"/>
      <c r="AN48" s="2"/>
      <c r="AO48" s="18">
        <f t="shared" si="16"/>
        <v>8.6385875353683694E-2</v>
      </c>
      <c r="AP48" s="18">
        <f t="shared" si="5"/>
        <v>0.80710154136355894</v>
      </c>
      <c r="AQ48" s="18">
        <f t="shared" si="6"/>
        <v>0.24550209110767685</v>
      </c>
      <c r="AS48" s="2">
        <f>R48/(AF48/1000)</f>
        <v>40.328944886267159</v>
      </c>
      <c r="AT48" s="2">
        <f>S48/(AG48/1000)</f>
        <v>76.680037006884504</v>
      </c>
      <c r="AU48" s="2">
        <f>T48/(AH48/1000)</f>
        <v>233.80942060071035</v>
      </c>
      <c r="AV48" s="2">
        <f>U48/(AI48/1000)</f>
        <v>537.97870731862406</v>
      </c>
      <c r="AW48" s="13">
        <f t="shared" si="17"/>
        <v>888.79710981248604</v>
      </c>
      <c r="AX48" s="22">
        <f t="shared" si="18"/>
        <v>3.4122435346795044E-4</v>
      </c>
      <c r="AY48" s="28"/>
      <c r="AZ48" s="22"/>
    </row>
    <row r="49" spans="1:54" x14ac:dyDescent="0.25">
      <c r="A49" s="1" t="str">
        <f>VLOOKUP($C49,Concordance!$E$2:$F$63,2,)</f>
        <v>Finance</v>
      </c>
      <c r="B49" s="1" t="str">
        <f>INDEX(Concordance!$H$2:$H$83,MATCH($C49,Concordance!$I$2:$I$83,0))</f>
        <v>afsrv</v>
      </c>
      <c r="C49" s="1" t="s">
        <v>114</v>
      </c>
      <c r="D49" s="2">
        <f>QLFS_NT!C49/1000*VLOOKUP(Calc!$A49,'Employment Comparison'!$B$2:$F$10,COLUMNS('Employment Comparison'!$B$2:$F$2),)</f>
        <v>2.2294907043218872</v>
      </c>
      <c r="E49" s="2">
        <f>QLFS_NT!D49/1000*VLOOKUP(Calc!$A49,'Employment Comparison'!$B$2:$F$10,COLUMNS('Employment Comparison'!$B$2:$F$2),)</f>
        <v>8.122245204734126</v>
      </c>
      <c r="F49" s="2">
        <f>QLFS_NT!E49/1000*VLOOKUP(Calc!$A49,'Employment Comparison'!$B$2:$F$10,COLUMNS('Employment Comparison'!$B$2:$F$2),)</f>
        <v>51.179879632957302</v>
      </c>
      <c r="G49" s="2">
        <f>QLFS_NT!F49/1000*VLOOKUP(Calc!$A49,'Employment Comparison'!$B$2:$F$10,COLUMNS('Employment Comparison'!$B$2:$F$2),)</f>
        <v>166.87531585500324</v>
      </c>
      <c r="H49" s="13">
        <f t="shared" si="7"/>
        <v>228.40693139701654</v>
      </c>
      <c r="J49" s="1" t="str">
        <f>VLOOKUP($K49,Concordance!$B$2:$C$68,2,)</f>
        <v>Other</v>
      </c>
      <c r="K49" s="1" t="s">
        <v>70</v>
      </c>
      <c r="L49" s="2">
        <f t="shared" si="8"/>
        <v>546.44316145414996</v>
      </c>
      <c r="M49" s="2">
        <f t="shared" si="9"/>
        <v>658.53273316240734</v>
      </c>
      <c r="N49" s="2">
        <f t="shared" si="10"/>
        <v>855.78588865756205</v>
      </c>
      <c r="O49" s="2">
        <f t="shared" si="11"/>
        <v>1488.0091461737741</v>
      </c>
      <c r="P49" s="13">
        <f t="shared" si="12"/>
        <v>3548.7709294478936</v>
      </c>
      <c r="R49" s="2">
        <f>VLOOKUP($K49,'2012 SAM'!$B$4:$F$70,COLUMNS('2012 SAM'!$B$4:C$4),)</f>
        <v>27721.9713302075</v>
      </c>
      <c r="S49" s="2">
        <f>VLOOKUP($K49,'2012 SAM'!$B$4:$F$70,COLUMNS('2012 SAM'!$B$4:D$4),)</f>
        <v>33921.406546200305</v>
      </c>
      <c r="T49" s="2">
        <f>VLOOKUP($K49,'2012 SAM'!$B$4:$F$70,COLUMNS('2012 SAM'!$B$4:E$4),)</f>
        <v>24591.611095145789</v>
      </c>
      <c r="U49" s="2">
        <f>VLOOKUP($K49,'2012 SAM'!$B$4:$F$70,COLUMNS('2012 SAM'!$B$4:F$4),)</f>
        <v>44839.589821329049</v>
      </c>
      <c r="V49" s="13">
        <f t="shared" si="13"/>
        <v>131074.57879288265</v>
      </c>
      <c r="X49" s="2">
        <f t="shared" si="14"/>
        <v>50731.664856846321</v>
      </c>
      <c r="Y49" s="2">
        <f t="shared" si="0"/>
        <v>51510.585333097799</v>
      </c>
      <c r="Z49" s="2">
        <f t="shared" si="1"/>
        <v>28735.705298578465</v>
      </c>
      <c r="AA49" s="2">
        <f t="shared" si="2"/>
        <v>30133.947722450728</v>
      </c>
      <c r="AB49" s="13">
        <f t="shared" si="3"/>
        <v>36935.204159056506</v>
      </c>
      <c r="AF49" s="24">
        <f>X49*0.71</f>
        <v>36019.482048360886</v>
      </c>
      <c r="AG49" s="24">
        <f>Y49*0.71</f>
        <v>36572.515586499438</v>
      </c>
      <c r="AH49" s="24">
        <f>AG49*1.015</f>
        <v>37121.103320296927</v>
      </c>
      <c r="AI49" s="24">
        <f>AH49*1.015</f>
        <v>37677.919870101374</v>
      </c>
      <c r="AJ49" s="13"/>
      <c r="AN49" s="2"/>
      <c r="AO49" s="18">
        <f t="shared" si="16"/>
        <v>1.5353733776516609E-2</v>
      </c>
      <c r="AP49" s="18">
        <f t="shared" si="5"/>
        <v>1.4999999999999902E-2</v>
      </c>
      <c r="AQ49" s="18">
        <f t="shared" si="6"/>
        <v>1.4999999999999902E-2</v>
      </c>
      <c r="AS49" s="2">
        <f>R49/(AF49/1000)</f>
        <v>769.63825556922541</v>
      </c>
      <c r="AT49" s="2">
        <f>S49/(AG49/1000)</f>
        <v>927.51089177803851</v>
      </c>
      <c r="AU49" s="2">
        <f>T49/(AH49/1000)</f>
        <v>662.46983240122847</v>
      </c>
      <c r="AV49" s="2">
        <f>U49/(AI49/1000)</f>
        <v>1190.0760438983439</v>
      </c>
      <c r="AW49" s="13">
        <f t="shared" si="17"/>
        <v>3549.695023646836</v>
      </c>
      <c r="AX49" s="22">
        <f t="shared" si="18"/>
        <v>2.6039837941471689E-4</v>
      </c>
      <c r="AY49" s="28"/>
      <c r="AZ49" s="22"/>
      <c r="BB49" s="2"/>
    </row>
    <row r="50" spans="1:54" x14ac:dyDescent="0.25">
      <c r="A50" s="1" t="str">
        <f>VLOOKUP($C50,Concordance!$E$2:$F$63,2,)</f>
        <v>Finance</v>
      </c>
      <c r="B50" s="1" t="str">
        <f>INDEX(Concordance!$H$2:$H$83,MATCH($C50,Concordance!$I$2:$I$83,0))</f>
        <v>afsrv</v>
      </c>
      <c r="C50" s="1" t="s">
        <v>115</v>
      </c>
      <c r="D50" s="2">
        <f>QLFS_NT!C50/1000*VLOOKUP(Calc!$A50,'Employment Comparison'!$B$2:$F$10,COLUMNS('Employment Comparison'!$B$2:$F$2),)</f>
        <v>0.40949829263055065</v>
      </c>
      <c r="E50" s="2">
        <f>QLFS_NT!D50/1000*VLOOKUP(Calc!$A50,'Employment Comparison'!$B$2:$F$10,COLUMNS('Employment Comparison'!$B$2:$F$2),)</f>
        <v>3.8399723616441039</v>
      </c>
      <c r="F50" s="2">
        <f>QLFS_NT!E50/1000*VLOOKUP(Calc!$A50,'Employment Comparison'!$B$2:$F$10,COLUMNS('Employment Comparison'!$B$2:$F$2),)</f>
        <v>29.090250803615241</v>
      </c>
      <c r="G50" s="2">
        <f>QLFS_NT!F50/1000*VLOOKUP(Calc!$A50,'Employment Comparison'!$B$2:$F$10,COLUMNS('Employment Comparison'!$B$2:$F$2),)</f>
        <v>77.030120689712732</v>
      </c>
      <c r="H50" s="13">
        <f t="shared" si="7"/>
        <v>110.36984214760263</v>
      </c>
      <c r="L50" s="16">
        <f>SUM(L3:L49)</f>
        <v>1860.6241464725917</v>
      </c>
      <c r="M50" s="14">
        <f t="shared" ref="M50:O50" si="63">SUM(M3:M49)</f>
        <v>2630.1915638597093</v>
      </c>
      <c r="N50" s="14">
        <f t="shared" si="63"/>
        <v>4503.5522098403098</v>
      </c>
      <c r="O50" s="14">
        <f t="shared" si="63"/>
        <v>5430.3969433195653</v>
      </c>
      <c r="P50" s="15">
        <f t="shared" si="12"/>
        <v>14424.764863492177</v>
      </c>
      <c r="R50" s="16">
        <f>SUM(R3:R49)</f>
        <v>80157.045763721486</v>
      </c>
      <c r="S50" s="14">
        <f t="shared" ref="S50:U50" si="64">SUM(S3:S49)</f>
        <v>145656.81389746786</v>
      </c>
      <c r="T50" s="14">
        <f t="shared" si="64"/>
        <v>370369.94061276451</v>
      </c>
      <c r="U50" s="14">
        <f t="shared" si="64"/>
        <v>877668.19972604886</v>
      </c>
      <c r="V50" s="15">
        <f t="shared" si="13"/>
        <v>1473852.0000000028</v>
      </c>
      <c r="X50" s="16">
        <f t="shared" si="14"/>
        <v>43080.729611987896</v>
      </c>
      <c r="Y50" s="14">
        <f t="shared" si="0"/>
        <v>55378.785294148627</v>
      </c>
      <c r="Z50" s="14">
        <f t="shared" si="1"/>
        <v>82239.513023408988</v>
      </c>
      <c r="AA50" s="14">
        <f t="shared" si="2"/>
        <v>161621.37112384575</v>
      </c>
      <c r="AB50" s="15">
        <f t="shared" si="3"/>
        <v>102175.1143916525</v>
      </c>
      <c r="AF50" s="16"/>
      <c r="AG50" s="14"/>
      <c r="AH50" s="14"/>
      <c r="AI50" s="14"/>
      <c r="AJ50" s="15"/>
      <c r="AN50" s="16"/>
      <c r="AO50" s="14"/>
      <c r="AP50" s="14"/>
      <c r="AQ50" s="14"/>
      <c r="AS50" s="16">
        <f>SUM(AS3:AS49)</f>
        <v>2088.8945061162685</v>
      </c>
      <c r="AT50" s="14">
        <f t="shared" ref="AT50:AV50" si="65">SUM(AT3:AT49)</f>
        <v>2936.1085547199095</v>
      </c>
      <c r="AU50" s="14">
        <f t="shared" si="65"/>
        <v>4288.6821593406221</v>
      </c>
      <c r="AV50" s="14">
        <f t="shared" si="65"/>
        <v>5113.9895331335683</v>
      </c>
      <c r="AW50" s="15">
        <f>SUM(AS50:AV50)</f>
        <v>14427.674753310368</v>
      </c>
      <c r="AX50" s="21"/>
      <c r="AY50" s="21"/>
      <c r="AZ50" s="21"/>
    </row>
    <row r="51" spans="1:54" x14ac:dyDescent="0.25">
      <c r="A51" s="1" t="str">
        <f>VLOOKUP($C51,Concordance!$E$2:$F$63,2,)</f>
        <v>Finance</v>
      </c>
      <c r="B51" s="1" t="str">
        <f>INDEX(Concordance!$H$2:$H$83,MATCH($C51,Concordance!$I$2:$I$83,0))</f>
        <v>afsrv</v>
      </c>
      <c r="C51" s="1" t="s">
        <v>116</v>
      </c>
      <c r="D51" s="2">
        <f>QLFS_NT!C51/1000*VLOOKUP(Calc!$A51,'Employment Comparison'!$B$2:$F$10,COLUMNS('Employment Comparison'!$B$2:$F$2),)</f>
        <v>0.2179758353537298</v>
      </c>
      <c r="E51" s="2">
        <f>QLFS_NT!D51/1000*VLOOKUP(Calc!$A51,'Employment Comparison'!$B$2:$F$10,COLUMNS('Employment Comparison'!$B$2:$F$2),)</f>
        <v>0.34918459061519824</v>
      </c>
      <c r="F51" s="2">
        <f>QLFS_NT!E51/1000*VLOOKUP(Calc!$A51,'Employment Comparison'!$B$2:$F$10,COLUMNS('Employment Comparison'!$B$2:$F$2),)</f>
        <v>4.6885967303513434</v>
      </c>
      <c r="G51" s="2">
        <f>QLFS_NT!F51/1000*VLOOKUP(Calc!$A51,'Employment Comparison'!$B$2:$F$10,COLUMNS('Employment Comparison'!$B$2:$F$2),)</f>
        <v>12.936760014731558</v>
      </c>
      <c r="H51" s="13">
        <f t="shared" si="7"/>
        <v>18.192517171051829</v>
      </c>
    </row>
    <row r="52" spans="1:54" x14ac:dyDescent="0.25">
      <c r="A52" s="1" t="str">
        <f>VLOOKUP($C52,Concordance!$E$2:$F$63,2,)</f>
        <v>Finance</v>
      </c>
      <c r="B52" s="1" t="str">
        <f>INDEX(Concordance!$H$2:$H$83,MATCH($C52,Concordance!$I$2:$I$83,0))</f>
        <v>absrv</v>
      </c>
      <c r="C52" s="1" t="s">
        <v>117</v>
      </c>
      <c r="D52" s="2">
        <f>QLFS_NT!C52/1000*VLOOKUP(Calc!$A52,'Employment Comparison'!$B$2:$F$10,COLUMNS('Employment Comparison'!$B$2:$F$2),)</f>
        <v>4.6864804601051908</v>
      </c>
      <c r="E52" s="2">
        <f>QLFS_NT!D52/1000*VLOOKUP(Calc!$A52,'Employment Comparison'!$B$2:$F$10,COLUMNS('Employment Comparison'!$B$2:$F$2),)</f>
        <v>12.149507483162745</v>
      </c>
      <c r="F52" s="2">
        <f>QLFS_NT!E52/1000*VLOOKUP(Calc!$A52,'Employment Comparison'!$B$2:$F$10,COLUMNS('Employment Comparison'!$B$2:$F$2),)</f>
        <v>27.862814060846667</v>
      </c>
      <c r="G52" s="2">
        <f>QLFS_NT!F52/1000*VLOOKUP(Calc!$A52,'Employment Comparison'!$B$2:$F$10,COLUMNS('Employment Comparison'!$B$2:$F$2),)</f>
        <v>48.807540687020101</v>
      </c>
      <c r="H52" s="13">
        <f t="shared" si="7"/>
        <v>93.506342691134705</v>
      </c>
      <c r="V52" s="2"/>
      <c r="X52" s="29"/>
      <c r="Y52" s="29"/>
      <c r="Z52" s="29"/>
      <c r="AA52" s="29"/>
    </row>
    <row r="53" spans="1:54" x14ac:dyDescent="0.25">
      <c r="A53" s="1" t="str">
        <f>VLOOKUP($C53,Concordance!$E$2:$F$63,2,)</f>
        <v>Finance</v>
      </c>
      <c r="B53" s="1" t="str">
        <f>INDEX(Concordance!$H$2:$H$83,MATCH($C53,Concordance!$I$2:$I$83,0))</f>
        <v>absrv</v>
      </c>
      <c r="C53" s="1" t="s">
        <v>118</v>
      </c>
      <c r="D53" s="2">
        <f>QLFS_NT!C53/1000*VLOOKUP(Calc!$A53,'Employment Comparison'!$B$2:$F$10,COLUMNS('Employment Comparison'!$B$2:$F$2),)</f>
        <v>2.3162577844141481</v>
      </c>
      <c r="E53" s="2">
        <f>QLFS_NT!D53/1000*VLOOKUP(Calc!$A53,'Employment Comparison'!$B$2:$F$10,COLUMNS('Employment Comparison'!$B$2:$F$2),)</f>
        <v>7.3053648897191774</v>
      </c>
      <c r="F53" s="2">
        <f>QLFS_NT!E53/1000*VLOOKUP(Calc!$A53,'Employment Comparison'!$B$2:$F$10,COLUMNS('Employment Comparison'!$B$2:$F$2),)</f>
        <v>16.047677276576049</v>
      </c>
      <c r="G53" s="2">
        <f>QLFS_NT!F53/1000*VLOOKUP(Calc!$A53,'Employment Comparison'!$B$2:$F$10,COLUMNS('Employment Comparison'!$B$2:$F$2),)</f>
        <v>23.371030463387523</v>
      </c>
      <c r="H53" s="13">
        <f t="shared" si="7"/>
        <v>49.0403304140969</v>
      </c>
    </row>
    <row r="54" spans="1:54" x14ac:dyDescent="0.25">
      <c r="A54" s="1" t="str">
        <f>VLOOKUP($C54,Concordance!$E$2:$F$63,2,)</f>
        <v>Finance</v>
      </c>
      <c r="B54" s="1" t="str">
        <f>INDEX(Concordance!$H$2:$H$83,MATCH($C54,Concordance!$I$2:$I$83,0))</f>
        <v>absrv</v>
      </c>
      <c r="C54" s="1" t="s">
        <v>119</v>
      </c>
      <c r="D54" s="2">
        <f>QLFS_NT!C54/1000*VLOOKUP(Calc!$A54,'Employment Comparison'!$B$2:$F$10,COLUMNS('Employment Comparison'!$B$2:$F$2),)</f>
        <v>2.1406073539834729</v>
      </c>
      <c r="E54" s="2">
        <f>QLFS_NT!D54/1000*VLOOKUP(Calc!$A54,'Employment Comparison'!$B$2:$F$10,COLUMNS('Employment Comparison'!$B$2:$F$2),)</f>
        <v>5.6610229084585164</v>
      </c>
      <c r="F54" s="2">
        <f>QLFS_NT!E54/1000*VLOOKUP(Calc!$A54,'Employment Comparison'!$B$2:$F$10,COLUMNS('Employment Comparison'!$B$2:$F$2),)</f>
        <v>22.782707334957067</v>
      </c>
      <c r="G54" s="2">
        <f>QLFS_NT!F54/1000*VLOOKUP(Calc!$A54,'Employment Comparison'!$B$2:$F$10,COLUMNS('Employment Comparison'!$B$2:$F$2),)</f>
        <v>79.165437368080816</v>
      </c>
      <c r="H54" s="13">
        <f t="shared" si="7"/>
        <v>109.74977496547987</v>
      </c>
    </row>
    <row r="55" spans="1:54" x14ac:dyDescent="0.25">
      <c r="A55" s="1" t="str">
        <f>VLOOKUP($C55,Concordance!$E$2:$F$63,2,)</f>
        <v>Finance</v>
      </c>
      <c r="B55" s="1" t="str">
        <f>INDEX(Concordance!$H$2:$H$83,MATCH($C55,Concordance!$I$2:$I$83,0))</f>
        <v>absrv</v>
      </c>
      <c r="C55" s="1" t="s">
        <v>120</v>
      </c>
      <c r="D55" s="2">
        <f>QLFS_NT!C55/1000*VLOOKUP(Calc!$A55,'Employment Comparison'!$B$2:$F$10,COLUMNS('Employment Comparison'!$B$2:$F$2),)</f>
        <v>0.60948583089198227</v>
      </c>
      <c r="E55" s="2">
        <f>QLFS_NT!D55/1000*VLOOKUP(Calc!$A55,'Employment Comparison'!$B$2:$F$10,COLUMNS('Employment Comparison'!$B$2:$F$2),)</f>
        <v>2.1924559750142145</v>
      </c>
      <c r="F55" s="2">
        <f>QLFS_NT!E55/1000*VLOOKUP(Calc!$A55,'Employment Comparison'!$B$2:$F$10,COLUMNS('Employment Comparison'!$B$2:$F$2),)</f>
        <v>2.6569772940447356</v>
      </c>
      <c r="G55" s="2">
        <f>QLFS_NT!F55/1000*VLOOKUP(Calc!$A55,'Employment Comparison'!$B$2:$F$10,COLUMNS('Employment Comparison'!$B$2:$F$2),)</f>
        <v>16.187351112822128</v>
      </c>
      <c r="H55" s="13">
        <f t="shared" si="7"/>
        <v>21.646270212773061</v>
      </c>
    </row>
    <row r="56" spans="1:54" x14ac:dyDescent="0.25">
      <c r="A56" s="1" t="str">
        <f>VLOOKUP($C56,Concordance!$E$2:$F$63,2,)</f>
        <v>Finance</v>
      </c>
      <c r="B56" s="1" t="str">
        <f>INDEX(Concordance!$H$2:$H$83,MATCH($C56,Concordance!$I$2:$I$83,0))</f>
        <v>absrv</v>
      </c>
      <c r="C56" s="1" t="s">
        <v>121</v>
      </c>
      <c r="D56" s="2">
        <f>QLFS_NT!C56/1000*VLOOKUP(Calc!$A56,'Employment Comparison'!$B$2:$F$10,COLUMNS('Employment Comparison'!$B$2:$F$2),)</f>
        <v>69.832685582547342</v>
      </c>
      <c r="E56" s="2">
        <f>QLFS_NT!D56/1000*VLOOKUP(Calc!$A56,'Employment Comparison'!$B$2:$F$10,COLUMNS('Employment Comparison'!$B$2:$F$2),)</f>
        <v>182.4838670555026</v>
      </c>
      <c r="F56" s="2">
        <f>QLFS_NT!E56/1000*VLOOKUP(Calc!$A56,'Employment Comparison'!$B$2:$F$10,COLUMNS('Employment Comparison'!$B$2:$F$2),)</f>
        <v>488.51664921652389</v>
      </c>
      <c r="G56" s="2">
        <f>QLFS_NT!F56/1000*VLOOKUP(Calc!$A56,'Employment Comparison'!$B$2:$F$10,COLUMNS('Employment Comparison'!$B$2:$F$2),)</f>
        <v>530.25478914627081</v>
      </c>
      <c r="H56" s="13">
        <f t="shared" si="7"/>
        <v>1271.0879910008448</v>
      </c>
    </row>
    <row r="57" spans="1:54" x14ac:dyDescent="0.25">
      <c r="A57" s="1" t="str">
        <f>VLOOKUP($C57,Concordance!$E$2:$F$63,2,)</f>
        <v>Other</v>
      </c>
      <c r="B57" s="1" t="str">
        <f>INDEX(Concordance!$H$2:$H$83,MATCH($C57,Concordance!$I$2:$I$83,0))</f>
        <v>agsrv</v>
      </c>
      <c r="C57" s="1" t="s">
        <v>122</v>
      </c>
      <c r="D57" s="2">
        <f>QLFS_NT!C57/1000*VLOOKUP(Calc!$A57,'Employment Comparison'!$B$2:$F$10,COLUMNS('Employment Comparison'!$B$2:$F$2),)</f>
        <v>43.986718317404566</v>
      </c>
      <c r="E57" s="2">
        <f>QLFS_NT!D57/1000*VLOOKUP(Calc!$A57,'Employment Comparison'!$B$2:$F$10,COLUMNS('Employment Comparison'!$B$2:$F$2),)</f>
        <v>73.721497963999752</v>
      </c>
      <c r="F57" s="2">
        <f>QLFS_NT!E57/1000*VLOOKUP(Calc!$A57,'Employment Comparison'!$B$2:$F$10,COLUMNS('Employment Comparison'!$B$2:$F$2),)</f>
        <v>244.56331003599581</v>
      </c>
      <c r="G57" s="2">
        <f>QLFS_NT!F57/1000*VLOOKUP(Calc!$A57,'Employment Comparison'!$B$2:$F$10,COLUMNS('Employment Comparison'!$B$2:$F$2),)</f>
        <v>526.22240772688144</v>
      </c>
      <c r="H57" s="13">
        <f t="shared" si="7"/>
        <v>888.49393404428156</v>
      </c>
    </row>
    <row r="58" spans="1:54" x14ac:dyDescent="0.25">
      <c r="A58" s="1" t="str">
        <f>VLOOKUP($C58,Concordance!$E$2:$F$63,2,)</f>
        <v>Other</v>
      </c>
      <c r="B58" s="1" t="str">
        <f>INDEX(Concordance!$H$2:$H$83,MATCH($C58,Concordance!$I$2:$I$83,0))</f>
        <v>aosrv</v>
      </c>
      <c r="C58" s="1" t="s">
        <v>123</v>
      </c>
      <c r="D58" s="2">
        <f>QLFS_NT!C58/1000*VLOOKUP(Calc!$A58,'Employment Comparison'!$B$2:$F$10,COLUMNS('Employment Comparison'!$B$2:$F$2),)</f>
        <v>46.972717529649195</v>
      </c>
      <c r="E58" s="2">
        <f>QLFS_NT!D58/1000*VLOOKUP(Calc!$A58,'Employment Comparison'!$B$2:$F$10,COLUMNS('Employment Comparison'!$B$2:$F$2),)</f>
        <v>56.149306437784055</v>
      </c>
      <c r="F58" s="2">
        <f>QLFS_NT!E58/1000*VLOOKUP(Calc!$A58,'Employment Comparison'!$B$2:$F$10,COLUMNS('Employment Comparison'!$B$2:$F$2),)</f>
        <v>139.95783656653057</v>
      </c>
      <c r="G58" s="2">
        <f>QLFS_NT!F58/1000*VLOOKUP(Calc!$A58,'Employment Comparison'!$B$2:$F$10,COLUMNS('Employment Comparison'!$B$2:$F$2),)</f>
        <v>694.67032704023347</v>
      </c>
      <c r="H58" s="13">
        <f t="shared" si="7"/>
        <v>937.7501875741973</v>
      </c>
    </row>
    <row r="59" spans="1:54" x14ac:dyDescent="0.25">
      <c r="A59" s="1" t="str">
        <f>VLOOKUP($C59,Concordance!$E$2:$F$63,2,)</f>
        <v>Other</v>
      </c>
      <c r="B59" s="1" t="str">
        <f>INDEX(Concordance!$H$2:$H$83,MATCH($C59,Concordance!$I$2:$I$83,0))</f>
        <v>aosrv</v>
      </c>
      <c r="C59" s="1" t="s">
        <v>124</v>
      </c>
      <c r="D59" s="2">
        <f>QLFS_NT!C59/1000*VLOOKUP(Calc!$A59,'Employment Comparison'!$B$2:$F$10,COLUMNS('Employment Comparison'!$B$2:$F$2),)</f>
        <v>52.00243901722542</v>
      </c>
      <c r="E59" s="2">
        <f>QLFS_NT!D59/1000*VLOOKUP(Calc!$A59,'Employment Comparison'!$B$2:$F$10,COLUMNS('Employment Comparison'!$B$2:$F$2),)</f>
        <v>88.113504828134026</v>
      </c>
      <c r="F59" s="2">
        <f>QLFS_NT!E59/1000*VLOOKUP(Calc!$A59,'Employment Comparison'!$B$2:$F$10,COLUMNS('Employment Comparison'!$B$2:$F$2),)</f>
        <v>230.86739964777925</v>
      </c>
      <c r="G59" s="2">
        <f>QLFS_NT!F59/1000*VLOOKUP(Calc!$A59,'Employment Comparison'!$B$2:$F$10,COLUMNS('Employment Comparison'!$B$2:$F$2),)</f>
        <v>484.40250191530612</v>
      </c>
      <c r="H59" s="13">
        <f t="shared" si="7"/>
        <v>855.38584540844477</v>
      </c>
    </row>
    <row r="60" spans="1:54" x14ac:dyDescent="0.25">
      <c r="A60" s="1" t="str">
        <f>VLOOKUP($C60,Concordance!$E$2:$F$63,2,)</f>
        <v>Other</v>
      </c>
      <c r="B60" s="1" t="str">
        <f>INDEX(Concordance!$H$2:$H$83,MATCH($C60,Concordance!$I$2:$I$83,0))</f>
        <v>aosrv</v>
      </c>
      <c r="C60" s="1" t="s">
        <v>125</v>
      </c>
      <c r="D60" s="2">
        <f>QLFS_NT!C60/1000*VLOOKUP(Calc!$A60,'Employment Comparison'!$B$2:$F$10,COLUMNS('Employment Comparison'!$B$2:$F$2),)</f>
        <v>5.7056566326365843</v>
      </c>
      <c r="E60" s="2">
        <f>QLFS_NT!D60/1000*VLOOKUP(Calc!$A60,'Employment Comparison'!$B$2:$F$10,COLUMNS('Employment Comparison'!$B$2:$F$2),)</f>
        <v>5.4393148407839194</v>
      </c>
      <c r="F60" s="2">
        <f>QLFS_NT!E60/1000*VLOOKUP(Calc!$A60,'Employment Comparison'!$B$2:$F$10,COLUMNS('Employment Comparison'!$B$2:$F$2),)</f>
        <v>11.367807235528311</v>
      </c>
      <c r="G60" s="2">
        <f>QLFS_NT!F60/1000*VLOOKUP(Calc!$A60,'Employment Comparison'!$B$2:$F$10,COLUMNS('Employment Comparison'!$B$2:$F$2),)</f>
        <v>10.882874172274654</v>
      </c>
      <c r="H60" s="13">
        <f t="shared" si="7"/>
        <v>33.395652881223469</v>
      </c>
    </row>
    <row r="61" spans="1:54" x14ac:dyDescent="0.25">
      <c r="A61" s="1" t="str">
        <f>VLOOKUP($C61,Concordance!$E$2:$F$63,2,)</f>
        <v>Other</v>
      </c>
      <c r="B61" s="1" t="str">
        <f>INDEX(Concordance!$H$2:$H$83,MATCH($C61,Concordance!$I$2:$I$83,0))</f>
        <v>aosrv</v>
      </c>
      <c r="C61" s="1" t="s">
        <v>126</v>
      </c>
      <c r="D61" s="2">
        <f>QLFS_NT!C61/1000*VLOOKUP(Calc!$A61,'Employment Comparison'!$B$2:$F$10,COLUMNS('Employment Comparison'!$B$2:$F$2),)</f>
        <v>3.5972058740260411</v>
      </c>
      <c r="E61" s="2">
        <f>QLFS_NT!D61/1000*VLOOKUP(Calc!$A61,'Employment Comparison'!$B$2:$F$10,COLUMNS('Employment Comparison'!$B$2:$F$2),)</f>
        <v>7.114827547299293</v>
      </c>
      <c r="F61" s="2">
        <f>QLFS_NT!E61/1000*VLOOKUP(Calc!$A61,'Employment Comparison'!$B$2:$F$10,COLUMNS('Employment Comparison'!$B$2:$F$2),)</f>
        <v>13.103803934615804</v>
      </c>
      <c r="G61" s="2">
        <f>QLFS_NT!F61/1000*VLOOKUP(Calc!$A61,'Employment Comparison'!$B$2:$F$10,COLUMNS('Employment Comparison'!$B$2:$F$2),)</f>
        <v>54.015388734932621</v>
      </c>
      <c r="H61" s="13">
        <f t="shared" si="7"/>
        <v>77.831226090873756</v>
      </c>
    </row>
    <row r="62" spans="1:54" x14ac:dyDescent="0.25">
      <c r="A62" s="1" t="str">
        <f>VLOOKUP($C62,Concordance!$E$2:$F$63,2,)</f>
        <v>Other</v>
      </c>
      <c r="B62" s="1" t="str">
        <f>INDEX(Concordance!$H$2:$H$83,MATCH($C62,Concordance!$I$2:$I$83,0))</f>
        <v>aosrv</v>
      </c>
      <c r="C62" s="1" t="s">
        <v>127</v>
      </c>
      <c r="D62" s="2">
        <f>QLFS_NT!C62/1000*VLOOKUP(Calc!$A62,'Employment Comparison'!$B$2:$F$10,COLUMNS('Employment Comparison'!$B$2:$F$2),)</f>
        <v>7.779090342915902</v>
      </c>
      <c r="E62" s="2">
        <f>QLFS_NT!D62/1000*VLOOKUP(Calc!$A62,'Employment Comparison'!$B$2:$F$10,COLUMNS('Employment Comparison'!$B$2:$F$2),)</f>
        <v>12.031008908468214</v>
      </c>
      <c r="F62" s="2">
        <f>QLFS_NT!E62/1000*VLOOKUP(Calc!$A62,'Employment Comparison'!$B$2:$F$10,COLUMNS('Employment Comparison'!$B$2:$F$2),)</f>
        <v>41.499446763210749</v>
      </c>
      <c r="G62" s="2">
        <f>QLFS_NT!F62/1000*VLOOKUP(Calc!$A62,'Employment Comparison'!$B$2:$F$10,COLUMNS('Employment Comparison'!$B$2:$F$2),)</f>
        <v>78.986788685804243</v>
      </c>
      <c r="H62" s="13">
        <f t="shared" si="7"/>
        <v>140.29633470039911</v>
      </c>
    </row>
    <row r="63" spans="1:54" x14ac:dyDescent="0.25">
      <c r="A63" s="1" t="str">
        <f>VLOOKUP($C63,Concordance!$E$2:$F$63,2,)</f>
        <v>Other</v>
      </c>
      <c r="B63" s="1" t="str">
        <f>INDEX(Concordance!$H$2:$H$83,MATCH($C63,Concordance!$I$2:$I$83,0))</f>
        <v>aosrv</v>
      </c>
      <c r="C63" s="1" t="s">
        <v>128</v>
      </c>
      <c r="D63" s="2">
        <f>QLFS_NT!C63/1000*VLOOKUP(Calc!$A63,'Employment Comparison'!$B$2:$F$10,COLUMNS('Employment Comparison'!$B$2:$F$2),)</f>
        <v>42.00241891196837</v>
      </c>
      <c r="E63" s="2">
        <f>QLFS_NT!D63/1000*VLOOKUP(Calc!$A63,'Employment Comparison'!$B$2:$F$10,COLUMNS('Employment Comparison'!$B$2:$F$2),)</f>
        <v>74.996967421397798</v>
      </c>
      <c r="F63" s="2">
        <f>QLFS_NT!E63/1000*VLOOKUP(Calc!$A63,'Employment Comparison'!$B$2:$F$10,COLUMNS('Employment Comparison'!$B$2:$F$2),)</f>
        <v>111.84233012458546</v>
      </c>
      <c r="G63" s="2">
        <f>QLFS_NT!F63/1000*VLOOKUP(Calc!$A63,'Employment Comparison'!$B$2:$F$10,COLUMNS('Employment Comparison'!$B$2:$F$2),)</f>
        <v>67.031119487382014</v>
      </c>
      <c r="H63" s="13">
        <f t="shared" si="7"/>
        <v>295.87283594533363</v>
      </c>
    </row>
    <row r="64" spans="1:54" x14ac:dyDescent="0.25">
      <c r="A64" s="1" t="str">
        <f>VLOOKUP($C64,Concordance!$E$2:$F$63,2,)</f>
        <v>Other</v>
      </c>
      <c r="B64" s="1" t="str">
        <f>INDEX(Concordance!$H$2:$H$83,MATCH($C64,Concordance!$I$2:$I$83,0))</f>
        <v>aosrv</v>
      </c>
      <c r="C64" s="1" t="s">
        <v>129</v>
      </c>
      <c r="D64" s="2">
        <f>QLFS_NT!C64/1000*VLOOKUP(Calc!$A64,'Employment Comparison'!$B$2:$F$10,COLUMNS('Employment Comparison'!$B$2:$F$2),)</f>
        <v>388.38363314572842</v>
      </c>
      <c r="E64" s="2">
        <f>QLFS_NT!D64/1000*VLOOKUP(Calc!$A64,'Employment Comparison'!$B$2:$F$10,COLUMNS('Employment Comparison'!$B$2:$F$2),)</f>
        <v>414.68780317854004</v>
      </c>
      <c r="F64" s="2">
        <f>QLFS_NT!E64/1000*VLOOKUP(Calc!$A64,'Employment Comparison'!$B$2:$F$10,COLUMNS('Employment Comparison'!$B$2:$F$2),)</f>
        <v>307.14726438531198</v>
      </c>
      <c r="G64" s="2">
        <f>QLFS_NT!F64/1000*VLOOKUP(Calc!$A64,'Employment Comparison'!$B$2:$F$10,COLUMNS('Employment Comparison'!$B$2:$F$2),)</f>
        <v>98.020146137841138</v>
      </c>
      <c r="H64" s="13">
        <f t="shared" si="7"/>
        <v>1208.2388468474214</v>
      </c>
    </row>
    <row r="65" spans="3:8" x14ac:dyDescent="0.25">
      <c r="C65" s="11" t="s">
        <v>88</v>
      </c>
      <c r="D65" s="14">
        <f>SUM(D3:D64)</f>
        <v>1860.624146472592</v>
      </c>
      <c r="E65" s="14">
        <f t="shared" ref="E65:H65" si="66">SUM(E3:E64)</f>
        <v>2630.1915638597097</v>
      </c>
      <c r="F65" s="14">
        <f t="shared" si="66"/>
        <v>4503.5522098403098</v>
      </c>
      <c r="G65" s="14">
        <f t="shared" si="66"/>
        <v>5430.3969433195653</v>
      </c>
      <c r="H65" s="15">
        <f t="shared" si="66"/>
        <v>14424.764863492173</v>
      </c>
    </row>
  </sheetData>
  <conditionalFormatting sqref="AO3:AQ49">
    <cfRule type="cellIs" dxfId="0" priority="1" operator="lessThan">
      <formula>0</formula>
    </cfRule>
  </conditionalFormatting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247A59A9-13A2-436C-9C7F-9165FEB1EE87}">
          <x14:colorSeries theme="5" tint="-0.249977111117893"/>
          <x14:colorNegative theme="6"/>
          <x14:colorAxis rgb="FF000000"/>
          <x14:colorMarkers theme="6" tint="-0.249977111117893"/>
          <x14:colorFirst theme="6" tint="-0.249977111117893"/>
          <x14:colorLast theme="6" tint="-0.249977111117893"/>
          <x14:colorHigh theme="6" tint="-0.249977111117893"/>
          <x14:colorLow theme="6" tint="-0.249977111117893"/>
          <x14:sparklines>
            <x14:sparkline>
              <xm:f>Calc!AF3:AI3</xm:f>
              <xm:sqref>AL3</xm:sqref>
            </x14:sparkline>
            <x14:sparkline>
              <xm:f>Calc!AF4:AI4</xm:f>
              <xm:sqref>AL4</xm:sqref>
            </x14:sparkline>
            <x14:sparkline>
              <xm:f>Calc!AF5:AI5</xm:f>
              <xm:sqref>AL5</xm:sqref>
            </x14:sparkline>
            <x14:sparkline>
              <xm:f>Calc!AF6:AI6</xm:f>
              <xm:sqref>AL6</xm:sqref>
            </x14:sparkline>
            <x14:sparkline>
              <xm:f>Calc!AF7:AI7</xm:f>
              <xm:sqref>AL7</xm:sqref>
            </x14:sparkline>
            <x14:sparkline>
              <xm:f>Calc!AF8:AI8</xm:f>
              <xm:sqref>AL8</xm:sqref>
            </x14:sparkline>
            <x14:sparkline>
              <xm:f>Calc!AF9:AI9</xm:f>
              <xm:sqref>AL9</xm:sqref>
            </x14:sparkline>
            <x14:sparkline>
              <xm:f>Calc!AF10:AI10</xm:f>
              <xm:sqref>AL10</xm:sqref>
            </x14:sparkline>
            <x14:sparkline>
              <xm:f>Calc!AF11:AI11</xm:f>
              <xm:sqref>AL11</xm:sqref>
            </x14:sparkline>
            <x14:sparkline>
              <xm:f>Calc!AF12:AI12</xm:f>
              <xm:sqref>AL12</xm:sqref>
            </x14:sparkline>
            <x14:sparkline>
              <xm:f>Calc!AF13:AI13</xm:f>
              <xm:sqref>AL13</xm:sqref>
            </x14:sparkline>
            <x14:sparkline>
              <xm:f>Calc!AF14:AI14</xm:f>
              <xm:sqref>AL14</xm:sqref>
            </x14:sparkline>
            <x14:sparkline>
              <xm:f>Calc!AF15:AI15</xm:f>
              <xm:sqref>AL15</xm:sqref>
            </x14:sparkline>
            <x14:sparkline>
              <xm:f>Calc!AF16:AI16</xm:f>
              <xm:sqref>AL16</xm:sqref>
            </x14:sparkline>
            <x14:sparkline>
              <xm:f>Calc!AF17:AI17</xm:f>
              <xm:sqref>AL17</xm:sqref>
            </x14:sparkline>
            <x14:sparkline>
              <xm:f>Calc!AF18:AI18</xm:f>
              <xm:sqref>AL18</xm:sqref>
            </x14:sparkline>
            <x14:sparkline>
              <xm:f>Calc!AF19:AI19</xm:f>
              <xm:sqref>AL19</xm:sqref>
            </x14:sparkline>
            <x14:sparkline>
              <xm:f>Calc!AF20:AI20</xm:f>
              <xm:sqref>AL20</xm:sqref>
            </x14:sparkline>
            <x14:sparkline>
              <xm:f>Calc!AF21:AI21</xm:f>
              <xm:sqref>AL21</xm:sqref>
            </x14:sparkline>
            <x14:sparkline>
              <xm:f>Calc!AF22:AI22</xm:f>
              <xm:sqref>AL22</xm:sqref>
            </x14:sparkline>
            <x14:sparkline>
              <xm:f>Calc!AF23:AI23</xm:f>
              <xm:sqref>AL23</xm:sqref>
            </x14:sparkline>
            <x14:sparkline>
              <xm:f>Calc!AF24:AI24</xm:f>
              <xm:sqref>AL24</xm:sqref>
            </x14:sparkline>
            <x14:sparkline>
              <xm:f>Calc!AF25:AI25</xm:f>
              <xm:sqref>AL25</xm:sqref>
            </x14:sparkline>
            <x14:sparkline>
              <xm:f>Calc!AF26:AI26</xm:f>
              <xm:sqref>AL26</xm:sqref>
            </x14:sparkline>
            <x14:sparkline>
              <xm:f>Calc!AF27:AI27</xm:f>
              <xm:sqref>AL27</xm:sqref>
            </x14:sparkline>
            <x14:sparkline>
              <xm:f>Calc!AF28:AI28</xm:f>
              <xm:sqref>AL28</xm:sqref>
            </x14:sparkline>
            <x14:sparkline>
              <xm:f>Calc!AF29:AI29</xm:f>
              <xm:sqref>AL29</xm:sqref>
            </x14:sparkline>
            <x14:sparkline>
              <xm:f>Calc!AF30:AI30</xm:f>
              <xm:sqref>AL30</xm:sqref>
            </x14:sparkline>
            <x14:sparkline>
              <xm:f>Calc!AF31:AI31</xm:f>
              <xm:sqref>AL31</xm:sqref>
            </x14:sparkline>
            <x14:sparkline>
              <xm:f>Calc!AF32:AI32</xm:f>
              <xm:sqref>AL32</xm:sqref>
            </x14:sparkline>
            <x14:sparkline>
              <xm:f>Calc!AF33:AI33</xm:f>
              <xm:sqref>AL33</xm:sqref>
            </x14:sparkline>
            <x14:sparkline>
              <xm:f>Calc!AF34:AI34</xm:f>
              <xm:sqref>AL34</xm:sqref>
            </x14:sparkline>
            <x14:sparkline>
              <xm:f>Calc!AF35:AI35</xm:f>
              <xm:sqref>AL35</xm:sqref>
            </x14:sparkline>
            <x14:sparkline>
              <xm:f>Calc!AF36:AI36</xm:f>
              <xm:sqref>AL36</xm:sqref>
            </x14:sparkline>
            <x14:sparkline>
              <xm:f>Calc!AF37:AI37</xm:f>
              <xm:sqref>AL37</xm:sqref>
            </x14:sparkline>
            <x14:sparkline>
              <xm:f>Calc!AF38:AI38</xm:f>
              <xm:sqref>AL38</xm:sqref>
            </x14:sparkline>
            <x14:sparkline>
              <xm:f>Calc!AF39:AI39</xm:f>
              <xm:sqref>AL39</xm:sqref>
            </x14:sparkline>
            <x14:sparkline>
              <xm:f>Calc!AF40:AI40</xm:f>
              <xm:sqref>AL40</xm:sqref>
            </x14:sparkline>
            <x14:sparkline>
              <xm:f>Calc!AF41:AI41</xm:f>
              <xm:sqref>AL41</xm:sqref>
            </x14:sparkline>
            <x14:sparkline>
              <xm:f>Calc!AF42:AI42</xm:f>
              <xm:sqref>AL42</xm:sqref>
            </x14:sparkline>
            <x14:sparkline>
              <xm:f>Calc!AF43:AI43</xm:f>
              <xm:sqref>AL43</xm:sqref>
            </x14:sparkline>
            <x14:sparkline>
              <xm:f>Calc!AF44:AI44</xm:f>
              <xm:sqref>AL44</xm:sqref>
            </x14:sparkline>
            <x14:sparkline>
              <xm:f>Calc!AF45:AI45</xm:f>
              <xm:sqref>AL45</xm:sqref>
            </x14:sparkline>
            <x14:sparkline>
              <xm:f>Calc!AF46:AI46</xm:f>
              <xm:sqref>AL46</xm:sqref>
            </x14:sparkline>
            <x14:sparkline>
              <xm:f>Calc!AF47:AI47</xm:f>
              <xm:sqref>AL47</xm:sqref>
            </x14:sparkline>
            <x14:sparkline>
              <xm:f>Calc!AF48:AI48</xm:f>
              <xm:sqref>AL48</xm:sqref>
            </x14:sparkline>
            <x14:sparkline>
              <xm:f>Calc!AF49:AI49</xm:f>
              <xm:sqref>AL49</xm:sqref>
            </x14:sparkline>
          </x14:sparklines>
        </x14:sparklineGroup>
        <x14:sparklineGroup displayEmptyCellsAs="gap" xr2:uid="{600C1DC1-D5C9-4AE8-92D0-41DD568E40A4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Calc!X4:AA4</xm:f>
              <xm:sqref>AD4</xm:sqref>
            </x14:sparkline>
            <x14:sparkline>
              <xm:f>Calc!X5:AA5</xm:f>
              <xm:sqref>AD5</xm:sqref>
            </x14:sparkline>
            <x14:sparkline>
              <xm:f>Calc!X6:AA6</xm:f>
              <xm:sqref>AD6</xm:sqref>
            </x14:sparkline>
            <x14:sparkline>
              <xm:f>Calc!X7:AA7</xm:f>
              <xm:sqref>AD7</xm:sqref>
            </x14:sparkline>
            <x14:sparkline>
              <xm:f>Calc!X8:AA8</xm:f>
              <xm:sqref>AD8</xm:sqref>
            </x14:sparkline>
            <x14:sparkline>
              <xm:f>Calc!X9:AA9</xm:f>
              <xm:sqref>AD9</xm:sqref>
            </x14:sparkline>
            <x14:sparkline>
              <xm:f>Calc!X10:AA10</xm:f>
              <xm:sqref>AD10</xm:sqref>
            </x14:sparkline>
            <x14:sparkline>
              <xm:f>Calc!X11:AA11</xm:f>
              <xm:sqref>AD11</xm:sqref>
            </x14:sparkline>
            <x14:sparkline>
              <xm:f>Calc!X12:AA12</xm:f>
              <xm:sqref>AD12</xm:sqref>
            </x14:sparkline>
            <x14:sparkline>
              <xm:f>Calc!X13:AA13</xm:f>
              <xm:sqref>AD13</xm:sqref>
            </x14:sparkline>
            <x14:sparkline>
              <xm:f>Calc!X14:AA14</xm:f>
              <xm:sqref>AD14</xm:sqref>
            </x14:sparkline>
            <x14:sparkline>
              <xm:f>Calc!X15:AA15</xm:f>
              <xm:sqref>AD15</xm:sqref>
            </x14:sparkline>
            <x14:sparkline>
              <xm:f>Calc!X16:AA16</xm:f>
              <xm:sqref>AD16</xm:sqref>
            </x14:sparkline>
            <x14:sparkline>
              <xm:f>Calc!X17:AA17</xm:f>
              <xm:sqref>AD17</xm:sqref>
            </x14:sparkline>
            <x14:sparkline>
              <xm:f>Calc!X18:AA18</xm:f>
              <xm:sqref>AD18</xm:sqref>
            </x14:sparkline>
            <x14:sparkline>
              <xm:f>Calc!X19:AA19</xm:f>
              <xm:sqref>AD19</xm:sqref>
            </x14:sparkline>
            <x14:sparkline>
              <xm:f>Calc!X20:AA20</xm:f>
              <xm:sqref>AD20</xm:sqref>
            </x14:sparkline>
            <x14:sparkline>
              <xm:f>Calc!X21:AA21</xm:f>
              <xm:sqref>AD21</xm:sqref>
            </x14:sparkline>
            <x14:sparkline>
              <xm:f>Calc!X22:AA22</xm:f>
              <xm:sqref>AD22</xm:sqref>
            </x14:sparkline>
            <x14:sparkline>
              <xm:f>Calc!X23:AA23</xm:f>
              <xm:sqref>AD23</xm:sqref>
            </x14:sparkline>
            <x14:sparkline>
              <xm:f>Calc!X24:AA24</xm:f>
              <xm:sqref>AD24</xm:sqref>
            </x14:sparkline>
            <x14:sparkline>
              <xm:f>Calc!X25:AA25</xm:f>
              <xm:sqref>AD25</xm:sqref>
            </x14:sparkline>
            <x14:sparkline>
              <xm:f>Calc!X26:AA26</xm:f>
              <xm:sqref>AD26</xm:sqref>
            </x14:sparkline>
            <x14:sparkline>
              <xm:f>Calc!X27:AA27</xm:f>
              <xm:sqref>AD27</xm:sqref>
            </x14:sparkline>
            <x14:sparkline>
              <xm:f>Calc!X28:AA28</xm:f>
              <xm:sqref>AD28</xm:sqref>
            </x14:sparkline>
            <x14:sparkline>
              <xm:f>Calc!X29:AA29</xm:f>
              <xm:sqref>AD29</xm:sqref>
            </x14:sparkline>
            <x14:sparkline>
              <xm:f>Calc!X30:AA30</xm:f>
              <xm:sqref>AD30</xm:sqref>
            </x14:sparkline>
            <x14:sparkline>
              <xm:f>Calc!X31:AA31</xm:f>
              <xm:sqref>AD31</xm:sqref>
            </x14:sparkline>
            <x14:sparkline>
              <xm:f>Calc!X32:AA32</xm:f>
              <xm:sqref>AD32</xm:sqref>
            </x14:sparkline>
            <x14:sparkline>
              <xm:f>Calc!X33:AA33</xm:f>
              <xm:sqref>AD33</xm:sqref>
            </x14:sparkline>
            <x14:sparkline>
              <xm:f>Calc!X34:AA34</xm:f>
              <xm:sqref>AD34</xm:sqref>
            </x14:sparkline>
            <x14:sparkline>
              <xm:f>Calc!X35:AA35</xm:f>
              <xm:sqref>AD35</xm:sqref>
            </x14:sparkline>
            <x14:sparkline>
              <xm:f>Calc!X36:AA36</xm:f>
              <xm:sqref>AD36</xm:sqref>
            </x14:sparkline>
            <x14:sparkline>
              <xm:f>Calc!X37:AA37</xm:f>
              <xm:sqref>AD37</xm:sqref>
            </x14:sparkline>
            <x14:sparkline>
              <xm:f>Calc!X38:AA38</xm:f>
              <xm:sqref>AD38</xm:sqref>
            </x14:sparkline>
            <x14:sparkline>
              <xm:f>Calc!X39:AA39</xm:f>
              <xm:sqref>AD39</xm:sqref>
            </x14:sparkline>
            <x14:sparkline>
              <xm:f>Calc!X40:AA40</xm:f>
              <xm:sqref>AD40</xm:sqref>
            </x14:sparkline>
            <x14:sparkline>
              <xm:f>Calc!X41:AA41</xm:f>
              <xm:sqref>AD41</xm:sqref>
            </x14:sparkline>
            <x14:sparkline>
              <xm:f>Calc!X42:AA42</xm:f>
              <xm:sqref>AD42</xm:sqref>
            </x14:sparkline>
            <x14:sparkline>
              <xm:f>Calc!X43:AA43</xm:f>
              <xm:sqref>AD43</xm:sqref>
            </x14:sparkline>
            <x14:sparkline>
              <xm:f>Calc!X44:AA44</xm:f>
              <xm:sqref>AD44</xm:sqref>
            </x14:sparkline>
            <x14:sparkline>
              <xm:f>Calc!X45:AA45</xm:f>
              <xm:sqref>AD45</xm:sqref>
            </x14:sparkline>
            <x14:sparkline>
              <xm:f>Calc!X46:AA46</xm:f>
              <xm:sqref>AD46</xm:sqref>
            </x14:sparkline>
            <x14:sparkline>
              <xm:f>Calc!X47:AA47</xm:f>
              <xm:sqref>AD47</xm:sqref>
            </x14:sparkline>
            <x14:sparkline>
              <xm:f>Calc!X48:AA48</xm:f>
              <xm:sqref>AD48</xm:sqref>
            </x14:sparkline>
            <x14:sparkline>
              <xm:f>Calc!X49:AA49</xm:f>
              <xm:sqref>AD49</xm:sqref>
            </x14:sparkline>
          </x14:sparklines>
        </x14:sparklineGroup>
        <x14:sparklineGroup displayEmptyCellsAs="gap" xr2:uid="{C63EEC84-9E01-4BFA-9356-71138911952D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Calc!X3:AA3</xm:f>
              <xm:sqref>AD3</xm:sqref>
            </x14:sparkline>
          </x14:sparklines>
        </x14:sparklineGroup>
      </x14:sparklineGroup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CE80F-00B1-4354-8CB5-ECA4AA6541CE}">
  <dimension ref="A1:Z72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P38" sqref="P38"/>
    </sheetView>
  </sheetViews>
  <sheetFormatPr defaultRowHeight="12" x14ac:dyDescent="0.25"/>
  <cols>
    <col min="1" max="2" width="9.140625" style="1"/>
    <col min="3" max="6" width="9.5703125" style="1" bestFit="1" customWidth="1"/>
    <col min="7" max="13" width="9.140625" style="1"/>
    <col min="14" max="14" width="12" style="1" bestFit="1" customWidth="1"/>
    <col min="15" max="16384" width="9.140625" style="1"/>
  </cols>
  <sheetData>
    <row r="1" spans="1:26" x14ac:dyDescent="0.25">
      <c r="B1" s="1" t="s">
        <v>138</v>
      </c>
      <c r="H1" s="1" t="s">
        <v>139</v>
      </c>
      <c r="N1" s="1" t="s">
        <v>85</v>
      </c>
      <c r="R1" s="2">
        <f>SUM(O3:R69)</f>
        <v>14427.674753310368</v>
      </c>
    </row>
    <row r="2" spans="1:26" x14ac:dyDescent="0.25">
      <c r="C2" s="1" t="s">
        <v>0</v>
      </c>
      <c r="D2" s="1" t="s">
        <v>1</v>
      </c>
      <c r="E2" s="1" t="s">
        <v>2</v>
      </c>
      <c r="F2" s="1" t="s">
        <v>3</v>
      </c>
      <c r="I2" s="1" t="s">
        <v>0</v>
      </c>
      <c r="J2" s="1" t="s">
        <v>1</v>
      </c>
      <c r="K2" s="1" t="s">
        <v>2</v>
      </c>
      <c r="L2" s="1" t="s">
        <v>3</v>
      </c>
      <c r="O2" s="1" t="s">
        <v>0</v>
      </c>
      <c r="P2" s="1" t="s">
        <v>1</v>
      </c>
      <c r="Q2" s="1" t="s">
        <v>2</v>
      </c>
      <c r="R2" s="1" t="s">
        <v>3</v>
      </c>
    </row>
    <row r="3" spans="1:26" x14ac:dyDescent="0.25">
      <c r="A3" s="1" t="s">
        <v>4</v>
      </c>
      <c r="B3" s="1" t="s">
        <v>4</v>
      </c>
      <c r="C3" s="2">
        <f>VLOOKUP($A3,Calc!$K$3:$AI$49,COLUMNS(Calc!$K$8:AF$8),)</f>
        <v>15130.458079384229</v>
      </c>
      <c r="D3" s="2">
        <f>VLOOKUP($A3,Calc!$K$3:$AI$49,COLUMNS(Calc!$K$8:AG$8),)</f>
        <v>20447.194100988632</v>
      </c>
      <c r="E3" s="2">
        <f>VLOOKUP($A3,Calc!$K$3:$AI$49,COLUMNS(Calc!$K$8:AH$8),)</f>
        <v>31379.453910173139</v>
      </c>
      <c r="F3" s="2">
        <f>VLOOKUP($A3,Calc!$K$3:$AI$49,COLUMNS(Calc!$K$8:AI$8),)</f>
        <v>93887.039279241551</v>
      </c>
      <c r="H3" s="1" t="s">
        <v>4</v>
      </c>
      <c r="I3" s="2">
        <f>'2012 SAM'!C4</f>
        <v>4182.3922687332633</v>
      </c>
      <c r="J3" s="2">
        <f>'2012 SAM'!D4</f>
        <v>3702.3097164001706</v>
      </c>
      <c r="K3" s="2">
        <f>'2012 SAM'!E4</f>
        <v>3692.7111299787157</v>
      </c>
      <c r="L3" s="2">
        <f>'2012 SAM'!F4</f>
        <v>6613.147433896409</v>
      </c>
      <c r="N3" s="1" t="s">
        <v>4</v>
      </c>
      <c r="O3" s="2">
        <f>I3/(C3/1000)</f>
        <v>276.42205191605649</v>
      </c>
      <c r="P3" s="2">
        <f t="shared" ref="P3:R3" si="0">J3/(D3/1000)</f>
        <v>181.06688370611997</v>
      </c>
      <c r="Q3" s="2">
        <f t="shared" si="0"/>
        <v>117.67926683968034</v>
      </c>
      <c r="R3" s="2">
        <f t="shared" si="0"/>
        <v>70.437277441749913</v>
      </c>
      <c r="S3" s="2"/>
      <c r="V3" s="2"/>
      <c r="W3" s="2"/>
      <c r="X3" s="2"/>
      <c r="Y3" s="2"/>
      <c r="Z3" s="2"/>
    </row>
    <row r="4" spans="1:26" x14ac:dyDescent="0.25">
      <c r="A4" s="1" t="s">
        <v>5</v>
      </c>
      <c r="B4" s="1" t="s">
        <v>5</v>
      </c>
      <c r="C4" s="2">
        <f>VLOOKUP($A4,Calc!$K$3:$AI$49,COLUMNS(Calc!$K$8:AF$8),)</f>
        <v>47759.703691149203</v>
      </c>
      <c r="D4" s="2">
        <f>VLOOKUP($A4,Calc!$K$3:$AI$49,COLUMNS(Calc!$K$8:AG$8),)</f>
        <v>48510.017273408208</v>
      </c>
      <c r="E4" s="2">
        <f>VLOOKUP($A4,Calc!$K$3:$AI$49,COLUMNS(Calc!$K$8:AH$8),)</f>
        <v>70092.962846013383</v>
      </c>
      <c r="F4" s="2">
        <f>VLOOKUP($A4,Calc!$K$3:$AI$49,COLUMNS(Calc!$K$8:AI$8),)</f>
        <v>205314.53530763838</v>
      </c>
      <c r="H4" s="1" t="s">
        <v>5</v>
      </c>
      <c r="I4" s="2">
        <f>'2012 SAM'!C5</f>
        <v>839.69621724456977</v>
      </c>
      <c r="J4" s="2">
        <f>'2012 SAM'!D5</f>
        <v>428.50230666911682</v>
      </c>
      <c r="K4" s="2">
        <f>'2012 SAM'!E5</f>
        <v>395.04181745474773</v>
      </c>
      <c r="L4" s="2">
        <f>'2012 SAM'!F5</f>
        <v>622.54480907649861</v>
      </c>
      <c r="N4" s="1" t="s">
        <v>5</v>
      </c>
      <c r="O4" s="2">
        <f t="shared" ref="O4:O67" si="1">I4/(C4/1000)</f>
        <v>17.581688166967872</v>
      </c>
      <c r="P4" s="2">
        <f t="shared" ref="P4:P67" si="2">J4/(D4/1000)</f>
        <v>8.833274666838955</v>
      </c>
      <c r="Q4" s="2">
        <f t="shared" ref="Q4:Q67" si="3">K4/(E4/1000)</f>
        <v>5.6359697381121077</v>
      </c>
      <c r="R4" s="2">
        <f t="shared" ref="R4:R67" si="4">L4/(F4/1000)</f>
        <v>3.0321516601038128</v>
      </c>
      <c r="S4" s="2"/>
      <c r="V4" s="2"/>
      <c r="W4" s="2"/>
      <c r="X4" s="2"/>
      <c r="Y4" s="2"/>
      <c r="Z4" s="2"/>
    </row>
    <row r="5" spans="1:26" x14ac:dyDescent="0.25">
      <c r="A5" s="1" t="s">
        <v>6</v>
      </c>
      <c r="B5" s="1" t="s">
        <v>6</v>
      </c>
      <c r="C5" s="2">
        <f>VLOOKUP($A5,Calc!$K$3:$AI$49,COLUMNS(Calc!$K$8:AF$8),)</f>
        <v>47759.703691149203</v>
      </c>
      <c r="D5" s="2">
        <f>VLOOKUP($A5,Calc!$K$3:$AI$49,COLUMNS(Calc!$K$8:AG$8),)</f>
        <v>48510.017273408208</v>
      </c>
      <c r="E5" s="2">
        <f>VLOOKUP($A5,Calc!$K$3:$AI$49,COLUMNS(Calc!$K$8:AH$8),)</f>
        <v>70092.962846013383</v>
      </c>
      <c r="F5" s="2">
        <f>VLOOKUP($A5,Calc!$K$3:$AI$49,COLUMNS(Calc!$K$8:AI$8),)</f>
        <v>205314.53530763838</v>
      </c>
      <c r="H5" s="1" t="s">
        <v>6</v>
      </c>
      <c r="I5" s="2">
        <f>'2012 SAM'!C6</f>
        <v>183.49647420921713</v>
      </c>
      <c r="J5" s="2">
        <f>'2012 SAM'!D6</f>
        <v>162.09716048085593</v>
      </c>
      <c r="K5" s="2">
        <f>'2012 SAM'!E6</f>
        <v>480.86899768882716</v>
      </c>
      <c r="L5" s="2">
        <f>'2012 SAM'!F6</f>
        <v>311.54285055090372</v>
      </c>
      <c r="N5" s="1" t="s">
        <v>6</v>
      </c>
      <c r="O5" s="2">
        <f t="shared" si="1"/>
        <v>3.8420773168076119</v>
      </c>
      <c r="P5" s="2">
        <f t="shared" si="2"/>
        <v>3.3415193313013498</v>
      </c>
      <c r="Q5" s="2">
        <f t="shared" si="3"/>
        <v>6.8604461584145628</v>
      </c>
      <c r="R5" s="2">
        <f t="shared" si="4"/>
        <v>1.5173930578470509</v>
      </c>
      <c r="S5" s="2"/>
      <c r="V5" s="2"/>
      <c r="W5" s="2"/>
      <c r="X5" s="2"/>
      <c r="Y5" s="2"/>
      <c r="Z5" s="2"/>
    </row>
    <row r="6" spans="1:26" x14ac:dyDescent="0.25">
      <c r="A6" s="1" t="s">
        <v>7</v>
      </c>
      <c r="B6" s="1" t="s">
        <v>7</v>
      </c>
      <c r="C6" s="2">
        <f>VLOOKUP($A6,Calc!$K$3:$AI$49,COLUMNS(Calc!$K$8:AF$8),)</f>
        <v>130103.58414586011</v>
      </c>
      <c r="D6" s="2">
        <f>VLOOKUP($A6,Calc!$K$3:$AI$49,COLUMNS(Calc!$K$8:AG$8),)</f>
        <v>131544.73930673685</v>
      </c>
      <c r="E6" s="2">
        <f>VLOOKUP($A6,Calc!$K$3:$AI$49,COLUMNS(Calc!$K$8:AH$8),)</f>
        <v>205106.57240339031</v>
      </c>
      <c r="F6" s="2">
        <f>VLOOKUP($A6,Calc!$K$3:$AI$49,COLUMNS(Calc!$K$8:AI$8),)</f>
        <v>360339.99129743408</v>
      </c>
      <c r="H6" s="1" t="s">
        <v>7</v>
      </c>
      <c r="I6" s="2">
        <f>'2012 SAM'!C7</f>
        <v>1231.3532734022197</v>
      </c>
      <c r="J6" s="2">
        <f>'2012 SAM'!D7</f>
        <v>1691.9171110177235</v>
      </c>
      <c r="K6" s="2">
        <f>'2012 SAM'!E7</f>
        <v>4393.0382686078292</v>
      </c>
      <c r="L6" s="2">
        <f>'2012 SAM'!F7</f>
        <v>10171.794272558243</v>
      </c>
      <c r="N6" s="1" t="s">
        <v>7</v>
      </c>
      <c r="O6" s="2">
        <f t="shared" si="1"/>
        <v>9.4644070068180461</v>
      </c>
      <c r="P6" s="2">
        <f t="shared" si="2"/>
        <v>12.861913900429727</v>
      </c>
      <c r="Q6" s="2">
        <f t="shared" si="3"/>
        <v>21.418320325532456</v>
      </c>
      <c r="R6" s="2">
        <f t="shared" si="4"/>
        <v>28.228324688397347</v>
      </c>
      <c r="S6" s="2"/>
      <c r="V6" s="2"/>
      <c r="W6" s="2"/>
      <c r="X6" s="2"/>
      <c r="Y6" s="2"/>
      <c r="Z6" s="2"/>
    </row>
    <row r="7" spans="1:26" x14ac:dyDescent="0.25">
      <c r="A7" s="1" t="s">
        <v>8</v>
      </c>
      <c r="B7" s="1" t="s">
        <v>8</v>
      </c>
      <c r="C7" s="2">
        <f>VLOOKUP($A7,Calc!$K$3:$AI$49,COLUMNS(Calc!$K$8:AF$8),)</f>
        <v>214120.69972792576</v>
      </c>
      <c r="D7" s="2">
        <f>VLOOKUP($A7,Calc!$K$3:$AI$49,COLUMNS(Calc!$K$8:AG$8),)</f>
        <v>246667.36790741305</v>
      </c>
      <c r="E7" s="2">
        <f>VLOOKUP($A7,Calc!$K$3:$AI$49,COLUMNS(Calc!$K$8:AH$8),)</f>
        <v>314502.50775937439</v>
      </c>
      <c r="F7" s="2">
        <f>VLOOKUP($A7,Calc!$K$3:$AI$49,COLUMNS(Calc!$K$8:AI$8),)</f>
        <v>474230.17608181777</v>
      </c>
      <c r="H7" s="1" t="s">
        <v>8</v>
      </c>
      <c r="I7" s="2">
        <f>'2012 SAM'!C8</f>
        <v>2307.1530276613476</v>
      </c>
      <c r="J7" s="2">
        <f>'2012 SAM'!D8</f>
        <v>4418.470454693299</v>
      </c>
      <c r="K7" s="2">
        <f>'2012 SAM'!E8</f>
        <v>11612.668366175927</v>
      </c>
      <c r="L7" s="2">
        <f>'2012 SAM'!F8</f>
        <v>13987.432478524532</v>
      </c>
      <c r="N7" s="1" t="s">
        <v>8</v>
      </c>
      <c r="O7" s="2">
        <f t="shared" si="1"/>
        <v>10.775011620048648</v>
      </c>
      <c r="P7" s="2">
        <f t="shared" si="2"/>
        <v>17.912667136221188</v>
      </c>
      <c r="Q7" s="2">
        <f t="shared" si="3"/>
        <v>36.92392931588568</v>
      </c>
      <c r="R7" s="2">
        <f t="shared" si="4"/>
        <v>29.495028330106337</v>
      </c>
      <c r="S7" s="2"/>
      <c r="V7" s="2"/>
      <c r="W7" s="2"/>
      <c r="X7" s="2"/>
      <c r="Y7" s="2"/>
      <c r="Z7" s="2"/>
    </row>
    <row r="8" spans="1:26" x14ac:dyDescent="0.25">
      <c r="A8" s="1" t="s">
        <v>9</v>
      </c>
      <c r="B8" s="1" t="s">
        <v>9</v>
      </c>
      <c r="C8" s="2">
        <f>VLOOKUP($A8,Calc!$K$3:$AI$49,COLUMNS(Calc!$K$8:AF$8),)</f>
        <v>204350.43659541456</v>
      </c>
      <c r="D8" s="2">
        <f>VLOOKUP($A8,Calc!$K$3:$AI$49,COLUMNS(Calc!$K$8:AG$8),)</f>
        <v>217083.00120392026</v>
      </c>
      <c r="E8" s="2">
        <f>VLOOKUP($A8,Calc!$K$3:$AI$49,COLUMNS(Calc!$K$8:AH$8),)</f>
        <v>272381.66378058126</v>
      </c>
      <c r="F8" s="2">
        <f>VLOOKUP($A8,Calc!$K$3:$AI$49,COLUMNS(Calc!$K$8:AI$8),)</f>
        <v>417865.73346141761</v>
      </c>
      <c r="H8" s="1" t="s">
        <v>9</v>
      </c>
      <c r="I8" s="2">
        <f>'2012 SAM'!C9</f>
        <v>4749.2565962723284</v>
      </c>
      <c r="J8" s="2">
        <f>'2012 SAM'!D9</f>
        <v>6241.3215269744433</v>
      </c>
      <c r="K8" s="2">
        <f>'2012 SAM'!E9</f>
        <v>13276.679677409393</v>
      </c>
      <c r="L8" s="2">
        <f>'2012 SAM'!F9</f>
        <v>22811.425238869211</v>
      </c>
      <c r="N8" s="1" t="s">
        <v>9</v>
      </c>
      <c r="O8" s="2">
        <f t="shared" si="1"/>
        <v>23.24074602138089</v>
      </c>
      <c r="P8" s="2">
        <f t="shared" si="2"/>
        <v>28.75085332504484</v>
      </c>
      <c r="Q8" s="2">
        <f t="shared" si="3"/>
        <v>48.742927453826347</v>
      </c>
      <c r="R8" s="2">
        <f t="shared" si="4"/>
        <v>54.59032270942464</v>
      </c>
      <c r="S8" s="2"/>
      <c r="V8" s="2"/>
      <c r="W8" s="2"/>
      <c r="X8" s="2"/>
      <c r="Y8" s="2"/>
      <c r="Z8" s="2"/>
    </row>
    <row r="9" spans="1:26" x14ac:dyDescent="0.25">
      <c r="A9" s="1" t="s">
        <v>10</v>
      </c>
      <c r="B9" s="1" t="s">
        <v>10</v>
      </c>
      <c r="C9" s="2">
        <f>VLOOKUP($A9,Calc!$K$3:$AI$49,COLUMNS(Calc!$K$8:AF$8),)</f>
        <v>78535.720303083435</v>
      </c>
      <c r="D9" s="2">
        <f>VLOOKUP($A9,Calc!$K$3:$AI$49,COLUMNS(Calc!$K$8:AG$8),)</f>
        <v>135235.96954378055</v>
      </c>
      <c r="E9" s="2">
        <f>VLOOKUP($A9,Calc!$K$3:$AI$49,COLUMNS(Calc!$K$8:AH$8),)</f>
        <v>159362.8157128233</v>
      </c>
      <c r="F9" s="2">
        <f>VLOOKUP($A9,Calc!$K$3:$AI$49,COLUMNS(Calc!$K$8:AI$8),)</f>
        <v>358257.66772000899</v>
      </c>
      <c r="H9" s="1" t="s">
        <v>10</v>
      </c>
      <c r="I9" s="2">
        <f>'2012 SAM'!C10</f>
        <v>306.13717855478433</v>
      </c>
      <c r="J9" s="2">
        <f>'2012 SAM'!D10</f>
        <v>1034.2745973326198</v>
      </c>
      <c r="K9" s="2">
        <f>'2012 SAM'!E10</f>
        <v>1951.0973676615495</v>
      </c>
      <c r="L9" s="2">
        <f>'2012 SAM'!F10</f>
        <v>8798.2284238039429</v>
      </c>
      <c r="N9" s="1" t="s">
        <v>10</v>
      </c>
      <c r="O9" s="2">
        <f t="shared" si="1"/>
        <v>3.8980629116705878</v>
      </c>
      <c r="P9" s="2">
        <f t="shared" si="2"/>
        <v>7.6479253324522469</v>
      </c>
      <c r="Q9" s="2">
        <f t="shared" si="3"/>
        <v>12.243115553238511</v>
      </c>
      <c r="R9" s="2">
        <f t="shared" si="4"/>
        <v>24.558381345462418</v>
      </c>
      <c r="S9" s="2"/>
      <c r="V9" s="2"/>
      <c r="W9" s="2"/>
      <c r="X9" s="2"/>
      <c r="Y9" s="2"/>
      <c r="Z9" s="2"/>
    </row>
    <row r="10" spans="1:26" x14ac:dyDescent="0.25">
      <c r="A10" s="1" t="s">
        <v>10</v>
      </c>
      <c r="B10" s="1" t="s">
        <v>11</v>
      </c>
      <c r="C10" s="2">
        <f>VLOOKUP($A10,Calc!$K$3:$AI$49,COLUMNS(Calc!$K$8:AF$8),)</f>
        <v>78535.720303083435</v>
      </c>
      <c r="D10" s="2">
        <f>VLOOKUP($A10,Calc!$K$3:$AI$49,COLUMNS(Calc!$K$8:AG$8),)</f>
        <v>135235.96954378055</v>
      </c>
      <c r="E10" s="2">
        <f>VLOOKUP($A10,Calc!$K$3:$AI$49,COLUMNS(Calc!$K$8:AH$8),)</f>
        <v>159362.8157128233</v>
      </c>
      <c r="F10" s="2">
        <f>VLOOKUP($A10,Calc!$K$3:$AI$49,COLUMNS(Calc!$K$8:AI$8),)</f>
        <v>358257.66772000899</v>
      </c>
      <c r="H10" s="1" t="s">
        <v>11</v>
      </c>
      <c r="I10" s="2">
        <f>'2012 SAM'!C11</f>
        <v>18.611113259501415</v>
      </c>
      <c r="J10" s="2">
        <f>'2012 SAM'!D11</f>
        <v>62.877046699304856</v>
      </c>
      <c r="K10" s="2">
        <f>'2012 SAM'!E11</f>
        <v>118.61380006599229</v>
      </c>
      <c r="L10" s="2">
        <f>'2012 SAM'!F11</f>
        <v>534.87402755649657</v>
      </c>
      <c r="N10" s="1" t="s">
        <v>11</v>
      </c>
      <c r="O10" s="2">
        <f t="shared" si="1"/>
        <v>0.23697641261425745</v>
      </c>
      <c r="P10" s="2">
        <f t="shared" si="2"/>
        <v>0.46494321674493105</v>
      </c>
      <c r="Q10" s="2">
        <f t="shared" si="3"/>
        <v>0.74430035347604551</v>
      </c>
      <c r="R10" s="2">
        <f t="shared" si="4"/>
        <v>1.492986963713836</v>
      </c>
      <c r="S10" s="2"/>
      <c r="V10" s="2"/>
      <c r="W10" s="2"/>
      <c r="X10" s="2"/>
      <c r="Y10" s="2"/>
      <c r="Z10" s="2"/>
    </row>
    <row r="11" spans="1:26" x14ac:dyDescent="0.25">
      <c r="A11" s="1" t="s">
        <v>10</v>
      </c>
      <c r="B11" s="1" t="s">
        <v>12</v>
      </c>
      <c r="C11" s="2">
        <f>VLOOKUP($A11,Calc!$K$3:$AI$49,COLUMNS(Calc!$K$8:AF$8),)</f>
        <v>78535.720303083435</v>
      </c>
      <c r="D11" s="2">
        <f>VLOOKUP($A11,Calc!$K$3:$AI$49,COLUMNS(Calc!$K$8:AG$8),)</f>
        <v>135235.96954378055</v>
      </c>
      <c r="E11" s="2">
        <f>VLOOKUP($A11,Calc!$K$3:$AI$49,COLUMNS(Calc!$K$8:AH$8),)</f>
        <v>159362.8157128233</v>
      </c>
      <c r="F11" s="2">
        <f>VLOOKUP($A11,Calc!$K$3:$AI$49,COLUMNS(Calc!$K$8:AI$8),)</f>
        <v>358257.66772000899</v>
      </c>
      <c r="H11" s="1" t="s">
        <v>12</v>
      </c>
      <c r="I11" s="2">
        <f>'2012 SAM'!C12</f>
        <v>11.453710404658416</v>
      </c>
      <c r="J11" s="2">
        <f>'2012 SAM'!D12</f>
        <v>38.69599168799612</v>
      </c>
      <c r="K11" s="2">
        <f>'2012 SAM'!E12</f>
        <v>72.997681385789619</v>
      </c>
      <c r="L11" s="2">
        <f>'2012 SAM'!F12</f>
        <v>329.17387204001778</v>
      </c>
      <c r="N11" s="1" t="s">
        <v>12</v>
      </c>
      <c r="O11" s="2">
        <f t="shared" si="1"/>
        <v>0.14584077615200436</v>
      </c>
      <c r="P11" s="2">
        <f t="shared" si="2"/>
        <v>0.28613683044930505</v>
      </c>
      <c r="Q11" s="2">
        <f t="shared" si="3"/>
        <v>0.45805968637836875</v>
      </c>
      <c r="R11" s="2">
        <f t="shared" si="4"/>
        <v>0.91881877681758028</v>
      </c>
      <c r="S11" s="2"/>
      <c r="V11" s="2"/>
      <c r="W11" s="2"/>
      <c r="X11" s="2"/>
      <c r="Y11" s="2"/>
      <c r="Z11" s="2"/>
    </row>
    <row r="12" spans="1:26" x14ac:dyDescent="0.25">
      <c r="A12" s="1" t="s">
        <v>10</v>
      </c>
      <c r="B12" s="1" t="s">
        <v>13</v>
      </c>
      <c r="C12" s="2">
        <f>VLOOKUP($A12,Calc!$K$3:$AI$49,COLUMNS(Calc!$K$8:AF$8),)</f>
        <v>78535.720303083435</v>
      </c>
      <c r="D12" s="2">
        <f>VLOOKUP($A12,Calc!$K$3:$AI$49,COLUMNS(Calc!$K$8:AG$8),)</f>
        <v>135235.96954378055</v>
      </c>
      <c r="E12" s="2">
        <f>VLOOKUP($A12,Calc!$K$3:$AI$49,COLUMNS(Calc!$K$8:AH$8),)</f>
        <v>159362.8157128233</v>
      </c>
      <c r="F12" s="2">
        <f>VLOOKUP($A12,Calc!$K$3:$AI$49,COLUMNS(Calc!$K$8:AI$8),)</f>
        <v>358257.66772000899</v>
      </c>
      <c r="H12" s="1" t="s">
        <v>13</v>
      </c>
      <c r="I12" s="2">
        <f>'2012 SAM'!C13</f>
        <v>4.8843753826604671E-8</v>
      </c>
      <c r="J12" s="2">
        <f>'2012 SAM'!D13</f>
        <v>1.6501704908796233E-7</v>
      </c>
      <c r="K12" s="2">
        <f>'2012 SAM'!E13</f>
        <v>3.1129482530571834E-7</v>
      </c>
      <c r="L12" s="2">
        <f>'2012 SAM'!F13</f>
        <v>1.4037449004764137E-6</v>
      </c>
      <c r="N12" s="1" t="s">
        <v>13</v>
      </c>
      <c r="O12" s="2">
        <f t="shared" si="1"/>
        <v>6.2193042399188373E-10</v>
      </c>
      <c r="P12" s="2">
        <f t="shared" si="2"/>
        <v>1.2202156692827245E-9</v>
      </c>
      <c r="Q12" s="2">
        <f t="shared" si="3"/>
        <v>1.953371769401221E-9</v>
      </c>
      <c r="R12" s="2">
        <f t="shared" si="4"/>
        <v>3.9182550073805812E-9</v>
      </c>
      <c r="S12" s="2"/>
      <c r="V12" s="2"/>
      <c r="W12" s="2"/>
      <c r="X12" s="2"/>
      <c r="Y12" s="2"/>
      <c r="Z12" s="2"/>
    </row>
    <row r="13" spans="1:26" x14ac:dyDescent="0.25">
      <c r="A13" s="1" t="s">
        <v>14</v>
      </c>
      <c r="B13" s="1" t="s">
        <v>14</v>
      </c>
      <c r="C13" s="2">
        <f>VLOOKUP($A13,Calc!$K$3:$AI$49,COLUMNS(Calc!$K$8:AF$8),)</f>
        <v>65494.606967208543</v>
      </c>
      <c r="D13" s="2">
        <f>VLOOKUP($A13,Calc!$K$3:$AI$49,COLUMNS(Calc!$K$8:AG$8),)</f>
        <v>68183.150908394222</v>
      </c>
      <c r="E13" s="2">
        <f>VLOOKUP($A13,Calc!$K$3:$AI$49,COLUMNS(Calc!$K$8:AH$8),)</f>
        <v>95187.129196503171</v>
      </c>
      <c r="F13" s="2">
        <f>VLOOKUP($A13,Calc!$K$3:$AI$49,COLUMNS(Calc!$K$8:AI$8),)</f>
        <v>263841.26726285357</v>
      </c>
      <c r="H13" s="1" t="s">
        <v>14</v>
      </c>
      <c r="I13" s="2">
        <f>'2012 SAM'!C14</f>
        <v>1661.4165310113679</v>
      </c>
      <c r="J13" s="2">
        <f>'2012 SAM'!D14</f>
        <v>4309.6019019980422</v>
      </c>
      <c r="K13" s="2">
        <f>'2012 SAM'!E14</f>
        <v>10160.505689394238</v>
      </c>
      <c r="L13" s="2">
        <f>'2012 SAM'!F14</f>
        <v>18954.629991051817</v>
      </c>
      <c r="N13" s="1" t="s">
        <v>14</v>
      </c>
      <c r="O13" s="2">
        <f t="shared" si="1"/>
        <v>25.367226523600582</v>
      </c>
      <c r="P13" s="2">
        <f t="shared" si="2"/>
        <v>63.206259091606086</v>
      </c>
      <c r="Q13" s="2">
        <f t="shared" si="3"/>
        <v>106.74243225067764</v>
      </c>
      <c r="R13" s="2">
        <f t="shared" si="4"/>
        <v>71.841036042963452</v>
      </c>
      <c r="S13" s="2"/>
      <c r="V13" s="2"/>
      <c r="W13" s="2"/>
      <c r="X13" s="2"/>
      <c r="Y13" s="2"/>
      <c r="Z13" s="2"/>
    </row>
    <row r="14" spans="1:26" x14ac:dyDescent="0.25">
      <c r="A14" s="1" t="s">
        <v>15</v>
      </c>
      <c r="B14" s="1" t="s">
        <v>15</v>
      </c>
      <c r="C14" s="2">
        <f>VLOOKUP($A14,Calc!$K$3:$AI$49,COLUMNS(Calc!$K$8:AF$8),)</f>
        <v>65494.606967208543</v>
      </c>
      <c r="D14" s="2">
        <f>VLOOKUP($A14,Calc!$K$3:$AI$49,COLUMNS(Calc!$K$8:AG$8),)</f>
        <v>68183.150908394222</v>
      </c>
      <c r="E14" s="2">
        <f>VLOOKUP($A14,Calc!$K$3:$AI$49,COLUMNS(Calc!$K$8:AH$8),)</f>
        <v>95187.129196503171</v>
      </c>
      <c r="F14" s="2">
        <f>VLOOKUP($A14,Calc!$K$3:$AI$49,COLUMNS(Calc!$K$8:AI$8),)</f>
        <v>263841.26726285357</v>
      </c>
      <c r="H14" s="1" t="s">
        <v>15</v>
      </c>
      <c r="I14" s="2">
        <f>'2012 SAM'!C15</f>
        <v>952.55202364129605</v>
      </c>
      <c r="J14" s="2">
        <f>'2012 SAM'!D15</f>
        <v>1008.2123666214064</v>
      </c>
      <c r="K14" s="2">
        <f>'2012 SAM'!E15</f>
        <v>2348.5742111963409</v>
      </c>
      <c r="L14" s="2">
        <f>'2012 SAM'!F15</f>
        <v>8562.0734642942462</v>
      </c>
      <c r="N14" s="1" t="s">
        <v>15</v>
      </c>
      <c r="O14" s="2">
        <f t="shared" si="1"/>
        <v>14.543976485242736</v>
      </c>
      <c r="P14" s="2">
        <f t="shared" si="2"/>
        <v>14.786825677445812</v>
      </c>
      <c r="Q14" s="2">
        <f t="shared" si="3"/>
        <v>24.673232936229986</v>
      </c>
      <c r="R14" s="2">
        <f t="shared" si="4"/>
        <v>32.451608321620988</v>
      </c>
      <c r="S14" s="2"/>
      <c r="V14" s="2"/>
      <c r="W14" s="2"/>
      <c r="X14" s="2"/>
      <c r="Y14" s="2"/>
      <c r="Z14" s="2"/>
    </row>
    <row r="15" spans="1:26" x14ac:dyDescent="0.25">
      <c r="A15" s="1" t="s">
        <v>16</v>
      </c>
      <c r="B15" s="1" t="s">
        <v>16</v>
      </c>
      <c r="C15" s="2">
        <f>VLOOKUP($A15,Calc!$K$3:$AI$49,COLUMNS(Calc!$K$8:AF$8),)</f>
        <v>17245.874001494445</v>
      </c>
      <c r="D15" s="2">
        <f>VLOOKUP($A15,Calc!$K$3:$AI$49,COLUMNS(Calc!$K$8:AG$8),)</f>
        <v>32775.925571978594</v>
      </c>
      <c r="E15" s="2">
        <f>VLOOKUP($A15,Calc!$K$3:$AI$49,COLUMNS(Calc!$K$8:AH$8),)</f>
        <v>34328.053822347305</v>
      </c>
      <c r="F15" s="2">
        <f>VLOOKUP($A15,Calc!$K$3:$AI$49,COLUMNS(Calc!$K$8:AI$8),)</f>
        <v>68209.470545438235</v>
      </c>
      <c r="H15" s="1" t="s">
        <v>16</v>
      </c>
      <c r="I15" s="2">
        <f>'2012 SAM'!C16</f>
        <v>124.10196885929525</v>
      </c>
      <c r="J15" s="2">
        <f>'2012 SAM'!D16</f>
        <v>444.69270330480032</v>
      </c>
      <c r="K15" s="2">
        <f>'2012 SAM'!E16</f>
        <v>1182.4007712573218</v>
      </c>
      <c r="L15" s="2">
        <f>'2012 SAM'!F16</f>
        <v>1689.1124171509116</v>
      </c>
      <c r="N15" s="1" t="s">
        <v>16</v>
      </c>
      <c r="O15" s="2">
        <f t="shared" si="1"/>
        <v>7.1960382436135832</v>
      </c>
      <c r="P15" s="2">
        <f t="shared" si="2"/>
        <v>13.56766271415338</v>
      </c>
      <c r="Q15" s="2">
        <f t="shared" si="3"/>
        <v>34.444153967376607</v>
      </c>
      <c r="R15" s="2">
        <f t="shared" si="4"/>
        <v>24.763605458947186</v>
      </c>
      <c r="S15" s="2"/>
      <c r="V15" s="2"/>
      <c r="W15" s="2"/>
      <c r="X15" s="2"/>
      <c r="Y15" s="2"/>
      <c r="Z15" s="2"/>
    </row>
    <row r="16" spans="1:26" x14ac:dyDescent="0.25">
      <c r="A16" s="1" t="s">
        <v>17</v>
      </c>
      <c r="B16" s="1" t="s">
        <v>17</v>
      </c>
      <c r="C16" s="2">
        <f>VLOOKUP($A16,Calc!$K$3:$AI$49,COLUMNS(Calc!$K$8:AF$8),)</f>
        <v>17245.874001494445</v>
      </c>
      <c r="D16" s="2">
        <f>VLOOKUP($A16,Calc!$K$3:$AI$49,COLUMNS(Calc!$K$8:AG$8),)</f>
        <v>32775.925571978594</v>
      </c>
      <c r="E16" s="2">
        <f>VLOOKUP($A16,Calc!$K$3:$AI$49,COLUMNS(Calc!$K$8:AH$8),)</f>
        <v>34328.053822347305</v>
      </c>
      <c r="F16" s="2">
        <f>VLOOKUP($A16,Calc!$K$3:$AI$49,COLUMNS(Calc!$K$8:AI$8),)</f>
        <v>68209.470545438235</v>
      </c>
      <c r="H16" s="1" t="s">
        <v>17</v>
      </c>
      <c r="I16" s="2">
        <f>'2012 SAM'!C17</f>
        <v>392.47823765892537</v>
      </c>
      <c r="J16" s="2">
        <f>'2012 SAM'!D17</f>
        <v>1023.7196780984783</v>
      </c>
      <c r="K16" s="2">
        <f>'2012 SAM'!E17</f>
        <v>1450.4096059772514</v>
      </c>
      <c r="L16" s="2">
        <f>'2012 SAM'!F17</f>
        <v>1953.0479458436789</v>
      </c>
      <c r="N16" s="1" t="s">
        <v>17</v>
      </c>
      <c r="O16" s="2">
        <f t="shared" si="1"/>
        <v>22.757805004542828</v>
      </c>
      <c r="P16" s="2">
        <f t="shared" si="2"/>
        <v>31.233890736367055</v>
      </c>
      <c r="Q16" s="2">
        <f t="shared" si="3"/>
        <v>42.25143707485816</v>
      </c>
      <c r="R16" s="2">
        <f t="shared" si="4"/>
        <v>28.633090540449832</v>
      </c>
      <c r="S16" s="2"/>
      <c r="V16" s="2"/>
      <c r="W16" s="2"/>
      <c r="X16" s="2"/>
      <c r="Y16" s="2"/>
      <c r="Z16" s="2"/>
    </row>
    <row r="17" spans="1:26" x14ac:dyDescent="0.25">
      <c r="A17" s="1" t="s">
        <v>18</v>
      </c>
      <c r="B17" s="1" t="s">
        <v>18</v>
      </c>
      <c r="C17" s="2">
        <f>VLOOKUP($A17,Calc!$K$3:$AI$49,COLUMNS(Calc!$K$8:AF$8),)</f>
        <v>17245.874001494445</v>
      </c>
      <c r="D17" s="2">
        <f>VLOOKUP($A17,Calc!$K$3:$AI$49,COLUMNS(Calc!$K$8:AG$8),)</f>
        <v>32775.925571978594</v>
      </c>
      <c r="E17" s="2">
        <f>VLOOKUP($A17,Calc!$K$3:$AI$49,COLUMNS(Calc!$K$8:AH$8),)</f>
        <v>34328.053822347305</v>
      </c>
      <c r="F17" s="2">
        <f>VLOOKUP($A17,Calc!$K$3:$AI$49,COLUMNS(Calc!$K$8:AI$8),)</f>
        <v>68209.470545438235</v>
      </c>
      <c r="H17" s="1" t="s">
        <v>18</v>
      </c>
      <c r="I17" s="2">
        <f>'2012 SAM'!C18</f>
        <v>1.8024676052505684</v>
      </c>
      <c r="J17" s="2">
        <f>'2012 SAM'!D18</f>
        <v>76.349346465609969</v>
      </c>
      <c r="K17" s="2">
        <f>'2012 SAM'!E18</f>
        <v>300.21555309415845</v>
      </c>
      <c r="L17" s="2">
        <f>'2012 SAM'!F18</f>
        <v>119.6562770862848</v>
      </c>
      <c r="N17" s="1" t="s">
        <v>18</v>
      </c>
      <c r="O17" s="2">
        <f t="shared" si="1"/>
        <v>0.10451587464308129</v>
      </c>
      <c r="P17" s="2">
        <f t="shared" si="2"/>
        <v>2.3294337271403855</v>
      </c>
      <c r="Q17" s="2">
        <f t="shared" si="3"/>
        <v>8.745487135618518</v>
      </c>
      <c r="R17" s="2">
        <f t="shared" si="4"/>
        <v>1.7542472640448792</v>
      </c>
      <c r="S17" s="2"/>
      <c r="V17" s="2"/>
      <c r="W17" s="2"/>
      <c r="X17" s="2"/>
      <c r="Y17" s="2"/>
      <c r="Z17" s="2"/>
    </row>
    <row r="18" spans="1:26" x14ac:dyDescent="0.25">
      <c r="A18" s="1" t="s">
        <v>19</v>
      </c>
      <c r="B18" s="1" t="s">
        <v>19</v>
      </c>
      <c r="C18" s="2">
        <f>VLOOKUP($A18,Calc!$K$3:$AI$49,COLUMNS(Calc!$K$8:AF$8),)</f>
        <v>17245.874001494445</v>
      </c>
      <c r="D18" s="2">
        <f>VLOOKUP($A18,Calc!$K$3:$AI$49,COLUMNS(Calc!$K$8:AG$8),)</f>
        <v>32775.925571978594</v>
      </c>
      <c r="E18" s="2">
        <f>VLOOKUP($A18,Calc!$K$3:$AI$49,COLUMNS(Calc!$K$8:AH$8),)</f>
        <v>34328.053822347305</v>
      </c>
      <c r="F18" s="2">
        <f>VLOOKUP($A18,Calc!$K$3:$AI$49,COLUMNS(Calc!$K$8:AI$8),)</f>
        <v>68209.470545438235</v>
      </c>
      <c r="H18" s="1" t="s">
        <v>19</v>
      </c>
      <c r="I18" s="2">
        <f>'2012 SAM'!C19</f>
        <v>32.377919602830417</v>
      </c>
      <c r="J18" s="2">
        <f>'2012 SAM'!D19</f>
        <v>252.74555843457827</v>
      </c>
      <c r="K18" s="2">
        <f>'2012 SAM'!E19</f>
        <v>371.34323913899226</v>
      </c>
      <c r="L18" s="2">
        <f>'2012 SAM'!F19</f>
        <v>652.52561844930756</v>
      </c>
      <c r="N18" s="1" t="s">
        <v>19</v>
      </c>
      <c r="O18" s="2">
        <f t="shared" si="1"/>
        <v>1.8774299058444182</v>
      </c>
      <c r="P18" s="2">
        <f t="shared" si="2"/>
        <v>7.7113171946747459</v>
      </c>
      <c r="Q18" s="2">
        <f t="shared" si="3"/>
        <v>10.817485927420988</v>
      </c>
      <c r="R18" s="2">
        <f t="shared" si="4"/>
        <v>9.5664958726607168</v>
      </c>
      <c r="S18" s="2"/>
      <c r="V18" s="2"/>
      <c r="W18" s="2"/>
      <c r="X18" s="2"/>
      <c r="Y18" s="2"/>
      <c r="Z18" s="2"/>
    </row>
    <row r="19" spans="1:26" x14ac:dyDescent="0.25">
      <c r="A19" s="1" t="s">
        <v>20</v>
      </c>
      <c r="B19" s="1" t="s">
        <v>20</v>
      </c>
      <c r="C19" s="2">
        <f>VLOOKUP($A19,Calc!$K$3:$AI$49,COLUMNS(Calc!$K$8:AF$8),)</f>
        <v>90255.923884744785</v>
      </c>
      <c r="D19" s="2">
        <f>VLOOKUP($A19,Calc!$K$3:$AI$49,COLUMNS(Calc!$K$8:AG$8),)</f>
        <v>96987.279303718125</v>
      </c>
      <c r="E19" s="2">
        <f>VLOOKUP($A19,Calc!$K$3:$AI$49,COLUMNS(Calc!$K$8:AH$8),)</f>
        <v>105515.83074681941</v>
      </c>
      <c r="F19" s="2">
        <f>VLOOKUP($A19,Calc!$K$3:$AI$49,COLUMNS(Calc!$K$8:AI$8),)</f>
        <v>199052.85665061942</v>
      </c>
      <c r="H19" s="1" t="s">
        <v>20</v>
      </c>
      <c r="I19" s="2">
        <f>'2012 SAM'!C20</f>
        <v>1007.3537037474578</v>
      </c>
      <c r="J19" s="2">
        <f>'2012 SAM'!D20</f>
        <v>1913.9845951518889</v>
      </c>
      <c r="K19" s="2">
        <f>'2012 SAM'!E20</f>
        <v>2380.270416191895</v>
      </c>
      <c r="L19" s="2">
        <f>'2012 SAM'!F20</f>
        <v>2081.5810163212732</v>
      </c>
      <c r="N19" s="1" t="s">
        <v>20</v>
      </c>
      <c r="O19" s="2">
        <f t="shared" si="1"/>
        <v>11.161081294052572</v>
      </c>
      <c r="P19" s="2">
        <f t="shared" si="2"/>
        <v>19.734387941311329</v>
      </c>
      <c r="Q19" s="2">
        <f t="shared" si="3"/>
        <v>22.558419901021765</v>
      </c>
      <c r="R19" s="2">
        <f t="shared" si="4"/>
        <v>10.457428500887559</v>
      </c>
      <c r="S19" s="2"/>
      <c r="V19" s="2"/>
      <c r="W19" s="2"/>
      <c r="X19" s="2"/>
      <c r="Y19" s="2"/>
      <c r="Z19" s="2"/>
    </row>
    <row r="20" spans="1:26" x14ac:dyDescent="0.25">
      <c r="A20" s="1" t="s">
        <v>21</v>
      </c>
      <c r="B20" s="1" t="s">
        <v>21</v>
      </c>
      <c r="C20" s="2">
        <f>VLOOKUP($A20,Calc!$K$3:$AI$49,COLUMNS(Calc!$K$8:AF$8),)</f>
        <v>90255.923884744785</v>
      </c>
      <c r="D20" s="2">
        <f>VLOOKUP($A20,Calc!$K$3:$AI$49,COLUMNS(Calc!$K$8:AG$8),)</f>
        <v>96987.279303718125</v>
      </c>
      <c r="E20" s="2">
        <f>VLOOKUP($A20,Calc!$K$3:$AI$49,COLUMNS(Calc!$K$8:AH$8),)</f>
        <v>105515.83074681941</v>
      </c>
      <c r="F20" s="2">
        <f>VLOOKUP($A20,Calc!$K$3:$AI$49,COLUMNS(Calc!$K$8:AI$8),)</f>
        <v>199052.85665061942</v>
      </c>
      <c r="H20" s="1" t="s">
        <v>21</v>
      </c>
      <c r="I20" s="2">
        <f>'2012 SAM'!C21</f>
        <v>140.40524688743463</v>
      </c>
      <c r="J20" s="2">
        <f>'2012 SAM'!D21</f>
        <v>695.08529868611538</v>
      </c>
      <c r="K20" s="2">
        <f>'2012 SAM'!E21</f>
        <v>1624.7515265999273</v>
      </c>
      <c r="L20" s="2">
        <f>'2012 SAM'!F21</f>
        <v>4951.3611352261196</v>
      </c>
      <c r="N20" s="1" t="s">
        <v>21</v>
      </c>
      <c r="O20" s="2">
        <f t="shared" si="1"/>
        <v>1.5556346979144509</v>
      </c>
      <c r="P20" s="2">
        <f t="shared" si="2"/>
        <v>7.1667676800112945</v>
      </c>
      <c r="Q20" s="2">
        <f t="shared" si="3"/>
        <v>15.39817783834207</v>
      </c>
      <c r="R20" s="2">
        <f t="shared" si="4"/>
        <v>24.874604758457817</v>
      </c>
      <c r="S20" s="2"/>
      <c r="V20" s="2"/>
      <c r="W20" s="2"/>
      <c r="X20" s="2"/>
      <c r="Y20" s="2"/>
      <c r="Z20" s="2"/>
    </row>
    <row r="21" spans="1:26" x14ac:dyDescent="0.25">
      <c r="A21" s="1" t="s">
        <v>22</v>
      </c>
      <c r="B21" s="1" t="s">
        <v>22</v>
      </c>
      <c r="C21" s="2">
        <f>VLOOKUP($A21,Calc!$K$3:$AI$49,COLUMNS(Calc!$K$8:AF$8),)</f>
        <v>39199.561999122161</v>
      </c>
      <c r="D21" s="2">
        <f>VLOOKUP($A21,Calc!$K$3:$AI$49,COLUMNS(Calc!$K$8:AG$8),)</f>
        <v>52176.617909998895</v>
      </c>
      <c r="E21" s="2">
        <f>VLOOKUP($A21,Calc!$K$3:$AI$49,COLUMNS(Calc!$K$8:AH$8),)</f>
        <v>73521.379758492272</v>
      </c>
      <c r="F21" s="2">
        <f>VLOOKUP($A21,Calc!$K$3:$AI$49,COLUMNS(Calc!$K$8:AI$8),)</f>
        <v>203032.12043678804</v>
      </c>
      <c r="H21" s="1" t="s">
        <v>22</v>
      </c>
      <c r="I21" s="2">
        <f>'2012 SAM'!C22</f>
        <v>188.86746864064065</v>
      </c>
      <c r="J21" s="2">
        <f>'2012 SAM'!D22</f>
        <v>599.01144400045825</v>
      </c>
      <c r="K21" s="2">
        <f>'2012 SAM'!E22</f>
        <v>2278.4811267716736</v>
      </c>
      <c r="L21" s="2">
        <f>'2012 SAM'!F22</f>
        <v>8721.9857079665853</v>
      </c>
      <c r="N21" s="1" t="s">
        <v>22</v>
      </c>
      <c r="O21" s="2">
        <f t="shared" si="1"/>
        <v>4.8181015044216613</v>
      </c>
      <c r="P21" s="2">
        <f t="shared" si="2"/>
        <v>11.4804574921608</v>
      </c>
      <c r="Q21" s="2">
        <f t="shared" si="3"/>
        <v>30.990728605150967</v>
      </c>
      <c r="R21" s="2">
        <f t="shared" si="4"/>
        <v>42.958649543740968</v>
      </c>
      <c r="S21" s="2"/>
      <c r="V21" s="2"/>
      <c r="W21" s="2"/>
      <c r="X21" s="2"/>
      <c r="Y21" s="2"/>
      <c r="Z21" s="2"/>
    </row>
    <row r="22" spans="1:26" x14ac:dyDescent="0.25">
      <c r="A22" s="1" t="s">
        <v>23</v>
      </c>
      <c r="B22" s="1" t="s">
        <v>23</v>
      </c>
      <c r="C22" s="2">
        <f>VLOOKUP($A22,Calc!$K$3:$AI$49,COLUMNS(Calc!$K$8:AF$8),)</f>
        <v>23604.884777875421</v>
      </c>
      <c r="D22" s="2">
        <f>VLOOKUP($A22,Calc!$K$3:$AI$49,COLUMNS(Calc!$K$8:AG$8),)</f>
        <v>45934.286334705117</v>
      </c>
      <c r="E22" s="2">
        <f>VLOOKUP($A22,Calc!$K$3:$AI$49,COLUMNS(Calc!$K$8:AH$8),)</f>
        <v>69923.644722677229</v>
      </c>
      <c r="F22" s="2">
        <f>VLOOKUP($A22,Calc!$K$3:$AI$49,COLUMNS(Calc!$K$8:AI$8),)</f>
        <v>121984.06787354409</v>
      </c>
      <c r="H22" s="1" t="s">
        <v>23</v>
      </c>
      <c r="I22" s="2">
        <f>'2012 SAM'!C23</f>
        <v>12.554164323130578</v>
      </c>
      <c r="J22" s="2">
        <f>'2012 SAM'!D23</f>
        <v>139.7930934928138</v>
      </c>
      <c r="K22" s="2">
        <f>'2012 SAM'!E23</f>
        <v>508.98518000752529</v>
      </c>
      <c r="L22" s="2">
        <f>'2012 SAM'!F23</f>
        <v>2628.9877975118752</v>
      </c>
      <c r="N22" s="1" t="s">
        <v>23</v>
      </c>
      <c r="O22" s="2">
        <f t="shared" si="1"/>
        <v>0.53184603277104103</v>
      </c>
      <c r="P22" s="2">
        <f t="shared" si="2"/>
        <v>3.0433278635091097</v>
      </c>
      <c r="Q22" s="2">
        <f t="shared" si="3"/>
        <v>7.2791568864323546</v>
      </c>
      <c r="R22" s="2">
        <f t="shared" si="4"/>
        <v>21.551894795287854</v>
      </c>
      <c r="S22" s="2"/>
      <c r="V22" s="2"/>
      <c r="W22" s="2"/>
      <c r="X22" s="2"/>
      <c r="Y22" s="2"/>
      <c r="Z22" s="2"/>
    </row>
    <row r="23" spans="1:26" x14ac:dyDescent="0.25">
      <c r="A23" s="1" t="s">
        <v>23</v>
      </c>
      <c r="B23" s="1" t="s">
        <v>24</v>
      </c>
      <c r="C23" s="2">
        <f>VLOOKUP($A23,Calc!$K$3:$AI$49,COLUMNS(Calc!$K$8:AF$8),)</f>
        <v>23604.884777875421</v>
      </c>
      <c r="D23" s="2">
        <f>VLOOKUP($A23,Calc!$K$3:$AI$49,COLUMNS(Calc!$K$8:AG$8),)</f>
        <v>45934.286334705117</v>
      </c>
      <c r="E23" s="2">
        <f>VLOOKUP($A23,Calc!$K$3:$AI$49,COLUMNS(Calc!$K$8:AH$8),)</f>
        <v>69923.644722677229</v>
      </c>
      <c r="F23" s="2">
        <f>VLOOKUP($A23,Calc!$K$3:$AI$49,COLUMNS(Calc!$K$8:AI$8),)</f>
        <v>121984.06787354409</v>
      </c>
      <c r="H23" s="1" t="s">
        <v>24</v>
      </c>
      <c r="I23" s="2">
        <f>'2012 SAM'!C24</f>
        <v>8.3779301045898293</v>
      </c>
      <c r="J23" s="2">
        <f>'2012 SAM'!D24</f>
        <v>37.349403148852829</v>
      </c>
      <c r="K23" s="2">
        <f>'2012 SAM'!E24</f>
        <v>83.356764372424252</v>
      </c>
      <c r="L23" s="2">
        <f>'2012 SAM'!F24</f>
        <v>628.63733049027769</v>
      </c>
      <c r="N23" s="1" t="s">
        <v>24</v>
      </c>
      <c r="O23" s="2">
        <f t="shared" si="1"/>
        <v>0.35492357549833775</v>
      </c>
      <c r="P23" s="2">
        <f t="shared" si="2"/>
        <v>0.81310511448251077</v>
      </c>
      <c r="Q23" s="2">
        <f t="shared" si="3"/>
        <v>1.1921112622636285</v>
      </c>
      <c r="R23" s="2">
        <f t="shared" si="4"/>
        <v>5.1534379976732732</v>
      </c>
      <c r="S23" s="2"/>
      <c r="V23" s="2"/>
      <c r="W23" s="2"/>
      <c r="X23" s="2"/>
      <c r="Y23" s="2"/>
      <c r="Z23" s="2"/>
    </row>
    <row r="24" spans="1:26" x14ac:dyDescent="0.25">
      <c r="A24" s="1" t="s">
        <v>23</v>
      </c>
      <c r="B24" s="1" t="s">
        <v>25</v>
      </c>
      <c r="C24" s="2">
        <f>VLOOKUP($A24,Calc!$K$3:$AI$49,COLUMNS(Calc!$K$8:AF$8),)</f>
        <v>23604.884777875421</v>
      </c>
      <c r="D24" s="2">
        <f>VLOOKUP($A24,Calc!$K$3:$AI$49,COLUMNS(Calc!$K$8:AG$8),)</f>
        <v>45934.286334705117</v>
      </c>
      <c r="E24" s="2">
        <f>VLOOKUP($A24,Calc!$K$3:$AI$49,COLUMNS(Calc!$K$8:AH$8),)</f>
        <v>69923.644722677229</v>
      </c>
      <c r="F24" s="2">
        <f>VLOOKUP($A24,Calc!$K$3:$AI$49,COLUMNS(Calc!$K$8:AI$8),)</f>
        <v>121984.06787354409</v>
      </c>
      <c r="H24" s="1" t="s">
        <v>25</v>
      </c>
      <c r="I24" s="2">
        <f>'2012 SAM'!C25</f>
        <v>2.1816559261280348</v>
      </c>
      <c r="J24" s="2">
        <f>'2012 SAM'!D25</f>
        <v>9.7291943559258662</v>
      </c>
      <c r="K24" s="2">
        <f>'2012 SAM'!E25</f>
        <v>21.714123246313193</v>
      </c>
      <c r="L24" s="2">
        <f>'2012 SAM'!F25</f>
        <v>163.76140537963411</v>
      </c>
      <c r="N24" s="1" t="s">
        <v>25</v>
      </c>
      <c r="O24" s="2">
        <f t="shared" si="1"/>
        <v>9.2423917619495241E-2</v>
      </c>
      <c r="P24" s="2">
        <f t="shared" si="2"/>
        <v>0.21180680341984734</v>
      </c>
      <c r="Q24" s="2">
        <f t="shared" si="3"/>
        <v>0.31054049502758535</v>
      </c>
      <c r="R24" s="2">
        <f t="shared" si="4"/>
        <v>1.3424819177976495</v>
      </c>
      <c r="S24" s="2"/>
      <c r="V24" s="2"/>
      <c r="W24" s="2"/>
      <c r="X24" s="2"/>
      <c r="Y24" s="2"/>
      <c r="Z24" s="2"/>
    </row>
    <row r="25" spans="1:26" x14ac:dyDescent="0.25">
      <c r="A25" s="1" t="s">
        <v>23</v>
      </c>
      <c r="B25" s="1" t="s">
        <v>26</v>
      </c>
      <c r="C25" s="2">
        <f>VLOOKUP($A25,Calc!$K$3:$AI$49,COLUMNS(Calc!$K$8:AF$8),)</f>
        <v>23604.884777875421</v>
      </c>
      <c r="D25" s="2">
        <f>VLOOKUP($A25,Calc!$K$3:$AI$49,COLUMNS(Calc!$K$8:AG$8),)</f>
        <v>45934.286334705117</v>
      </c>
      <c r="E25" s="2">
        <f>VLOOKUP($A25,Calc!$K$3:$AI$49,COLUMNS(Calc!$K$8:AH$8),)</f>
        <v>69923.644722677229</v>
      </c>
      <c r="F25" s="2">
        <f>VLOOKUP($A25,Calc!$K$3:$AI$49,COLUMNS(Calc!$K$8:AI$8),)</f>
        <v>121984.06787354409</v>
      </c>
      <c r="H25" s="1" t="s">
        <v>26</v>
      </c>
      <c r="I25" s="2">
        <f>'2012 SAM'!C26</f>
        <v>1.2865389030728723E-7</v>
      </c>
      <c r="J25" s="2">
        <f>'2012 SAM'!D26</f>
        <v>4.5993892520169431E-7</v>
      </c>
      <c r="K25" s="2">
        <f>'2012 SAM'!E26</f>
        <v>6.5332521234616684E-7</v>
      </c>
      <c r="L25" s="2">
        <f>'2012 SAM'!F26</f>
        <v>2.773521132880799E-7</v>
      </c>
      <c r="N25" s="1" t="s">
        <v>26</v>
      </c>
      <c r="O25" s="2">
        <f t="shared" si="1"/>
        <v>5.4503079137193245E-9</v>
      </c>
      <c r="P25" s="2">
        <f t="shared" si="2"/>
        <v>1.0012976403950197E-8</v>
      </c>
      <c r="Q25" s="2">
        <f t="shared" si="3"/>
        <v>9.3434090133217018E-9</v>
      </c>
      <c r="R25" s="2">
        <f t="shared" si="4"/>
        <v>2.2736748997057512E-9</v>
      </c>
      <c r="S25" s="2"/>
      <c r="V25" s="2"/>
      <c r="W25" s="2"/>
      <c r="X25" s="2"/>
      <c r="Y25" s="2"/>
      <c r="Z25" s="2"/>
    </row>
    <row r="26" spans="1:26" x14ac:dyDescent="0.25">
      <c r="A26" s="1" t="s">
        <v>27</v>
      </c>
      <c r="B26" s="1" t="s">
        <v>27</v>
      </c>
      <c r="C26" s="2">
        <f>VLOOKUP($A26,Calc!$K$3:$AI$49,COLUMNS(Calc!$K$8:AF$8),)</f>
        <v>94320.476795096401</v>
      </c>
      <c r="D26" s="2">
        <f>VLOOKUP($A26,Calc!$K$3:$AI$49,COLUMNS(Calc!$K$8:AG$8),)</f>
        <v>164052.54152049191</v>
      </c>
      <c r="E26" s="2">
        <f>VLOOKUP($A26,Calc!$K$3:$AI$49,COLUMNS(Calc!$K$8:AH$8),)</f>
        <v>209304.6058075295</v>
      </c>
      <c r="F26" s="2">
        <f>VLOOKUP($A26,Calc!$K$3:$AI$49,COLUMNS(Calc!$K$8:AI$8),)</f>
        <v>387399.57215812104</v>
      </c>
      <c r="H26" s="1" t="s">
        <v>27</v>
      </c>
      <c r="I26" s="2">
        <f>'2012 SAM'!C27</f>
        <v>23.327236678152797</v>
      </c>
      <c r="J26" s="2">
        <f>'2012 SAM'!D27</f>
        <v>1091.1833432852602</v>
      </c>
      <c r="K26" s="2">
        <f>'2012 SAM'!E27</f>
        <v>3956.4147559440039</v>
      </c>
      <c r="L26" s="2">
        <f>'2012 SAM'!F27</f>
        <v>4824.6105184644093</v>
      </c>
      <c r="N26" s="1" t="s">
        <v>27</v>
      </c>
      <c r="O26" s="2">
        <f t="shared" si="1"/>
        <v>0.24731890116320479</v>
      </c>
      <c r="P26" s="2">
        <f t="shared" si="2"/>
        <v>6.6514260198093904</v>
      </c>
      <c r="Q26" s="2">
        <f t="shared" si="3"/>
        <v>18.90266456717254</v>
      </c>
      <c r="R26" s="2">
        <f t="shared" si="4"/>
        <v>12.453835432980798</v>
      </c>
      <c r="S26" s="2"/>
      <c r="V26" s="2"/>
      <c r="W26" s="2"/>
      <c r="X26" s="2"/>
      <c r="Y26" s="2"/>
      <c r="Z26" s="2"/>
    </row>
    <row r="27" spans="1:26" x14ac:dyDescent="0.25">
      <c r="A27" s="1" t="s">
        <v>28</v>
      </c>
      <c r="B27" s="1" t="s">
        <v>28</v>
      </c>
      <c r="C27" s="2">
        <f>VLOOKUP($A27,Calc!$K$3:$AI$49,COLUMNS(Calc!$K$8:AF$8),)</f>
        <v>94320.476795096401</v>
      </c>
      <c r="D27" s="2">
        <f>VLOOKUP($A27,Calc!$K$3:$AI$49,COLUMNS(Calc!$K$8:AG$8),)</f>
        <v>164052.54152049191</v>
      </c>
      <c r="E27" s="2">
        <f>VLOOKUP($A27,Calc!$K$3:$AI$49,COLUMNS(Calc!$K$8:AH$8),)</f>
        <v>209304.6058075295</v>
      </c>
      <c r="F27" s="2">
        <f>VLOOKUP($A27,Calc!$K$3:$AI$49,COLUMNS(Calc!$K$8:AI$8),)</f>
        <v>387399.57215812104</v>
      </c>
      <c r="H27" s="1" t="s">
        <v>28</v>
      </c>
      <c r="I27" s="2">
        <f>'2012 SAM'!C28</f>
        <v>325.48015831343861</v>
      </c>
      <c r="J27" s="2">
        <f>'2012 SAM'!D28</f>
        <v>1393.1244392001527</v>
      </c>
      <c r="K27" s="2">
        <f>'2012 SAM'!E28</f>
        <v>4457.016671844216</v>
      </c>
      <c r="L27" s="2">
        <f>'2012 SAM'!F28</f>
        <v>14274.165526855653</v>
      </c>
      <c r="N27" s="1" t="s">
        <v>28</v>
      </c>
      <c r="O27" s="2">
        <f t="shared" si="1"/>
        <v>3.4507900020535085</v>
      </c>
      <c r="P27" s="2">
        <f t="shared" si="2"/>
        <v>8.4919406081016842</v>
      </c>
      <c r="Q27" s="2">
        <f t="shared" si="3"/>
        <v>21.294403219883087</v>
      </c>
      <c r="R27" s="2">
        <f t="shared" si="4"/>
        <v>36.846105552820561</v>
      </c>
      <c r="S27" s="2"/>
      <c r="V27" s="2"/>
      <c r="W27" s="2"/>
      <c r="X27" s="2"/>
      <c r="Y27" s="2"/>
      <c r="Z27" s="2"/>
    </row>
    <row r="28" spans="1:26" x14ac:dyDescent="0.25">
      <c r="A28" s="1" t="s">
        <v>29</v>
      </c>
      <c r="B28" s="1" t="s">
        <v>29</v>
      </c>
      <c r="C28" s="2">
        <f>VLOOKUP($A28,Calc!$K$3:$AI$49,COLUMNS(Calc!$K$8:AF$8),)</f>
        <v>81475.533666623378</v>
      </c>
      <c r="D28" s="2">
        <f>VLOOKUP($A28,Calc!$K$3:$AI$49,COLUMNS(Calc!$K$8:AG$8),)</f>
        <v>153591.58471203633</v>
      </c>
      <c r="E28" s="2">
        <f>VLOOKUP($A28,Calc!$K$3:$AI$49,COLUMNS(Calc!$K$8:AH$8),)</f>
        <v>183185.99997174085</v>
      </c>
      <c r="F28" s="2">
        <f>VLOOKUP($A28,Calc!$K$3:$AI$49,COLUMNS(Calc!$K$8:AI$8),)</f>
        <v>261362.44471843066</v>
      </c>
      <c r="H28" s="1" t="s">
        <v>29</v>
      </c>
      <c r="I28" s="2">
        <f>'2012 SAM'!C29</f>
        <v>70.975832778491437</v>
      </c>
      <c r="J28" s="2">
        <f>'2012 SAM'!D29</f>
        <v>411.62963783838126</v>
      </c>
      <c r="K28" s="2">
        <f>'2012 SAM'!E29</f>
        <v>1093.256905891833</v>
      </c>
      <c r="L28" s="2">
        <f>'2012 SAM'!F29</f>
        <v>1015.3135472398361</v>
      </c>
      <c r="N28" s="1" t="s">
        <v>29</v>
      </c>
      <c r="O28" s="2">
        <f t="shared" si="1"/>
        <v>0.87113062761768489</v>
      </c>
      <c r="P28" s="2">
        <f t="shared" si="2"/>
        <v>2.680027285414964</v>
      </c>
      <c r="Q28" s="2">
        <f t="shared" si="3"/>
        <v>5.9680156019591237</v>
      </c>
      <c r="R28" s="2">
        <f t="shared" si="4"/>
        <v>3.8846956315152599</v>
      </c>
      <c r="S28" s="2"/>
      <c r="V28" s="2"/>
      <c r="W28" s="2"/>
      <c r="X28" s="2"/>
      <c r="Y28" s="2"/>
      <c r="Z28" s="2"/>
    </row>
    <row r="29" spans="1:26" x14ac:dyDescent="0.25">
      <c r="A29" s="1" t="s">
        <v>30</v>
      </c>
      <c r="B29" s="1" t="s">
        <v>30</v>
      </c>
      <c r="C29" s="2">
        <f>VLOOKUP($A29,Calc!$K$3:$AI$49,COLUMNS(Calc!$K$8:AF$8),)</f>
        <v>81475.533666623378</v>
      </c>
      <c r="D29" s="2">
        <f>VLOOKUP($A29,Calc!$K$3:$AI$49,COLUMNS(Calc!$K$8:AG$8),)</f>
        <v>153591.58471203633</v>
      </c>
      <c r="E29" s="2">
        <f>VLOOKUP($A29,Calc!$K$3:$AI$49,COLUMNS(Calc!$K$8:AH$8),)</f>
        <v>183185.99997174085</v>
      </c>
      <c r="F29" s="2">
        <f>VLOOKUP($A29,Calc!$K$3:$AI$49,COLUMNS(Calc!$K$8:AI$8),)</f>
        <v>261362.44471843066</v>
      </c>
      <c r="H29" s="1" t="s">
        <v>30</v>
      </c>
      <c r="I29" s="2">
        <f>'2012 SAM'!C30</f>
        <v>198.78244543641884</v>
      </c>
      <c r="J29" s="2">
        <f>'2012 SAM'!D30</f>
        <v>1869.5384664117926</v>
      </c>
      <c r="K29" s="2">
        <f>'2012 SAM'!E30</f>
        <v>4130.098616037827</v>
      </c>
      <c r="L29" s="2">
        <f>'2012 SAM'!F30</f>
        <v>4356.3113243689149</v>
      </c>
      <c r="N29" s="1" t="s">
        <v>30</v>
      </c>
      <c r="O29" s="2">
        <f t="shared" si="1"/>
        <v>2.4397808334681761</v>
      </c>
      <c r="P29" s="2">
        <f t="shared" si="2"/>
        <v>12.172141266182825</v>
      </c>
      <c r="Q29" s="2">
        <f t="shared" si="3"/>
        <v>22.545929365098623</v>
      </c>
      <c r="R29" s="2">
        <f t="shared" si="4"/>
        <v>16.667701930405606</v>
      </c>
      <c r="S29" s="2"/>
      <c r="V29" s="2"/>
      <c r="W29" s="2"/>
      <c r="X29" s="2"/>
      <c r="Y29" s="2"/>
      <c r="Z29" s="2"/>
    </row>
    <row r="30" spans="1:26" x14ac:dyDescent="0.25">
      <c r="A30" s="1" t="s">
        <v>31</v>
      </c>
      <c r="B30" s="1" t="s">
        <v>31</v>
      </c>
      <c r="C30" s="2">
        <f>VLOOKUP($A30,Calc!$K$3:$AI$49,COLUMNS(Calc!$K$8:AF$8),)</f>
        <v>37907.765101258432</v>
      </c>
      <c r="D30" s="2">
        <f>VLOOKUP($A30,Calc!$K$3:$AI$49,COLUMNS(Calc!$K$8:AG$8),)</f>
        <v>43778.992597686287</v>
      </c>
      <c r="E30" s="2">
        <f>VLOOKUP($A30,Calc!$K$3:$AI$49,COLUMNS(Calc!$K$8:AH$8),)</f>
        <v>82310.231491887811</v>
      </c>
      <c r="F30" s="2">
        <f>VLOOKUP($A30,Calc!$K$3:$AI$49,COLUMNS(Calc!$K$8:AI$8),)</f>
        <v>114592.92352094807</v>
      </c>
      <c r="H30" s="1" t="s">
        <v>31</v>
      </c>
      <c r="I30" s="2">
        <f>'2012 SAM'!C31</f>
        <v>25.042714733898777</v>
      </c>
      <c r="J30" s="2">
        <f>'2012 SAM'!D31</f>
        <v>279.5239974305166</v>
      </c>
      <c r="K30" s="2">
        <f>'2012 SAM'!E31</f>
        <v>1357.900651248706</v>
      </c>
      <c r="L30" s="2">
        <f>'2012 SAM'!F31</f>
        <v>768.91775605971714</v>
      </c>
      <c r="N30" s="1" t="s">
        <v>31</v>
      </c>
      <c r="O30" s="2">
        <f t="shared" si="1"/>
        <v>0.66062229379667192</v>
      </c>
      <c r="P30" s="2">
        <f t="shared" si="2"/>
        <v>6.3848887524490312</v>
      </c>
      <c r="Q30" s="2">
        <f t="shared" si="3"/>
        <v>16.497349438052982</v>
      </c>
      <c r="R30" s="2">
        <f t="shared" si="4"/>
        <v>6.7099933611446412</v>
      </c>
      <c r="S30" s="2"/>
      <c r="V30" s="2"/>
      <c r="W30" s="2"/>
      <c r="X30" s="2"/>
      <c r="Y30" s="2"/>
      <c r="Z30" s="2"/>
    </row>
    <row r="31" spans="1:26" x14ac:dyDescent="0.25">
      <c r="A31" s="1" t="s">
        <v>32</v>
      </c>
      <c r="B31" s="1" t="s">
        <v>32</v>
      </c>
      <c r="C31" s="2">
        <f>VLOOKUP($A31,Calc!$K$3:$AI$49,COLUMNS(Calc!$K$8:AF$8),)</f>
        <v>37907.765101258432</v>
      </c>
      <c r="D31" s="2">
        <f>VLOOKUP($A31,Calc!$K$3:$AI$49,COLUMNS(Calc!$K$8:AG$8),)</f>
        <v>43778.992597686287</v>
      </c>
      <c r="E31" s="2">
        <f>VLOOKUP($A31,Calc!$K$3:$AI$49,COLUMNS(Calc!$K$8:AH$8),)</f>
        <v>82310.231491887811</v>
      </c>
      <c r="F31" s="2">
        <f>VLOOKUP($A31,Calc!$K$3:$AI$49,COLUMNS(Calc!$K$8:AI$8),)</f>
        <v>114592.92352094807</v>
      </c>
      <c r="H31" s="1" t="s">
        <v>32</v>
      </c>
      <c r="I31" s="2">
        <f>'2012 SAM'!C32</f>
        <v>573.87579986928461</v>
      </c>
      <c r="J31" s="2">
        <f>'2012 SAM'!D32</f>
        <v>865.07312130027913</v>
      </c>
      <c r="K31" s="2">
        <f>'2012 SAM'!E32</f>
        <v>1156.6932332356159</v>
      </c>
      <c r="L31" s="2">
        <f>'2012 SAM'!F32</f>
        <v>1936.4352267875445</v>
      </c>
      <c r="N31" s="1" t="s">
        <v>32</v>
      </c>
      <c r="O31" s="2">
        <f t="shared" si="1"/>
        <v>15.138740000534442</v>
      </c>
      <c r="P31" s="2">
        <f t="shared" si="2"/>
        <v>19.760005198155199</v>
      </c>
      <c r="Q31" s="2">
        <f t="shared" si="3"/>
        <v>14.052848743957371</v>
      </c>
      <c r="R31" s="2">
        <f t="shared" si="4"/>
        <v>16.898384012635439</v>
      </c>
      <c r="S31" s="2"/>
      <c r="V31" s="2"/>
      <c r="W31" s="2"/>
      <c r="X31" s="2"/>
      <c r="Y31" s="2"/>
      <c r="Z31" s="2"/>
    </row>
    <row r="32" spans="1:26" x14ac:dyDescent="0.25">
      <c r="A32" s="1" t="s">
        <v>33</v>
      </c>
      <c r="B32" s="1" t="s">
        <v>33</v>
      </c>
      <c r="C32" s="2">
        <f>VLOOKUP($A32,Calc!$K$3:$AI$49,COLUMNS(Calc!$K$8:AF$8),)</f>
        <v>43570.814994396416</v>
      </c>
      <c r="D32" s="2">
        <f>VLOOKUP($A32,Calc!$K$3:$AI$49,COLUMNS(Calc!$K$8:AG$8),)</f>
        <v>114252.71629799789</v>
      </c>
      <c r="E32" s="2">
        <f>VLOOKUP($A32,Calc!$K$3:$AI$49,COLUMNS(Calc!$K$8:AH$8),)</f>
        <v>120852.43227242175</v>
      </c>
      <c r="F32" s="2">
        <f>VLOOKUP($A32,Calc!$K$3:$AI$49,COLUMNS(Calc!$K$8:AI$8),)</f>
        <v>318858.86483238963</v>
      </c>
      <c r="H32" s="1" t="s">
        <v>33</v>
      </c>
      <c r="I32" s="2">
        <f>'2012 SAM'!C33</f>
        <v>578.73103800786589</v>
      </c>
      <c r="J32" s="2">
        <f>'2012 SAM'!D33</f>
        <v>3766.6583615126219</v>
      </c>
      <c r="K32" s="2">
        <f>'2012 SAM'!E33</f>
        <v>4508.2717643412425</v>
      </c>
      <c r="L32" s="2">
        <f>'2012 SAM'!F33</f>
        <v>4339.2859052330332</v>
      </c>
      <c r="N32" s="1" t="s">
        <v>33</v>
      </c>
      <c r="O32" s="2">
        <f t="shared" si="1"/>
        <v>13.282538737967048</v>
      </c>
      <c r="P32" s="2">
        <f t="shared" si="2"/>
        <v>32.967779529094898</v>
      </c>
      <c r="Q32" s="2">
        <f t="shared" si="3"/>
        <v>37.303939023575779</v>
      </c>
      <c r="R32" s="2">
        <f t="shared" si="4"/>
        <v>13.608798072821367</v>
      </c>
      <c r="S32" s="2"/>
      <c r="V32" s="2"/>
      <c r="W32" s="2"/>
      <c r="X32" s="2"/>
      <c r="Y32" s="2"/>
      <c r="Z32" s="2"/>
    </row>
    <row r="33" spans="1:26" x14ac:dyDescent="0.25">
      <c r="A33" s="1" t="s">
        <v>34</v>
      </c>
      <c r="B33" s="1" t="s">
        <v>34</v>
      </c>
      <c r="C33" s="2">
        <f>VLOOKUP($A33,Calc!$K$3:$AI$49,COLUMNS(Calc!$K$8:AF$8),)</f>
        <v>43570.814994396416</v>
      </c>
      <c r="D33" s="2">
        <f>VLOOKUP($A33,Calc!$K$3:$AI$49,COLUMNS(Calc!$K$8:AG$8),)</f>
        <v>114252.71629799789</v>
      </c>
      <c r="E33" s="2">
        <f>VLOOKUP($A33,Calc!$K$3:$AI$49,COLUMNS(Calc!$K$8:AH$8),)</f>
        <v>120852.43227242175</v>
      </c>
      <c r="F33" s="2">
        <f>VLOOKUP($A33,Calc!$K$3:$AI$49,COLUMNS(Calc!$K$8:AI$8),)</f>
        <v>318858.86483238963</v>
      </c>
      <c r="H33" s="1" t="s">
        <v>34</v>
      </c>
      <c r="I33" s="2">
        <f>'2012 SAM'!C34</f>
        <v>49.821445459610928</v>
      </c>
      <c r="J33" s="2">
        <f>'2012 SAM'!D34</f>
        <v>262.87091310409431</v>
      </c>
      <c r="K33" s="2">
        <f>'2012 SAM'!E34</f>
        <v>845.51025795881344</v>
      </c>
      <c r="L33" s="2">
        <f>'2012 SAM'!F34</f>
        <v>2930.4211526692011</v>
      </c>
      <c r="N33" s="1" t="s">
        <v>34</v>
      </c>
      <c r="O33" s="2">
        <f t="shared" si="1"/>
        <v>1.1434591128492408</v>
      </c>
      <c r="P33" s="2">
        <f t="shared" si="2"/>
        <v>2.300784800761019</v>
      </c>
      <c r="Q33" s="2">
        <f t="shared" si="3"/>
        <v>6.9962204488602335</v>
      </c>
      <c r="R33" s="2">
        <f t="shared" si="4"/>
        <v>9.1903392876017325</v>
      </c>
      <c r="S33" s="2"/>
      <c r="V33" s="2"/>
      <c r="W33" s="2"/>
      <c r="X33" s="2"/>
      <c r="Y33" s="2"/>
      <c r="Z33" s="2"/>
    </row>
    <row r="34" spans="1:26" x14ac:dyDescent="0.25">
      <c r="A34" s="1" t="s">
        <v>35</v>
      </c>
      <c r="B34" s="1" t="s">
        <v>35</v>
      </c>
      <c r="C34" s="2">
        <f>VLOOKUP($A34,Calc!$K$3:$AI$49,COLUMNS(Calc!$K$8:AF$8),)</f>
        <v>62044.086679719941</v>
      </c>
      <c r="D34" s="2">
        <f>VLOOKUP($A34,Calc!$K$3:$AI$49,COLUMNS(Calc!$K$8:AG$8),)</f>
        <v>86270.361037139373</v>
      </c>
      <c r="E34" s="2">
        <f>VLOOKUP($A34,Calc!$K$3:$AI$49,COLUMNS(Calc!$K$8:AH$8),)</f>
        <v>107252.36323093032</v>
      </c>
      <c r="F34" s="2">
        <f>VLOOKUP($A34,Calc!$K$3:$AI$49,COLUMNS(Calc!$K$8:AI$8),)</f>
        <v>165871.56382546763</v>
      </c>
      <c r="H34" s="1" t="s">
        <v>35</v>
      </c>
      <c r="I34" s="2">
        <f>'2012 SAM'!C35</f>
        <v>1209.6366130940671</v>
      </c>
      <c r="J34" s="2">
        <f>'2012 SAM'!D35</f>
        <v>3701.6411925006528</v>
      </c>
      <c r="K34" s="2">
        <f>'2012 SAM'!E35</f>
        <v>7056.1864652200147</v>
      </c>
      <c r="L34" s="2">
        <f>'2012 SAM'!F35</f>
        <v>7836.870946720971</v>
      </c>
      <c r="N34" s="1" t="s">
        <v>35</v>
      </c>
      <c r="O34" s="2">
        <f t="shared" si="1"/>
        <v>19.496404537927631</v>
      </c>
      <c r="P34" s="2">
        <f t="shared" si="2"/>
        <v>42.907449881971601</v>
      </c>
      <c r="Q34" s="2">
        <f t="shared" si="3"/>
        <v>65.790498714018952</v>
      </c>
      <c r="R34" s="2">
        <f t="shared" si="4"/>
        <v>47.246621216925618</v>
      </c>
      <c r="S34" s="2"/>
      <c r="V34" s="2"/>
      <c r="W34" s="2"/>
      <c r="X34" s="2"/>
      <c r="Y34" s="2"/>
      <c r="Z34" s="2"/>
    </row>
    <row r="35" spans="1:26" x14ac:dyDescent="0.25">
      <c r="A35" s="1" t="s">
        <v>36</v>
      </c>
      <c r="B35" s="1" t="s">
        <v>36</v>
      </c>
      <c r="C35" s="2">
        <f>VLOOKUP($A35,Calc!$K$3:$AI$49,COLUMNS(Calc!$K$8:AF$8),)</f>
        <v>54553.765514644234</v>
      </c>
      <c r="D35" s="2">
        <f>VLOOKUP($A35,Calc!$K$3:$AI$49,COLUMNS(Calc!$K$8:AG$8),)</f>
        <v>85058.760262364784</v>
      </c>
      <c r="E35" s="2">
        <f>VLOOKUP($A35,Calc!$K$3:$AI$49,COLUMNS(Calc!$K$8:AH$8),)</f>
        <v>103801.71962741736</v>
      </c>
      <c r="F35" s="2">
        <f>VLOOKUP($A35,Calc!$K$3:$AI$49,COLUMNS(Calc!$K$8:AI$8),)</f>
        <v>215655.36720143675</v>
      </c>
      <c r="H35" s="1" t="s">
        <v>36</v>
      </c>
      <c r="I35" s="2">
        <f>'2012 SAM'!C36</f>
        <v>398.37078561264758</v>
      </c>
      <c r="J35" s="2">
        <f>'2012 SAM'!D36</f>
        <v>1328.7224692908292</v>
      </c>
      <c r="K35" s="2">
        <f>'2012 SAM'!E36</f>
        <v>3777.2504231610419</v>
      </c>
      <c r="L35" s="2">
        <f>'2012 SAM'!F36</f>
        <v>11846.819942587188</v>
      </c>
      <c r="N35" s="1" t="s">
        <v>36</v>
      </c>
      <c r="O35" s="2">
        <f t="shared" si="1"/>
        <v>7.3023517598562515</v>
      </c>
      <c r="P35" s="2">
        <f t="shared" si="2"/>
        <v>15.621230137758515</v>
      </c>
      <c r="Q35" s="2">
        <f t="shared" si="3"/>
        <v>36.389092942958811</v>
      </c>
      <c r="R35" s="2">
        <f t="shared" si="4"/>
        <v>54.934037099672338</v>
      </c>
      <c r="S35" s="2"/>
      <c r="V35" s="2"/>
      <c r="W35" s="2"/>
      <c r="X35" s="2"/>
      <c r="Y35" s="2"/>
      <c r="Z35" s="2"/>
    </row>
    <row r="36" spans="1:26" x14ac:dyDescent="0.25">
      <c r="A36" s="1" t="s">
        <v>37</v>
      </c>
      <c r="B36" s="1" t="s">
        <v>37</v>
      </c>
      <c r="C36" s="2">
        <f>VLOOKUP($A36,Calc!$K$3:$AI$49,COLUMNS(Calc!$K$8:AF$8),)</f>
        <v>76375.271720501929</v>
      </c>
      <c r="D36" s="2">
        <f>VLOOKUP($A36,Calc!$K$3:$AI$49,COLUMNS(Calc!$K$8:AG$8),)</f>
        <v>119082.26436731069</v>
      </c>
      <c r="E36" s="2">
        <f>VLOOKUP($A36,Calc!$K$3:$AI$49,COLUMNS(Calc!$K$8:AH$8),)</f>
        <v>145322.4074783843</v>
      </c>
      <c r="F36" s="2">
        <f>VLOOKUP($A36,Calc!$K$3:$AI$49,COLUMNS(Calc!$K$8:AI$8),)</f>
        <v>301917.51408201142</v>
      </c>
      <c r="H36" s="1" t="s">
        <v>37</v>
      </c>
      <c r="I36" s="2">
        <f>'2012 SAM'!C37</f>
        <v>356.93202742783933</v>
      </c>
      <c r="J36" s="2">
        <f>'2012 SAM'!D37</f>
        <v>1165.8965266429786</v>
      </c>
      <c r="K36" s="2">
        <f>'2012 SAM'!E37</f>
        <v>1348.150535552774</v>
      </c>
      <c r="L36" s="2">
        <f>'2012 SAM'!F37</f>
        <v>3000.3015744686577</v>
      </c>
      <c r="N36" s="1" t="s">
        <v>37</v>
      </c>
      <c r="O36" s="2">
        <f t="shared" si="1"/>
        <v>4.6733978077884295</v>
      </c>
      <c r="P36" s="2">
        <f t="shared" si="2"/>
        <v>9.7906815329506713</v>
      </c>
      <c r="Q36" s="2">
        <f t="shared" si="3"/>
        <v>9.2769625754603755</v>
      </c>
      <c r="R36" s="2">
        <f t="shared" si="4"/>
        <v>9.9374876730525497</v>
      </c>
      <c r="S36" s="2"/>
      <c r="V36" s="2"/>
      <c r="W36" s="2"/>
      <c r="X36" s="2"/>
      <c r="Y36" s="2"/>
      <c r="Z36" s="2"/>
    </row>
    <row r="37" spans="1:26" x14ac:dyDescent="0.25">
      <c r="A37" s="1" t="s">
        <v>38</v>
      </c>
      <c r="B37" s="1" t="s">
        <v>38</v>
      </c>
      <c r="C37" s="2">
        <f>VLOOKUP($A37,Calc!$K$3:$AI$49,COLUMNS(Calc!$K$8:AF$8),)</f>
        <v>80889.832471664617</v>
      </c>
      <c r="D37" s="2">
        <f>VLOOKUP($A37,Calc!$K$3:$AI$49,COLUMNS(Calc!$K$8:AG$8),)</f>
        <v>366910.82193803898</v>
      </c>
      <c r="E37" s="2">
        <f>VLOOKUP($A37,Calc!$K$3:$AI$49,COLUMNS(Calc!$K$8:AH$8),)</f>
        <v>691985.1081291117</v>
      </c>
      <c r="F37" s="2">
        <f>VLOOKUP($A37,Calc!$K$3:$AI$49,COLUMNS(Calc!$K$8:AI$8),)</f>
        <v>921673.75849953422</v>
      </c>
      <c r="H37" s="1" t="s">
        <v>38</v>
      </c>
      <c r="I37" s="2">
        <f>'2012 SAM'!C38</f>
        <v>7.1613991924958835</v>
      </c>
      <c r="J37" s="2">
        <f>'2012 SAM'!D38</f>
        <v>672.37186979921614</v>
      </c>
      <c r="K37" s="2">
        <f>'2012 SAM'!E38</f>
        <v>383.81853776121642</v>
      </c>
      <c r="L37" s="2">
        <f>'2012 SAM'!F38</f>
        <v>2553.1423345374033</v>
      </c>
      <c r="N37" s="1" t="s">
        <v>38</v>
      </c>
      <c r="O37" s="2">
        <f t="shared" si="1"/>
        <v>8.8532748476200546E-2</v>
      </c>
      <c r="P37" s="2">
        <f t="shared" si="2"/>
        <v>1.8325212274953315</v>
      </c>
      <c r="Q37" s="2">
        <f t="shared" si="3"/>
        <v>0.55466300250149736</v>
      </c>
      <c r="R37" s="2">
        <f t="shared" si="4"/>
        <v>2.7701150336469014</v>
      </c>
      <c r="S37" s="2"/>
      <c r="V37" s="2"/>
      <c r="W37" s="2"/>
      <c r="X37" s="2"/>
      <c r="Y37" s="2"/>
      <c r="Z37" s="2"/>
    </row>
    <row r="38" spans="1:26" x14ac:dyDescent="0.25">
      <c r="A38" s="1" t="s">
        <v>39</v>
      </c>
      <c r="B38" s="1" t="s">
        <v>39</v>
      </c>
      <c r="C38" s="2">
        <f>VLOOKUP($A38,Calc!$K$3:$AI$49,COLUMNS(Calc!$K$8:AF$8),)</f>
        <v>40444.916235832308</v>
      </c>
      <c r="D38" s="2">
        <f>VLOOKUP($A38,Calc!$K$3:$AI$49,COLUMNS(Calc!$K$8:AG$8),)</f>
        <v>183455.41096901949</v>
      </c>
      <c r="E38" s="2">
        <f>VLOOKUP($A38,Calc!$K$3:$AI$49,COLUMNS(Calc!$K$8:AH$8),)</f>
        <v>345992.55406455585</v>
      </c>
      <c r="F38" s="2">
        <f>VLOOKUP($A38,Calc!$K$3:$AI$49,COLUMNS(Calc!$K$8:AI$8),)</f>
        <v>460836.87924976711</v>
      </c>
      <c r="H38" s="1" t="s">
        <v>39</v>
      </c>
      <c r="I38" s="2">
        <f>'2012 SAM'!C39</f>
        <v>369.94076737650454</v>
      </c>
      <c r="J38" s="2">
        <f>'2012 SAM'!D39</f>
        <v>1364.4591820975932</v>
      </c>
      <c r="K38" s="2">
        <f>'2012 SAM'!E39</f>
        <v>4113.5310878641958</v>
      </c>
      <c r="L38" s="2">
        <f>'2012 SAM'!F39</f>
        <v>13998.42625091743</v>
      </c>
      <c r="N38" s="1" t="s">
        <v>39</v>
      </c>
      <c r="O38" s="2">
        <f t="shared" si="1"/>
        <v>9.1467804066992802</v>
      </c>
      <c r="P38" s="2">
        <f t="shared" si="2"/>
        <v>7.4375521271924345</v>
      </c>
      <c r="Q38" s="2">
        <f t="shared" si="3"/>
        <v>11.889074026421639</v>
      </c>
      <c r="R38" s="2">
        <f t="shared" si="4"/>
        <v>30.376098097241215</v>
      </c>
      <c r="S38" s="2"/>
      <c r="V38" s="2"/>
      <c r="W38" s="2"/>
      <c r="X38" s="2"/>
      <c r="Y38" s="2"/>
      <c r="Z38" s="2"/>
    </row>
    <row r="39" spans="1:26" x14ac:dyDescent="0.25">
      <c r="A39" s="1" t="s">
        <v>40</v>
      </c>
      <c r="B39" s="1" t="s">
        <v>40</v>
      </c>
      <c r="C39" s="2">
        <f>VLOOKUP($A39,Calc!$K$3:$AI$49,COLUMNS(Calc!$K$8:AF$8),)</f>
        <v>4044.4916235832311</v>
      </c>
      <c r="D39" s="2">
        <f>VLOOKUP($A39,Calc!$K$3:$AI$49,COLUMNS(Calc!$K$8:AG$8),)</f>
        <v>18345.54109690195</v>
      </c>
      <c r="E39" s="2">
        <f>VLOOKUP($A39,Calc!$K$3:$AI$49,COLUMNS(Calc!$K$8:AH$8),)</f>
        <v>34599.255406455588</v>
      </c>
      <c r="F39" s="2">
        <f>VLOOKUP($A39,Calc!$K$3:$AI$49,COLUMNS(Calc!$K$8:AI$8),)</f>
        <v>46083.687924976715</v>
      </c>
      <c r="H39" s="1" t="s">
        <v>40</v>
      </c>
      <c r="I39" s="2">
        <f>'2012 SAM'!C40</f>
        <v>0</v>
      </c>
      <c r="J39" s="2">
        <f>'2012 SAM'!D40</f>
        <v>625.2052940965882</v>
      </c>
      <c r="K39" s="2">
        <f>'2012 SAM'!E40</f>
        <v>941.44403804086619</v>
      </c>
      <c r="L39" s="2">
        <f>'2012 SAM'!F40</f>
        <v>2580.4442659900856</v>
      </c>
      <c r="N39" s="1" t="s">
        <v>40</v>
      </c>
      <c r="O39" s="2">
        <f t="shared" si="1"/>
        <v>0</v>
      </c>
      <c r="P39" s="2">
        <f t="shared" si="2"/>
        <v>34.079414218104908</v>
      </c>
      <c r="Q39" s="2">
        <f t="shared" si="3"/>
        <v>27.209950820652917</v>
      </c>
      <c r="R39" s="2">
        <f t="shared" si="4"/>
        <v>55.994743089810761</v>
      </c>
      <c r="S39" s="2"/>
      <c r="V39" s="2"/>
      <c r="W39" s="2"/>
      <c r="X39" s="2"/>
      <c r="Y39" s="2"/>
      <c r="Z39" s="2"/>
    </row>
    <row r="40" spans="1:26" x14ac:dyDescent="0.25">
      <c r="A40" s="1" t="s">
        <v>41</v>
      </c>
      <c r="B40" s="1" t="s">
        <v>41</v>
      </c>
      <c r="C40" s="2">
        <f>VLOOKUP($A40,Calc!$K$3:$AI$49,COLUMNS(Calc!$K$8:AF$8),)</f>
        <v>50236.874072787701</v>
      </c>
      <c r="D40" s="2">
        <f>VLOOKUP($A40,Calc!$K$3:$AI$49,COLUMNS(Calc!$K$8:AG$8),)</f>
        <v>100762.54095183015</v>
      </c>
      <c r="E40" s="2">
        <f>VLOOKUP($A40,Calc!$K$3:$AI$49,COLUMNS(Calc!$K$8:AH$8),)</f>
        <v>104615.52393322508</v>
      </c>
      <c r="F40" s="2">
        <f>VLOOKUP($A40,Calc!$K$3:$AI$49,COLUMNS(Calc!$K$8:AI$8),)</f>
        <v>148690.42742799199</v>
      </c>
      <c r="H40" s="1" t="s">
        <v>41</v>
      </c>
      <c r="I40" s="2">
        <f>'2012 SAM'!C41</f>
        <v>449.86941563690976</v>
      </c>
      <c r="J40" s="2">
        <f>'2012 SAM'!D41</f>
        <v>918.2387252481069</v>
      </c>
      <c r="K40" s="2">
        <f>'2012 SAM'!E41</f>
        <v>1740.2310485421426</v>
      </c>
      <c r="L40" s="2">
        <f>'2012 SAM'!F41</f>
        <v>759.09887765912686</v>
      </c>
      <c r="N40" s="1" t="s">
        <v>41</v>
      </c>
      <c r="O40" s="2">
        <f t="shared" si="1"/>
        <v>8.9549643352629484</v>
      </c>
      <c r="P40" s="2">
        <f t="shared" si="2"/>
        <v>9.11289767580468</v>
      </c>
      <c r="Q40" s="2">
        <f t="shared" si="3"/>
        <v>16.63453934095778</v>
      </c>
      <c r="R40" s="2">
        <f t="shared" si="4"/>
        <v>5.1052303150230989</v>
      </c>
      <c r="S40" s="2"/>
      <c r="V40" s="2"/>
      <c r="W40" s="2"/>
      <c r="X40" s="2"/>
      <c r="Y40" s="2"/>
      <c r="Z40" s="2"/>
    </row>
    <row r="41" spans="1:26" x14ac:dyDescent="0.25">
      <c r="A41" s="1" t="s">
        <v>42</v>
      </c>
      <c r="B41" s="1" t="s">
        <v>42</v>
      </c>
      <c r="C41" s="2">
        <f>VLOOKUP($A41,Calc!$K$3:$AI$49,COLUMNS(Calc!$K$8:AF$8),)</f>
        <v>50236.874072787701</v>
      </c>
      <c r="D41" s="2">
        <f>VLOOKUP($A41,Calc!$K$3:$AI$49,COLUMNS(Calc!$K$8:AG$8),)</f>
        <v>100762.54095183015</v>
      </c>
      <c r="E41" s="2">
        <f>VLOOKUP($A41,Calc!$K$3:$AI$49,COLUMNS(Calc!$K$8:AH$8),)</f>
        <v>104615.52393322508</v>
      </c>
      <c r="F41" s="2">
        <f>VLOOKUP($A41,Calc!$K$3:$AI$49,COLUMNS(Calc!$K$8:AI$8),)</f>
        <v>148690.42742799199</v>
      </c>
      <c r="H41" s="1" t="s">
        <v>42</v>
      </c>
      <c r="I41" s="2">
        <f>'2012 SAM'!C42</f>
        <v>176.38601769164879</v>
      </c>
      <c r="J41" s="2">
        <f>'2012 SAM'!D42</f>
        <v>525.92525471800468</v>
      </c>
      <c r="K41" s="2">
        <f>'2012 SAM'!E42</f>
        <v>1483.6810848203761</v>
      </c>
      <c r="L41" s="2">
        <f>'2012 SAM'!F42</f>
        <v>2042.6067745131629</v>
      </c>
      <c r="N41" s="1" t="s">
        <v>42</v>
      </c>
      <c r="O41" s="2">
        <f t="shared" si="1"/>
        <v>3.5110866459582031</v>
      </c>
      <c r="P41" s="2">
        <f t="shared" si="2"/>
        <v>5.2194520875513142</v>
      </c>
      <c r="Q41" s="2">
        <f t="shared" si="3"/>
        <v>14.182226777044994</v>
      </c>
      <c r="R41" s="2">
        <f t="shared" si="4"/>
        <v>13.737311875724879</v>
      </c>
      <c r="S41" s="2"/>
      <c r="V41" s="2"/>
      <c r="W41" s="2"/>
      <c r="X41" s="2"/>
      <c r="Y41" s="2"/>
      <c r="Z41" s="2"/>
    </row>
    <row r="42" spans="1:26" x14ac:dyDescent="0.25">
      <c r="A42" s="1" t="s">
        <v>43</v>
      </c>
      <c r="B42" s="1" t="s">
        <v>43</v>
      </c>
      <c r="C42" s="2">
        <f>VLOOKUP($A42,Calc!$K$3:$AI$49,COLUMNS(Calc!$K$8:AF$8),)</f>
        <v>109912.77298305844</v>
      </c>
      <c r="D42" s="2">
        <f>VLOOKUP($A42,Calc!$K$3:$AI$49,COLUMNS(Calc!$K$8:AG$8),)</f>
        <v>113804.26068004005</v>
      </c>
      <c r="E42" s="2">
        <f>VLOOKUP($A42,Calc!$K$3:$AI$49,COLUMNS(Calc!$K$8:AH$8),)</f>
        <v>173963.64741552915</v>
      </c>
      <c r="F42" s="2">
        <f>VLOOKUP($A42,Calc!$K$3:$AI$49,COLUMNS(Calc!$K$8:AI$8),)</f>
        <v>394909.12939267978</v>
      </c>
      <c r="H42" s="1" t="s">
        <v>43</v>
      </c>
      <c r="I42" s="2">
        <f>'2012 SAM'!C43</f>
        <v>319.98423068946039</v>
      </c>
      <c r="J42" s="2">
        <f>'2012 SAM'!D43</f>
        <v>419.00990927019586</v>
      </c>
      <c r="K42" s="2">
        <f>'2012 SAM'!E43</f>
        <v>2089.3504837997893</v>
      </c>
      <c r="L42" s="2">
        <f>'2012 SAM'!F43</f>
        <v>15849.527851163844</v>
      </c>
      <c r="N42" s="1" t="s">
        <v>43</v>
      </c>
      <c r="O42" s="2">
        <f t="shared" si="1"/>
        <v>2.9112560988592437</v>
      </c>
      <c r="P42" s="2">
        <f t="shared" si="2"/>
        <v>3.6818472943490184</v>
      </c>
      <c r="Q42" s="2">
        <f t="shared" si="3"/>
        <v>12.010270621707372</v>
      </c>
      <c r="R42" s="2">
        <f t="shared" si="4"/>
        <v>40.134620021417106</v>
      </c>
      <c r="S42" s="2"/>
      <c r="V42" s="2"/>
      <c r="W42" s="2"/>
      <c r="X42" s="2"/>
      <c r="Y42" s="2"/>
      <c r="Z42" s="2"/>
    </row>
    <row r="43" spans="1:26" x14ac:dyDescent="0.25">
      <c r="A43" s="1" t="s">
        <v>43</v>
      </c>
      <c r="B43" s="1" t="s">
        <v>44</v>
      </c>
      <c r="C43" s="2">
        <f>VLOOKUP($A43,Calc!$K$3:$AI$49,COLUMNS(Calc!$K$8:AF$8),)</f>
        <v>109912.77298305844</v>
      </c>
      <c r="D43" s="2">
        <f>VLOOKUP($A43,Calc!$K$3:$AI$49,COLUMNS(Calc!$K$8:AG$8),)</f>
        <v>113804.26068004005</v>
      </c>
      <c r="E43" s="2">
        <f>VLOOKUP($A43,Calc!$K$3:$AI$49,COLUMNS(Calc!$K$8:AH$8),)</f>
        <v>173963.64741552915</v>
      </c>
      <c r="F43" s="2">
        <f>VLOOKUP($A43,Calc!$K$3:$AI$49,COLUMNS(Calc!$K$8:AI$8),)</f>
        <v>394909.12939267978</v>
      </c>
      <c r="H43" s="1" t="s">
        <v>44</v>
      </c>
      <c r="I43" s="2">
        <f>'2012 SAM'!C44</f>
        <v>85.551092335097522</v>
      </c>
      <c r="J43" s="2">
        <f>'2012 SAM'!D44</f>
        <v>58.866011277896099</v>
      </c>
      <c r="K43" s="2">
        <f>'2012 SAM'!E44</f>
        <v>317.85833246638242</v>
      </c>
      <c r="L43" s="2">
        <f>'2012 SAM'!F44</f>
        <v>3677.0221729976784</v>
      </c>
      <c r="N43" s="1" t="s">
        <v>44</v>
      </c>
      <c r="O43" s="2">
        <f t="shared" si="1"/>
        <v>0.7783544169910448</v>
      </c>
      <c r="P43" s="2">
        <f t="shared" si="2"/>
        <v>0.51725665564839884</v>
      </c>
      <c r="Q43" s="2">
        <f t="shared" si="3"/>
        <v>1.8271537599297787</v>
      </c>
      <c r="R43" s="2">
        <f t="shared" si="4"/>
        <v>9.3110589229792495</v>
      </c>
      <c r="S43" s="2"/>
      <c r="V43" s="2"/>
      <c r="W43" s="2"/>
      <c r="X43" s="2"/>
      <c r="Y43" s="2"/>
      <c r="Z43" s="2"/>
    </row>
    <row r="44" spans="1:26" x14ac:dyDescent="0.25">
      <c r="A44" s="1" t="s">
        <v>43</v>
      </c>
      <c r="B44" s="1" t="s">
        <v>45</v>
      </c>
      <c r="C44" s="2">
        <f>VLOOKUP($A44,Calc!$K$3:$AI$49,COLUMNS(Calc!$K$8:AF$8),)</f>
        <v>109912.77298305844</v>
      </c>
      <c r="D44" s="2">
        <f>VLOOKUP($A44,Calc!$K$3:$AI$49,COLUMNS(Calc!$K$8:AG$8),)</f>
        <v>113804.26068004005</v>
      </c>
      <c r="E44" s="2">
        <f>VLOOKUP($A44,Calc!$K$3:$AI$49,COLUMNS(Calc!$K$8:AH$8),)</f>
        <v>173963.64741552915</v>
      </c>
      <c r="F44" s="2">
        <f>VLOOKUP($A44,Calc!$K$3:$AI$49,COLUMNS(Calc!$K$8:AI$8),)</f>
        <v>394909.12939267978</v>
      </c>
      <c r="H44" s="1" t="s">
        <v>45</v>
      </c>
      <c r="I44" s="2">
        <f>'2012 SAM'!C45</f>
        <v>1.0875958527109988</v>
      </c>
      <c r="J44" s="2">
        <f>'2012 SAM'!D45</f>
        <v>1.8727351306770696</v>
      </c>
      <c r="K44" s="2">
        <f>'2012 SAM'!E45</f>
        <v>13.04113158126054</v>
      </c>
      <c r="L44" s="2">
        <f>'2012 SAM'!F45</f>
        <v>80.964740825374946</v>
      </c>
      <c r="N44" s="1" t="s">
        <v>45</v>
      </c>
      <c r="O44" s="2">
        <f t="shared" si="1"/>
        <v>9.8950815559774551E-3</v>
      </c>
      <c r="P44" s="2">
        <f t="shared" si="2"/>
        <v>1.6455755869652828E-2</v>
      </c>
      <c r="Q44" s="2">
        <f t="shared" si="3"/>
        <v>7.4964693917405192E-2</v>
      </c>
      <c r="R44" s="2">
        <f t="shared" si="4"/>
        <v>0.20502119297644109</v>
      </c>
      <c r="S44" s="2"/>
      <c r="V44" s="2"/>
      <c r="W44" s="2"/>
      <c r="X44" s="2"/>
      <c r="Y44" s="2"/>
      <c r="Z44" s="2"/>
    </row>
    <row r="45" spans="1:26" x14ac:dyDescent="0.25">
      <c r="A45" s="1" t="s">
        <v>43</v>
      </c>
      <c r="B45" s="1" t="s">
        <v>46</v>
      </c>
      <c r="C45" s="2">
        <f>VLOOKUP($A45,Calc!$K$3:$AI$49,COLUMNS(Calc!$K$8:AF$8),)</f>
        <v>109912.77298305844</v>
      </c>
      <c r="D45" s="2">
        <f>VLOOKUP($A45,Calc!$K$3:$AI$49,COLUMNS(Calc!$K$8:AG$8),)</f>
        <v>113804.26068004005</v>
      </c>
      <c r="E45" s="2">
        <f>VLOOKUP($A45,Calc!$K$3:$AI$49,COLUMNS(Calc!$K$8:AH$8),)</f>
        <v>173963.64741552915</v>
      </c>
      <c r="F45" s="2">
        <f>VLOOKUP($A45,Calc!$K$3:$AI$49,COLUMNS(Calc!$K$8:AI$8),)</f>
        <v>394909.12939267978</v>
      </c>
      <c r="H45" s="1" t="s">
        <v>46</v>
      </c>
      <c r="I45" s="2">
        <f>'2012 SAM'!C46</f>
        <v>6.8753935860340487E-6</v>
      </c>
      <c r="J45" s="2">
        <f>'2012 SAM'!D46</f>
        <v>6.9611934905206765E-6</v>
      </c>
      <c r="K45" s="2">
        <f>'2012 SAM'!E46</f>
        <v>4.8347294388158087E-5</v>
      </c>
      <c r="L45" s="2">
        <f>'2012 SAM'!F46</f>
        <v>5.2643447556722774E-4</v>
      </c>
      <c r="N45" s="1" t="s">
        <v>46</v>
      </c>
      <c r="O45" s="2">
        <f t="shared" si="1"/>
        <v>6.2553181031050837E-8</v>
      </c>
      <c r="P45" s="2">
        <f t="shared" si="2"/>
        <v>6.1168127176644347E-8</v>
      </c>
      <c r="Q45" s="2">
        <f t="shared" si="3"/>
        <v>2.7791607675755302E-7</v>
      </c>
      <c r="R45" s="2">
        <f t="shared" si="4"/>
        <v>1.3330521793122818E-6</v>
      </c>
      <c r="S45" s="2"/>
      <c r="V45" s="2"/>
      <c r="W45" s="2"/>
      <c r="X45" s="2"/>
      <c r="Y45" s="2"/>
      <c r="Z45" s="2"/>
    </row>
    <row r="46" spans="1:26" x14ac:dyDescent="0.25">
      <c r="A46" s="1" t="s">
        <v>43</v>
      </c>
      <c r="B46" s="1" t="s">
        <v>47</v>
      </c>
      <c r="C46" s="2">
        <f>VLOOKUP($A46,Calc!$K$3:$AI$49,COLUMNS(Calc!$K$8:AF$8),)</f>
        <v>109912.77298305844</v>
      </c>
      <c r="D46" s="2">
        <f>VLOOKUP($A46,Calc!$K$3:$AI$49,COLUMNS(Calc!$K$8:AG$8),)</f>
        <v>113804.26068004005</v>
      </c>
      <c r="E46" s="2">
        <f>VLOOKUP($A46,Calc!$K$3:$AI$49,COLUMNS(Calc!$K$8:AH$8),)</f>
        <v>173963.64741552915</v>
      </c>
      <c r="F46" s="2">
        <f>VLOOKUP($A46,Calc!$K$3:$AI$49,COLUMNS(Calc!$K$8:AI$8),)</f>
        <v>394909.12939267978</v>
      </c>
      <c r="H46" s="1" t="s">
        <v>47</v>
      </c>
      <c r="I46" s="2">
        <f>'2012 SAM'!C47</f>
        <v>6.8743106104668606E-6</v>
      </c>
      <c r="J46" s="2">
        <f>'2012 SAM'!D47</f>
        <v>6.9600970002071595E-6</v>
      </c>
      <c r="K46" s="2">
        <f>'2012 SAM'!E47</f>
        <v>4.833967897852271E-5</v>
      </c>
      <c r="L46" s="2">
        <f>'2012 SAM'!F47</f>
        <v>5.2635155439804211E-4</v>
      </c>
      <c r="N46" s="1" t="s">
        <v>47</v>
      </c>
      <c r="O46" s="2">
        <f t="shared" si="1"/>
        <v>6.2543327985423878E-8</v>
      </c>
      <c r="P46" s="2">
        <f t="shared" si="2"/>
        <v>6.1158492297361579E-8</v>
      </c>
      <c r="Q46" s="2">
        <f t="shared" si="3"/>
        <v>2.7787230088972941E-7</v>
      </c>
      <c r="R46" s="2">
        <f t="shared" si="4"/>
        <v>1.3328422039964083E-6</v>
      </c>
      <c r="S46" s="2"/>
      <c r="V46" s="2"/>
      <c r="W46" s="2"/>
      <c r="X46" s="2"/>
      <c r="Y46" s="2"/>
      <c r="Z46" s="2"/>
    </row>
    <row r="47" spans="1:26" x14ac:dyDescent="0.25">
      <c r="A47" s="1" t="s">
        <v>43</v>
      </c>
      <c r="B47" s="1" t="s">
        <v>48</v>
      </c>
      <c r="C47" s="2">
        <f>VLOOKUP($A47,Calc!$K$3:$AI$49,COLUMNS(Calc!$K$8:AF$8),)</f>
        <v>109912.77298305844</v>
      </c>
      <c r="D47" s="2">
        <f>VLOOKUP($A47,Calc!$K$3:$AI$49,COLUMNS(Calc!$K$8:AG$8),)</f>
        <v>113804.26068004005</v>
      </c>
      <c r="E47" s="2">
        <f>VLOOKUP($A47,Calc!$K$3:$AI$49,COLUMNS(Calc!$K$8:AH$8),)</f>
        <v>173963.64741552915</v>
      </c>
      <c r="F47" s="2">
        <f>VLOOKUP($A47,Calc!$K$3:$AI$49,COLUMNS(Calc!$K$8:AI$8),)</f>
        <v>394909.12939267978</v>
      </c>
      <c r="H47" s="1" t="s">
        <v>48</v>
      </c>
      <c r="I47" s="2">
        <f>'2012 SAM'!C48</f>
        <v>5.1026648132703453E-2</v>
      </c>
      <c r="J47" s="2">
        <f>'2012 SAM'!D48</f>
        <v>4.6792137281126328E-2</v>
      </c>
      <c r="K47" s="2">
        <f>'2012 SAM'!E48</f>
        <v>0.29085589309582649</v>
      </c>
      <c r="L47" s="2">
        <f>'2012 SAM'!F48</f>
        <v>2.6659142839138661</v>
      </c>
      <c r="N47" s="1" t="s">
        <v>48</v>
      </c>
      <c r="O47" s="2">
        <f t="shared" si="1"/>
        <v>4.6424675447473711E-4</v>
      </c>
      <c r="P47" s="2">
        <f t="shared" si="2"/>
        <v>4.1116331674683181E-4</v>
      </c>
      <c r="Q47" s="2">
        <f t="shared" si="3"/>
        <v>1.6719348979910085E-3</v>
      </c>
      <c r="R47" s="2">
        <f t="shared" si="4"/>
        <v>6.7507030997579227E-3</v>
      </c>
      <c r="S47" s="2"/>
      <c r="V47" s="2"/>
      <c r="W47" s="2"/>
      <c r="X47" s="2"/>
      <c r="Y47" s="2"/>
      <c r="Z47" s="2"/>
    </row>
    <row r="48" spans="1:26" x14ac:dyDescent="0.25">
      <c r="A48" s="1" t="s">
        <v>43</v>
      </c>
      <c r="B48" s="1" t="s">
        <v>49</v>
      </c>
      <c r="C48" s="2">
        <f>VLOOKUP($A48,Calc!$K$3:$AI$49,COLUMNS(Calc!$K$8:AF$8),)</f>
        <v>109912.77298305844</v>
      </c>
      <c r="D48" s="2">
        <f>VLOOKUP($A48,Calc!$K$3:$AI$49,COLUMNS(Calc!$K$8:AG$8),)</f>
        <v>113804.26068004005</v>
      </c>
      <c r="E48" s="2">
        <f>VLOOKUP($A48,Calc!$K$3:$AI$49,COLUMNS(Calc!$K$8:AH$8),)</f>
        <v>173963.64741552915</v>
      </c>
      <c r="F48" s="2">
        <f>VLOOKUP($A48,Calc!$K$3:$AI$49,COLUMNS(Calc!$K$8:AI$8),)</f>
        <v>394909.12939267978</v>
      </c>
      <c r="H48" s="1" t="s">
        <v>49</v>
      </c>
      <c r="I48" s="2">
        <f>'2012 SAM'!C49</f>
        <v>0.44584766458881742</v>
      </c>
      <c r="J48" s="2">
        <f>'2012 SAM'!D49</f>
        <v>0.42650370249847358</v>
      </c>
      <c r="K48" s="2">
        <f>'2012 SAM'!E49</f>
        <v>2.673032470934543</v>
      </c>
      <c r="L48" s="2">
        <f>'2012 SAM'!F49</f>
        <v>26.552466540619974</v>
      </c>
      <c r="N48" s="1" t="s">
        <v>49</v>
      </c>
      <c r="O48" s="2">
        <f t="shared" si="1"/>
        <v>4.056377184274468E-3</v>
      </c>
      <c r="P48" s="2">
        <f t="shared" si="2"/>
        <v>3.7476953846006344E-3</v>
      </c>
      <c r="Q48" s="2">
        <f t="shared" si="3"/>
        <v>1.5365465777742312E-2</v>
      </c>
      <c r="R48" s="2">
        <f t="shared" si="4"/>
        <v>6.7236902275352062E-2</v>
      </c>
      <c r="S48" s="2"/>
      <c r="V48" s="2"/>
      <c r="W48" s="2"/>
      <c r="X48" s="2"/>
      <c r="Y48" s="2"/>
      <c r="Z48" s="2"/>
    </row>
    <row r="49" spans="1:26" x14ac:dyDescent="0.25">
      <c r="A49" s="1" t="s">
        <v>43</v>
      </c>
      <c r="B49" s="1" t="s">
        <v>50</v>
      </c>
      <c r="C49" s="2">
        <f>VLOOKUP($A49,Calc!$K$3:$AI$49,COLUMNS(Calc!$K$8:AF$8),)</f>
        <v>109912.77298305844</v>
      </c>
      <c r="D49" s="2">
        <f>VLOOKUP($A49,Calc!$K$3:$AI$49,COLUMNS(Calc!$K$8:AG$8),)</f>
        <v>113804.26068004005</v>
      </c>
      <c r="E49" s="2">
        <f>VLOOKUP($A49,Calc!$K$3:$AI$49,COLUMNS(Calc!$K$8:AH$8),)</f>
        <v>173963.64741552915</v>
      </c>
      <c r="F49" s="2">
        <f>VLOOKUP($A49,Calc!$K$3:$AI$49,COLUMNS(Calc!$K$8:AI$8),)</f>
        <v>394909.12939267978</v>
      </c>
      <c r="H49" s="1" t="s">
        <v>50</v>
      </c>
      <c r="I49" s="2">
        <f>'2012 SAM'!C50</f>
        <v>1.1350708768848514</v>
      </c>
      <c r="J49" s="2">
        <f>'2012 SAM'!D50</f>
        <v>1.1492357347367856</v>
      </c>
      <c r="K49" s="2">
        <f>'2012 SAM'!E50</f>
        <v>7.9817402668625741</v>
      </c>
      <c r="L49" s="2">
        <f>'2012 SAM'!F50</f>
        <v>86.909997853546997</v>
      </c>
      <c r="N49" s="1" t="s">
        <v>50</v>
      </c>
      <c r="O49" s="2">
        <f t="shared" si="1"/>
        <v>1.0327015196494106E-2</v>
      </c>
      <c r="P49" s="2">
        <f t="shared" si="2"/>
        <v>1.00983542080894E-2</v>
      </c>
      <c r="Q49" s="2">
        <f t="shared" si="3"/>
        <v>4.5881656227852063E-2</v>
      </c>
      <c r="R49" s="2">
        <f t="shared" si="4"/>
        <v>0.22007593996928751</v>
      </c>
      <c r="S49" s="2"/>
      <c r="V49" s="2"/>
      <c r="W49" s="2"/>
      <c r="X49" s="2"/>
      <c r="Y49" s="2"/>
      <c r="Z49" s="2"/>
    </row>
    <row r="50" spans="1:26" x14ac:dyDescent="0.25">
      <c r="A50" s="1" t="s">
        <v>43</v>
      </c>
      <c r="B50" s="1" t="s">
        <v>51</v>
      </c>
      <c r="C50" s="2">
        <f>VLOOKUP($A50,Calc!$K$3:$AI$49,COLUMNS(Calc!$K$8:AF$8),)</f>
        <v>109912.77298305844</v>
      </c>
      <c r="D50" s="2">
        <f>VLOOKUP($A50,Calc!$K$3:$AI$49,COLUMNS(Calc!$K$8:AG$8),)</f>
        <v>113804.26068004005</v>
      </c>
      <c r="E50" s="2">
        <f>VLOOKUP($A50,Calc!$K$3:$AI$49,COLUMNS(Calc!$K$8:AH$8),)</f>
        <v>173963.64741552915</v>
      </c>
      <c r="F50" s="2">
        <f>VLOOKUP($A50,Calc!$K$3:$AI$49,COLUMNS(Calc!$K$8:AI$8),)</f>
        <v>394909.12939267978</v>
      </c>
      <c r="H50" s="1" t="s">
        <v>51</v>
      </c>
      <c r="I50" s="2">
        <f>'2012 SAM'!C51</f>
        <v>1.7906347153220143</v>
      </c>
      <c r="J50" s="2">
        <f>'2012 SAM'!D51</f>
        <v>1.8129805324192558</v>
      </c>
      <c r="K50" s="2">
        <f>'2012 SAM'!E51</f>
        <v>12.591620049095518</v>
      </c>
      <c r="L50" s="2">
        <f>'2012 SAM'!F51</f>
        <v>137.10514685411181</v>
      </c>
      <c r="N50" s="1" t="s">
        <v>51</v>
      </c>
      <c r="O50" s="2">
        <f t="shared" si="1"/>
        <v>1.6291416063154155E-2</v>
      </c>
      <c r="P50" s="2">
        <f t="shared" si="2"/>
        <v>1.5930691184897188E-2</v>
      </c>
      <c r="Q50" s="2">
        <f t="shared" si="3"/>
        <v>7.2380754463139102E-2</v>
      </c>
      <c r="R50" s="2">
        <f t="shared" si="4"/>
        <v>0.34718150746467208</v>
      </c>
      <c r="S50" s="2"/>
      <c r="V50" s="2"/>
      <c r="W50" s="2"/>
      <c r="X50" s="2"/>
      <c r="Y50" s="2"/>
      <c r="Z50" s="2"/>
    </row>
    <row r="51" spans="1:26" x14ac:dyDescent="0.25">
      <c r="A51" s="1" t="s">
        <v>52</v>
      </c>
      <c r="B51" s="1" t="s">
        <v>52</v>
      </c>
      <c r="C51" s="2">
        <f>VLOOKUP($A51,Calc!$K$3:$AI$49,COLUMNS(Calc!$K$8:AF$8),)</f>
        <v>109912.77298305844</v>
      </c>
      <c r="D51" s="2">
        <f>VLOOKUP($A51,Calc!$K$3:$AI$49,COLUMNS(Calc!$K$8:AG$8),)</f>
        <v>113804.26068004005</v>
      </c>
      <c r="E51" s="2">
        <f>VLOOKUP($A51,Calc!$K$3:$AI$49,COLUMNS(Calc!$K$8:AH$8),)</f>
        <v>173963.64741552915</v>
      </c>
      <c r="F51" s="2">
        <f>VLOOKUP($A51,Calc!$K$3:$AI$49,COLUMNS(Calc!$K$8:AI$8),)</f>
        <v>394909.12939267978</v>
      </c>
      <c r="H51" s="1" t="s">
        <v>52</v>
      </c>
      <c r="I51" s="2">
        <f>'2012 SAM'!C52</f>
        <v>650.10863830009805</v>
      </c>
      <c r="J51" s="2">
        <f>'2012 SAM'!D52</f>
        <v>734.85586515397688</v>
      </c>
      <c r="K51" s="2">
        <f>'2012 SAM'!E52</f>
        <v>1398.1068069323157</v>
      </c>
      <c r="L51" s="2">
        <f>'2012 SAM'!F52</f>
        <v>3564.1475383217457</v>
      </c>
      <c r="N51" s="1" t="s">
        <v>52</v>
      </c>
      <c r="O51" s="2">
        <f t="shared" si="1"/>
        <v>5.9147687812434997</v>
      </c>
      <c r="P51" s="2">
        <f t="shared" si="2"/>
        <v>6.4571911522717009</v>
      </c>
      <c r="Q51" s="2">
        <f t="shared" si="3"/>
        <v>8.0367756580361949</v>
      </c>
      <c r="R51" s="2">
        <f t="shared" si="4"/>
        <v>9.0252345996734817</v>
      </c>
      <c r="S51" s="2"/>
      <c r="V51" s="2"/>
      <c r="W51" s="2"/>
      <c r="X51" s="2"/>
      <c r="Y51" s="2"/>
      <c r="Z51" s="2"/>
    </row>
    <row r="52" spans="1:26" x14ac:dyDescent="0.25">
      <c r="A52" s="1" t="s">
        <v>53</v>
      </c>
      <c r="B52" s="1" t="s">
        <v>53</v>
      </c>
      <c r="C52" s="2">
        <f>VLOOKUP($A52,Calc!$K$3:$AI$49,COLUMNS(Calc!$K$8:AF$8),)</f>
        <v>18628.824444639002</v>
      </c>
      <c r="D52" s="2">
        <f>VLOOKUP($A52,Calc!$K$3:$AI$49,COLUMNS(Calc!$K$8:AG$8),)</f>
        <v>24497.087040897335</v>
      </c>
      <c r="E52" s="2">
        <f>VLOOKUP($A52,Calc!$K$3:$AI$49,COLUMNS(Calc!$K$8:AH$8),)</f>
        <v>36983.812779264372</v>
      </c>
      <c r="F52" s="2">
        <f>VLOOKUP($A52,Calc!$K$3:$AI$49,COLUMNS(Calc!$K$8:AI$8),)</f>
        <v>80671.610664369349</v>
      </c>
      <c r="H52" s="1" t="s">
        <v>53</v>
      </c>
      <c r="I52" s="2">
        <f>'2012 SAM'!C53</f>
        <v>4254.1094206398921</v>
      </c>
      <c r="J52" s="2">
        <f>'2012 SAM'!D53</f>
        <v>6886.7197256688769</v>
      </c>
      <c r="K52" s="2">
        <f>'2012 SAM'!E53</f>
        <v>12405.133882058668</v>
      </c>
      <c r="L52" s="2">
        <f>'2012 SAM'!F53</f>
        <v>19832.605135392911</v>
      </c>
      <c r="N52" s="1" t="s">
        <v>53</v>
      </c>
      <c r="O52" s="2">
        <f t="shared" si="1"/>
        <v>228.36166787025246</v>
      </c>
      <c r="P52" s="2">
        <f t="shared" si="2"/>
        <v>281.12402565136227</v>
      </c>
      <c r="Q52" s="2">
        <f t="shared" si="3"/>
        <v>335.42063269944481</v>
      </c>
      <c r="R52" s="2">
        <f t="shared" si="4"/>
        <v>245.84367377894043</v>
      </c>
      <c r="S52" s="2"/>
      <c r="V52" s="2"/>
      <c r="W52" s="2"/>
      <c r="X52" s="2"/>
      <c r="Y52" s="2"/>
      <c r="Z52" s="2"/>
    </row>
    <row r="53" spans="1:26" x14ac:dyDescent="0.25">
      <c r="A53" s="1" t="s">
        <v>54</v>
      </c>
      <c r="B53" s="1" t="s">
        <v>54</v>
      </c>
      <c r="C53" s="2">
        <f>VLOOKUP($A53,Calc!$K$3:$AI$49,COLUMNS(Calc!$K$8:AF$8),)</f>
        <v>27531.440798487369</v>
      </c>
      <c r="D53" s="2">
        <f>VLOOKUP($A53,Calc!$K$3:$AI$49,COLUMNS(Calc!$K$8:AG$8),)</f>
        <v>37679.970788408136</v>
      </c>
      <c r="E53" s="2">
        <f>VLOOKUP($A53,Calc!$K$3:$AI$49,COLUMNS(Calc!$K$8:AH$8),)</f>
        <v>49100.978248371583</v>
      </c>
      <c r="F53" s="2">
        <f>VLOOKUP($A53,Calc!$K$3:$AI$49,COLUMNS(Calc!$K$8:AI$8),)</f>
        <v>101121.99059701859</v>
      </c>
      <c r="H53" s="1" t="s">
        <v>54</v>
      </c>
      <c r="I53" s="2">
        <f>'2012 SAM'!C54</f>
        <v>8567.7226035906824</v>
      </c>
      <c r="J53" s="2">
        <f>'2012 SAM'!D54</f>
        <v>19849.294243101696</v>
      </c>
      <c r="K53" s="2">
        <f>'2012 SAM'!E54</f>
        <v>47242.965373286846</v>
      </c>
      <c r="L53" s="2">
        <f>'2012 SAM'!F54</f>
        <v>81715.585784961499</v>
      </c>
      <c r="N53" s="1" t="s">
        <v>54</v>
      </c>
      <c r="O53" s="2">
        <f t="shared" si="1"/>
        <v>311.19775627802994</v>
      </c>
      <c r="P53" s="2">
        <f t="shared" si="2"/>
        <v>526.78634902785359</v>
      </c>
      <c r="Q53" s="2">
        <f t="shared" si="3"/>
        <v>962.159351170435</v>
      </c>
      <c r="R53" s="2">
        <f t="shared" si="4"/>
        <v>808.08917330955649</v>
      </c>
      <c r="S53" s="2"/>
      <c r="V53" s="2"/>
      <c r="W53" s="2"/>
      <c r="X53" s="2"/>
      <c r="Y53" s="2"/>
      <c r="Z53" s="2"/>
    </row>
    <row r="54" spans="1:26" x14ac:dyDescent="0.25">
      <c r="A54" s="1" t="s">
        <v>55</v>
      </c>
      <c r="B54" s="1" t="s">
        <v>55</v>
      </c>
      <c r="C54" s="2">
        <f>VLOOKUP($A54,Calc!$K$3:$AI$49,COLUMNS(Calc!$K$8:AF$8),)</f>
        <v>11150.946584519235</v>
      </c>
      <c r="D54" s="2">
        <f>VLOOKUP($A54,Calc!$K$3:$AI$49,COLUMNS(Calc!$K$8:AG$8),)</f>
        <v>14772.907544518657</v>
      </c>
      <c r="E54" s="2">
        <f>VLOOKUP($A54,Calc!$K$3:$AI$49,COLUMNS(Calc!$K$8:AH$8),)</f>
        <v>17179.273417791945</v>
      </c>
      <c r="F54" s="2">
        <f>VLOOKUP($A54,Calc!$K$3:$AI$49,COLUMNS(Calc!$K$8:AI$8),)</f>
        <v>28190.49905420241</v>
      </c>
      <c r="H54" s="1" t="s">
        <v>55</v>
      </c>
      <c r="I54" s="2">
        <f>'2012 SAM'!C55</f>
        <v>435.69385902360301</v>
      </c>
      <c r="J54" s="2">
        <f>'2012 SAM'!D55</f>
        <v>1378.5116677547057</v>
      </c>
      <c r="K54" s="2">
        <f>'2012 SAM'!E55</f>
        <v>3917.7955107218845</v>
      </c>
      <c r="L54" s="2">
        <f>'2012 SAM'!F55</f>
        <v>4970.7711175066552</v>
      </c>
      <c r="N54" s="1" t="s">
        <v>55</v>
      </c>
      <c r="O54" s="2">
        <f t="shared" si="1"/>
        <v>39.072365356719857</v>
      </c>
      <c r="P54" s="2">
        <f t="shared" si="2"/>
        <v>93.313497265214323</v>
      </c>
      <c r="Q54" s="2">
        <f t="shared" si="3"/>
        <v>228.0536210957774</v>
      </c>
      <c r="R54" s="2">
        <f t="shared" si="4"/>
        <v>176.32788649641353</v>
      </c>
      <c r="S54" s="2"/>
      <c r="V54" s="2"/>
      <c r="W54" s="2"/>
      <c r="X54" s="2"/>
      <c r="Y54" s="2"/>
      <c r="Z54" s="2"/>
    </row>
    <row r="55" spans="1:26" x14ac:dyDescent="0.25">
      <c r="A55" s="1" t="s">
        <v>56</v>
      </c>
      <c r="B55" s="1" t="s">
        <v>56</v>
      </c>
      <c r="C55" s="2">
        <f>VLOOKUP($A55,Calc!$K$3:$AI$49,COLUMNS(Calc!$K$8:AF$8),)</f>
        <v>74096.001589507112</v>
      </c>
      <c r="D55" s="2">
        <f>VLOOKUP($A55,Calc!$K$3:$AI$49,COLUMNS(Calc!$K$8:AG$8),)</f>
        <v>92560.365954132663</v>
      </c>
      <c r="E55" s="2">
        <f>VLOOKUP($A55,Calc!$K$3:$AI$49,COLUMNS(Calc!$K$8:AH$8),)</f>
        <v>158511.82852879734</v>
      </c>
      <c r="F55" s="2">
        <f>VLOOKUP($A55,Calc!$K$3:$AI$49,COLUMNS(Calc!$K$8:AI$8),)</f>
        <v>377143.28387493751</v>
      </c>
      <c r="H55" s="1" t="s">
        <v>56</v>
      </c>
      <c r="I55" s="2">
        <f>'2012 SAM'!C56</f>
        <v>289.57625391490626</v>
      </c>
      <c r="J55" s="2">
        <f>'2012 SAM'!D56</f>
        <v>654.76299764809005</v>
      </c>
      <c r="K55" s="2">
        <f>'2012 SAM'!E56</f>
        <v>3548.0126794427533</v>
      </c>
      <c r="L55" s="2">
        <f>'2012 SAM'!F56</f>
        <v>10374.803136820625</v>
      </c>
      <c r="N55" s="1" t="s">
        <v>56</v>
      </c>
      <c r="O55" s="2">
        <f t="shared" si="1"/>
        <v>3.9081225397176325</v>
      </c>
      <c r="P55" s="2">
        <f t="shared" si="2"/>
        <v>7.0739024300373998</v>
      </c>
      <c r="Q55" s="2">
        <f t="shared" si="3"/>
        <v>22.383267623451676</v>
      </c>
      <c r="R55" s="2">
        <f t="shared" si="4"/>
        <v>27.508916585296955</v>
      </c>
      <c r="S55" s="2"/>
      <c r="V55" s="2"/>
      <c r="W55" s="2"/>
      <c r="X55" s="2"/>
      <c r="Y55" s="2"/>
      <c r="Z55" s="2"/>
    </row>
    <row r="56" spans="1:26" x14ac:dyDescent="0.25">
      <c r="A56" s="1" t="s">
        <v>57</v>
      </c>
      <c r="B56" s="1" t="s">
        <v>57</v>
      </c>
      <c r="C56" s="2">
        <f>VLOOKUP($A56,Calc!$K$3:$AI$49,COLUMNS(Calc!$K$8:AF$8),)</f>
        <v>45718.482565328115</v>
      </c>
      <c r="D56" s="2">
        <f>VLOOKUP($A56,Calc!$K$3:$AI$49,COLUMNS(Calc!$K$8:AG$8),)</f>
        <v>60091.572392250942</v>
      </c>
      <c r="E56" s="2">
        <f>VLOOKUP($A56,Calc!$K$3:$AI$49,COLUMNS(Calc!$K$8:AH$8),)</f>
        <v>65091.478053096682</v>
      </c>
      <c r="F56" s="2">
        <f>VLOOKUP($A56,Calc!$K$3:$AI$49,COLUMNS(Calc!$K$8:AI$8),)</f>
        <v>112082.66856934922</v>
      </c>
      <c r="H56" s="1" t="s">
        <v>57</v>
      </c>
      <c r="I56" s="2">
        <f>'2012 SAM'!C57</f>
        <v>1195.130487626848</v>
      </c>
      <c r="J56" s="2">
        <f>'2012 SAM'!D57</f>
        <v>2875.4678957273218</v>
      </c>
      <c r="K56" s="2">
        <f>'2012 SAM'!E57</f>
        <v>5322.5251029446599</v>
      </c>
      <c r="L56" s="2">
        <f>'2012 SAM'!F57</f>
        <v>7083.5773270236159</v>
      </c>
      <c r="N56" s="1" t="s">
        <v>57</v>
      </c>
      <c r="O56" s="2">
        <f t="shared" si="1"/>
        <v>26.141079505845376</v>
      </c>
      <c r="P56" s="2">
        <f t="shared" si="2"/>
        <v>47.851433757758102</v>
      </c>
      <c r="Q56" s="2">
        <f t="shared" si="3"/>
        <v>81.769922302316573</v>
      </c>
      <c r="R56" s="2">
        <f t="shared" si="4"/>
        <v>63.199577753100819</v>
      </c>
      <c r="S56" s="2"/>
      <c r="V56" s="2"/>
      <c r="W56" s="2"/>
      <c r="X56" s="2"/>
      <c r="Y56" s="2"/>
      <c r="Z56" s="2"/>
    </row>
    <row r="57" spans="1:26" x14ac:dyDescent="0.25">
      <c r="A57" s="1" t="s">
        <v>57</v>
      </c>
      <c r="B57" s="1" t="s">
        <v>58</v>
      </c>
      <c r="C57" s="2">
        <f>VLOOKUP($A57,Calc!$K$3:$AI$49,COLUMNS(Calc!$K$8:AF$8),)</f>
        <v>45718.482565328115</v>
      </c>
      <c r="D57" s="2">
        <f>VLOOKUP($A57,Calc!$K$3:$AI$49,COLUMNS(Calc!$K$8:AG$8),)</f>
        <v>60091.572392250942</v>
      </c>
      <c r="E57" s="2">
        <f>VLOOKUP($A57,Calc!$K$3:$AI$49,COLUMNS(Calc!$K$8:AH$8),)</f>
        <v>65091.478053096682</v>
      </c>
      <c r="F57" s="2">
        <f>VLOOKUP($A57,Calc!$K$3:$AI$49,COLUMNS(Calc!$K$8:AI$8),)</f>
        <v>112082.66856934922</v>
      </c>
      <c r="H57" s="1" t="s">
        <v>58</v>
      </c>
      <c r="I57" s="2">
        <f>'2012 SAM'!C58</f>
        <v>1966.8308242160797</v>
      </c>
      <c r="J57" s="2">
        <f>'2012 SAM'!D58</f>
        <v>4732.1685371698622</v>
      </c>
      <c r="K57" s="2">
        <f>'2012 SAM'!E58</f>
        <v>8759.299962234727</v>
      </c>
      <c r="L57" s="2">
        <f>'2012 SAM'!F58</f>
        <v>11657.470357210233</v>
      </c>
      <c r="N57" s="1" t="s">
        <v>58</v>
      </c>
      <c r="O57" s="2">
        <f t="shared" si="1"/>
        <v>43.02047473700889</v>
      </c>
      <c r="P57" s="2">
        <f t="shared" si="2"/>
        <v>78.749287941416796</v>
      </c>
      <c r="Q57" s="2">
        <f t="shared" si="3"/>
        <v>134.56907454290032</v>
      </c>
      <c r="R57" s="2">
        <f t="shared" si="4"/>
        <v>104.00778734133524</v>
      </c>
      <c r="S57" s="2"/>
      <c r="V57" s="2"/>
      <c r="W57" s="2"/>
      <c r="X57" s="2"/>
      <c r="Y57" s="2"/>
      <c r="Z57" s="2"/>
    </row>
    <row r="58" spans="1:26" x14ac:dyDescent="0.25">
      <c r="A58" s="1" t="s">
        <v>57</v>
      </c>
      <c r="B58" s="1" t="s">
        <v>59</v>
      </c>
      <c r="C58" s="2">
        <f>VLOOKUP($A58,Calc!$K$3:$AI$49,COLUMNS(Calc!$K$8:AF$8),)</f>
        <v>45718.482565328115</v>
      </c>
      <c r="D58" s="2">
        <f>VLOOKUP($A58,Calc!$K$3:$AI$49,COLUMNS(Calc!$K$8:AG$8),)</f>
        <v>60091.572392250942</v>
      </c>
      <c r="E58" s="2">
        <f>VLOOKUP($A58,Calc!$K$3:$AI$49,COLUMNS(Calc!$K$8:AH$8),)</f>
        <v>65091.478053096682</v>
      </c>
      <c r="F58" s="2">
        <f>VLOOKUP($A58,Calc!$K$3:$AI$49,COLUMNS(Calc!$K$8:AI$8),)</f>
        <v>112082.66856934922</v>
      </c>
      <c r="H58" s="1" t="s">
        <v>59</v>
      </c>
      <c r="I58" s="2">
        <f>'2012 SAM'!C59</f>
        <v>1.1039688921036022</v>
      </c>
      <c r="J58" s="2">
        <f>'2012 SAM'!D59</f>
        <v>2.6561343217249678</v>
      </c>
      <c r="K58" s="2">
        <f>'2012 SAM'!E59</f>
        <v>4.9165360618982401</v>
      </c>
      <c r="L58" s="2">
        <f>'2012 SAM'!F59</f>
        <v>6.5432595811128591</v>
      </c>
      <c r="N58" s="1" t="s">
        <v>59</v>
      </c>
      <c r="O58" s="2">
        <f t="shared" si="1"/>
        <v>2.4147102663044807E-2</v>
      </c>
      <c r="P58" s="2">
        <f t="shared" si="2"/>
        <v>4.4201444828018632E-2</v>
      </c>
      <c r="Q58" s="2">
        <f t="shared" si="3"/>
        <v>7.5532715018204133E-2</v>
      </c>
      <c r="R58" s="2">
        <f t="shared" si="4"/>
        <v>5.8378870387657926E-2</v>
      </c>
      <c r="S58" s="2"/>
      <c r="V58" s="2"/>
      <c r="W58" s="2"/>
      <c r="X58" s="2"/>
      <c r="Y58" s="2"/>
      <c r="Z58" s="2"/>
    </row>
    <row r="59" spans="1:26" x14ac:dyDescent="0.25">
      <c r="A59" s="1" t="s">
        <v>60</v>
      </c>
      <c r="B59" s="1" t="s">
        <v>60</v>
      </c>
      <c r="C59" s="2">
        <f>VLOOKUP($A59,Calc!$K$3:$AI$49,COLUMNS(Calc!$K$8:AF$8),)</f>
        <v>17120.269022986908</v>
      </c>
      <c r="D59" s="2">
        <f>VLOOKUP($A59,Calc!$K$3:$AI$49,COLUMNS(Calc!$K$8:AG$8),)</f>
        <v>21890.130788774077</v>
      </c>
      <c r="E59" s="2">
        <f>VLOOKUP($A59,Calc!$K$3:$AI$49,COLUMNS(Calc!$K$8:AH$8),)</f>
        <v>35425.533685778057</v>
      </c>
      <c r="F59" s="2">
        <f>VLOOKUP($A59,Calc!$K$3:$AI$49,COLUMNS(Calc!$K$8:AI$8),)</f>
        <v>75670.387105936752</v>
      </c>
      <c r="H59" s="1" t="s">
        <v>60</v>
      </c>
      <c r="I59" s="2">
        <f>'2012 SAM'!C60</f>
        <v>0</v>
      </c>
      <c r="J59" s="2">
        <f>'2012 SAM'!D60</f>
        <v>5.1807017274862849E-5</v>
      </c>
      <c r="K59" s="2">
        <f>'2012 SAM'!E60</f>
        <v>1.3185222883716088E-2</v>
      </c>
      <c r="L59" s="2">
        <f>'2012 SAM'!F60</f>
        <v>2.7114552651415304E-2</v>
      </c>
      <c r="N59" s="1" t="s">
        <v>60</v>
      </c>
      <c r="O59" s="2">
        <f t="shared" si="1"/>
        <v>0</v>
      </c>
      <c r="P59" s="2">
        <f t="shared" si="2"/>
        <v>2.3666837706347126E-6</v>
      </c>
      <c r="Q59" s="2">
        <f t="shared" si="3"/>
        <v>3.7219546219594235E-4</v>
      </c>
      <c r="R59" s="2">
        <f t="shared" si="4"/>
        <v>3.583244871399372E-4</v>
      </c>
      <c r="S59" s="2"/>
    </row>
    <row r="60" spans="1:26" x14ac:dyDescent="0.25">
      <c r="A60" s="1" t="s">
        <v>60</v>
      </c>
      <c r="B60" s="1" t="s">
        <v>61</v>
      </c>
      <c r="C60" s="2">
        <f>VLOOKUP($A60,Calc!$K$3:$AI$49,COLUMNS(Calc!$K$8:AF$8),)</f>
        <v>17120.269022986908</v>
      </c>
      <c r="D60" s="2">
        <f>VLOOKUP($A60,Calc!$K$3:$AI$49,COLUMNS(Calc!$K$8:AG$8),)</f>
        <v>21890.130788774077</v>
      </c>
      <c r="E60" s="2">
        <f>VLOOKUP($A60,Calc!$K$3:$AI$49,COLUMNS(Calc!$K$8:AH$8),)</f>
        <v>35425.533685778057</v>
      </c>
      <c r="F60" s="2">
        <f>VLOOKUP($A60,Calc!$K$3:$AI$49,COLUMNS(Calc!$K$8:AI$8),)</f>
        <v>75670.387105936752</v>
      </c>
      <c r="H60" s="1" t="s">
        <v>61</v>
      </c>
      <c r="I60" s="2">
        <f>'2012 SAM'!C61</f>
        <v>0</v>
      </c>
      <c r="J60" s="2">
        <f>'2012 SAM'!D61</f>
        <v>0.11298959286627412</v>
      </c>
      <c r="K60" s="2">
        <f>'2012 SAM'!E61</f>
        <v>28.756586343854622</v>
      </c>
      <c r="L60" s="2">
        <f>'2012 SAM'!F61</f>
        <v>59.136048087467877</v>
      </c>
      <c r="N60" s="1" t="s">
        <v>61</v>
      </c>
      <c r="O60" s="2">
        <f t="shared" si="1"/>
        <v>0</v>
      </c>
      <c r="P60" s="2">
        <f t="shared" si="2"/>
        <v>5.1616682402015899E-3</v>
      </c>
      <c r="Q60" s="2">
        <f t="shared" si="3"/>
        <v>0.81174744180069325</v>
      </c>
      <c r="R60" s="2">
        <f t="shared" si="4"/>
        <v>0.78149524998040254</v>
      </c>
      <c r="S60" s="2"/>
    </row>
    <row r="61" spans="1:26" x14ac:dyDescent="0.25">
      <c r="A61" s="1" t="s">
        <v>60</v>
      </c>
      <c r="B61" s="1" t="s">
        <v>62</v>
      </c>
      <c r="C61" s="2">
        <f>VLOOKUP($A61,Calc!$K$3:$AI$49,COLUMNS(Calc!$K$8:AF$8),)</f>
        <v>17120.269022986908</v>
      </c>
      <c r="D61" s="2">
        <f>VLOOKUP($A61,Calc!$K$3:$AI$49,COLUMNS(Calc!$K$8:AG$8),)</f>
        <v>21890.130788774077</v>
      </c>
      <c r="E61" s="2">
        <f>VLOOKUP($A61,Calc!$K$3:$AI$49,COLUMNS(Calc!$K$8:AH$8),)</f>
        <v>35425.533685778057</v>
      </c>
      <c r="F61" s="2">
        <f>VLOOKUP($A61,Calc!$K$3:$AI$49,COLUMNS(Calc!$K$8:AI$8),)</f>
        <v>75670.387105936752</v>
      </c>
      <c r="H61" s="1" t="s">
        <v>62</v>
      </c>
      <c r="I61" s="2">
        <f>'2012 SAM'!C62</f>
        <v>0</v>
      </c>
      <c r="J61" s="2">
        <f>'2012 SAM'!D62</f>
        <v>1.0853771587571615E-2</v>
      </c>
      <c r="K61" s="2">
        <f>'2012 SAM'!E62</f>
        <v>2.7623554691791625</v>
      </c>
      <c r="L61" s="2">
        <f>'2012 SAM'!F62</f>
        <v>5.6806042242551609</v>
      </c>
      <c r="N61" s="1" t="s">
        <v>62</v>
      </c>
      <c r="O61" s="2">
        <f t="shared" si="1"/>
        <v>0</v>
      </c>
      <c r="P61" s="2">
        <f t="shared" si="2"/>
        <v>4.9582945356990552E-4</v>
      </c>
      <c r="Q61" s="2">
        <f t="shared" si="3"/>
        <v>7.7976396733527215E-2</v>
      </c>
      <c r="R61" s="2">
        <f t="shared" si="4"/>
        <v>7.5070373517482455E-2</v>
      </c>
      <c r="S61" s="2"/>
    </row>
    <row r="62" spans="1:26" x14ac:dyDescent="0.25">
      <c r="A62" s="1" t="s">
        <v>63</v>
      </c>
      <c r="B62" s="1" t="s">
        <v>63</v>
      </c>
      <c r="C62" s="2">
        <f>VLOOKUP($A62,Calc!$K$3:$AI$49,COLUMNS(Calc!$K$8:AF$8),)</f>
        <v>17120.269022986908</v>
      </c>
      <c r="D62" s="2">
        <f>VLOOKUP($A62,Calc!$K$3:$AI$49,COLUMNS(Calc!$K$8:AG$8),)</f>
        <v>21890.130788774077</v>
      </c>
      <c r="E62" s="2">
        <f>VLOOKUP($A62,Calc!$K$3:$AI$49,COLUMNS(Calc!$K$8:AH$8),)</f>
        <v>35425.533685778057</v>
      </c>
      <c r="F62" s="2">
        <f>VLOOKUP($A62,Calc!$K$3:$AI$49,COLUMNS(Calc!$K$8:AI$8),)</f>
        <v>75670.387105936752</v>
      </c>
      <c r="H62" s="1" t="s">
        <v>63</v>
      </c>
      <c r="I62" s="2">
        <f>'2012 SAM'!C63</f>
        <v>36.486759383160567</v>
      </c>
      <c r="J62" s="2">
        <f>'2012 SAM'!D63</f>
        <v>31.722820003656263</v>
      </c>
      <c r="K62" s="2">
        <f>'2012 SAM'!E63</f>
        <v>383.29325732407136</v>
      </c>
      <c r="L62" s="2">
        <f>'2012 SAM'!F63</f>
        <v>1564.8753508852733</v>
      </c>
      <c r="N62" s="1" t="s">
        <v>63</v>
      </c>
      <c r="O62" s="2">
        <f t="shared" si="1"/>
        <v>2.131202455648963</v>
      </c>
      <c r="P62" s="2">
        <f t="shared" si="2"/>
        <v>1.4491836668205147</v>
      </c>
      <c r="Q62" s="2">
        <f t="shared" si="3"/>
        <v>10.819689005220219</v>
      </c>
      <c r="R62" s="2">
        <f t="shared" si="4"/>
        <v>20.680155219696243</v>
      </c>
      <c r="S62" s="2"/>
    </row>
    <row r="63" spans="1:26" x14ac:dyDescent="0.25">
      <c r="A63" s="1" t="s">
        <v>63</v>
      </c>
      <c r="B63" s="1" t="s">
        <v>64</v>
      </c>
      <c r="C63" s="2">
        <f>VLOOKUP($A63,Calc!$K$3:$AI$49,COLUMNS(Calc!$K$8:AF$8),)</f>
        <v>17120.269022986908</v>
      </c>
      <c r="D63" s="2">
        <f>VLOOKUP($A63,Calc!$K$3:$AI$49,COLUMNS(Calc!$K$8:AG$8),)</f>
        <v>21890.130788774077</v>
      </c>
      <c r="E63" s="2">
        <f>VLOOKUP($A63,Calc!$K$3:$AI$49,COLUMNS(Calc!$K$8:AH$8),)</f>
        <v>35425.533685778057</v>
      </c>
      <c r="F63" s="2">
        <f>VLOOKUP($A63,Calc!$K$3:$AI$49,COLUMNS(Calc!$K$8:AI$8),)</f>
        <v>75670.387105936752</v>
      </c>
      <c r="H63" s="1" t="s">
        <v>64</v>
      </c>
      <c r="I63" s="2">
        <f>'2012 SAM'!C64</f>
        <v>6.3584123927000613</v>
      </c>
      <c r="J63" s="2">
        <f>'2012 SAM'!D64</f>
        <v>5.5282183250215819</v>
      </c>
      <c r="K63" s="2">
        <f>'2012 SAM'!E64</f>
        <v>66.795096046061587</v>
      </c>
      <c r="L63" s="2">
        <f>'2012 SAM'!F64</f>
        <v>272.70503032647991</v>
      </c>
      <c r="N63" s="1" t="s">
        <v>64</v>
      </c>
      <c r="O63" s="2">
        <f t="shared" si="1"/>
        <v>0.37139675691794322</v>
      </c>
      <c r="P63" s="2">
        <f t="shared" si="2"/>
        <v>0.25254386912373405</v>
      </c>
      <c r="Q63" s="2">
        <f t="shared" si="3"/>
        <v>1.8855071214601677</v>
      </c>
      <c r="R63" s="2">
        <f t="shared" si="4"/>
        <v>3.6038540406129984</v>
      </c>
      <c r="S63" s="2"/>
    </row>
    <row r="64" spans="1:26" x14ac:dyDescent="0.25">
      <c r="A64" s="1" t="s">
        <v>63</v>
      </c>
      <c r="B64" s="1" t="s">
        <v>65</v>
      </c>
      <c r="C64" s="2">
        <f>VLOOKUP($A64,Calc!$K$3:$AI$49,COLUMNS(Calc!$K$8:AF$8),)</f>
        <v>17120.269022986908</v>
      </c>
      <c r="D64" s="2">
        <f>VLOOKUP($A64,Calc!$K$3:$AI$49,COLUMNS(Calc!$K$8:AG$8),)</f>
        <v>21890.130788774077</v>
      </c>
      <c r="E64" s="2">
        <f>VLOOKUP($A64,Calc!$K$3:$AI$49,COLUMNS(Calc!$K$8:AH$8),)</f>
        <v>35425.533685778057</v>
      </c>
      <c r="F64" s="2">
        <f>VLOOKUP($A64,Calc!$K$3:$AI$49,COLUMNS(Calc!$K$8:AI$8),)</f>
        <v>75670.387105936752</v>
      </c>
      <c r="H64" s="1" t="s">
        <v>65</v>
      </c>
      <c r="I64" s="2">
        <f>'2012 SAM'!C65</f>
        <v>2.3688734135926253</v>
      </c>
      <c r="J64" s="2">
        <f>'2012 SAM'!D65</f>
        <v>2.0595784931650511</v>
      </c>
      <c r="K64" s="2">
        <f>'2012 SAM'!E65</f>
        <v>24.88500547141928</v>
      </c>
      <c r="L64" s="2">
        <f>'2012 SAM'!F65</f>
        <v>101.59826953580898</v>
      </c>
      <c r="N64" s="1" t="s">
        <v>65</v>
      </c>
      <c r="O64" s="2">
        <f t="shared" si="1"/>
        <v>0.13836659987129904</v>
      </c>
      <c r="P64" s="2">
        <f t="shared" si="2"/>
        <v>9.4087080293794562E-2</v>
      </c>
      <c r="Q64" s="2">
        <f t="shared" si="3"/>
        <v>0.7024595787927288</v>
      </c>
      <c r="R64" s="2">
        <f t="shared" si="4"/>
        <v>1.3426423918457533</v>
      </c>
      <c r="S64" s="2"/>
    </row>
    <row r="65" spans="1:19" x14ac:dyDescent="0.25">
      <c r="A65" s="1" t="s">
        <v>66</v>
      </c>
      <c r="B65" s="1" t="s">
        <v>66</v>
      </c>
      <c r="C65" s="2">
        <f>VLOOKUP($A65,Calc!$K$3:$AI$49,COLUMNS(Calc!$K$8:AF$8),)</f>
        <v>38922.289251145761</v>
      </c>
      <c r="D65" s="2">
        <f>VLOOKUP($A65,Calc!$K$3:$AI$49,COLUMNS(Calc!$K$8:AG$8),)</f>
        <v>51654.391311842555</v>
      </c>
      <c r="E65" s="2">
        <f>VLOOKUP($A65,Calc!$K$3:$AI$49,COLUMNS(Calc!$K$8:AH$8),)</f>
        <v>74563.357330415951</v>
      </c>
      <c r="F65" s="2">
        <f>VLOOKUP($A65,Calc!$K$3:$AI$49,COLUMNS(Calc!$K$8:AI$8),)</f>
        <v>193150.13343600536</v>
      </c>
      <c r="H65" s="1" t="s">
        <v>66</v>
      </c>
      <c r="I65" s="2">
        <f>'2012 SAM'!C66</f>
        <v>173.27985087217718</v>
      </c>
      <c r="J65" s="2">
        <f>'2012 SAM'!D66</f>
        <v>824.23213242766599</v>
      </c>
      <c r="K65" s="2">
        <f>'2012 SAM'!E66</f>
        <v>4127.9036246201867</v>
      </c>
      <c r="L65" s="2">
        <f>'2012 SAM'!F66</f>
        <v>19000.466162248551</v>
      </c>
      <c r="N65" s="1" t="s">
        <v>66</v>
      </c>
      <c r="O65" s="2">
        <f t="shared" si="1"/>
        <v>4.4519439685083864</v>
      </c>
      <c r="P65" s="2">
        <f t="shared" si="2"/>
        <v>15.956671088266184</v>
      </c>
      <c r="Q65" s="2">
        <f t="shared" si="3"/>
        <v>55.361021450898761</v>
      </c>
      <c r="R65" s="2">
        <f t="shared" si="4"/>
        <v>98.371488666580703</v>
      </c>
      <c r="S65" s="2"/>
    </row>
    <row r="66" spans="1:19" x14ac:dyDescent="0.25">
      <c r="A66" s="1" t="s">
        <v>67</v>
      </c>
      <c r="B66" s="1" t="s">
        <v>67</v>
      </c>
      <c r="C66" s="2">
        <f>VLOOKUP($A66,Calc!$K$3:$AI$49,COLUMNS(Calc!$K$8:AF$8),)</f>
        <v>168144.64184276786</v>
      </c>
      <c r="D66" s="2">
        <f>VLOOKUP($A66,Calc!$K$3:$AI$49,COLUMNS(Calc!$K$8:AG$8),)</f>
        <v>182669.96391438696</v>
      </c>
      <c r="E66" s="2">
        <f>VLOOKUP($A66,Calc!$K$3:$AI$49,COLUMNS(Calc!$K$8:AH$8),)</f>
        <v>330103.17335051438</v>
      </c>
      <c r="F66" s="2">
        <f>VLOOKUP($A66,Calc!$K$3:$AI$49,COLUMNS(Calc!$K$8:AI$8),)</f>
        <v>411144.19268934568</v>
      </c>
      <c r="H66" s="1" t="s">
        <v>67</v>
      </c>
      <c r="I66" s="2">
        <f>'2012 SAM'!C67</f>
        <v>757.00196639052092</v>
      </c>
      <c r="J66" s="2">
        <f>'2012 SAM'!D67</f>
        <v>887.78950736625507</v>
      </c>
      <c r="K66" s="2">
        <f>'2012 SAM'!E67</f>
        <v>31941.892989149605</v>
      </c>
      <c r="L66" s="2">
        <f>'2012 SAM'!F67</f>
        <v>104003.12897196467</v>
      </c>
      <c r="N66" s="1" t="s">
        <v>67</v>
      </c>
      <c r="O66" s="2">
        <f t="shared" si="1"/>
        <v>4.5020879529327722</v>
      </c>
      <c r="P66" s="2">
        <f t="shared" si="2"/>
        <v>4.8600738093009141</v>
      </c>
      <c r="Q66" s="2">
        <f t="shared" si="3"/>
        <v>96.763362390438616</v>
      </c>
      <c r="R66" s="2">
        <f t="shared" si="4"/>
        <v>252.9602286041478</v>
      </c>
      <c r="S66" s="2"/>
    </row>
    <row r="67" spans="1:19" x14ac:dyDescent="0.25">
      <c r="A67" s="1" t="s">
        <v>68</v>
      </c>
      <c r="B67" s="1" t="s">
        <v>68</v>
      </c>
      <c r="C67" s="2">
        <f>VLOOKUP($A67,Calc!$K$3:$AI$49,COLUMNS(Calc!$K$8:AF$8),)</f>
        <v>21013.883943950172</v>
      </c>
      <c r="D67" s="2">
        <f>VLOOKUP($A67,Calc!$K$3:$AI$49,COLUMNS(Calc!$K$8:AG$8),)</f>
        <v>26578.286478720758</v>
      </c>
      <c r="E67" s="2">
        <f>VLOOKUP($A67,Calc!$K$3:$AI$49,COLUMNS(Calc!$K$8:AH$8),)</f>
        <v>40140.777055622915</v>
      </c>
      <c r="F67" s="2">
        <f>VLOOKUP($A67,Calc!$K$3:$AI$49,COLUMNS(Calc!$K$8:AI$8),)</f>
        <v>94272.745636667954</v>
      </c>
      <c r="H67" s="1" t="s">
        <v>68</v>
      </c>
      <c r="I67" s="2">
        <f>'2012 SAM'!C68</f>
        <v>1672.400818108224</v>
      </c>
      <c r="J67" s="2">
        <f>'2012 SAM'!D68</f>
        <v>5575.9176792988692</v>
      </c>
      <c r="K67" s="2">
        <f>'2012 SAM'!E68</f>
        <v>22393.207856396893</v>
      </c>
      <c r="L67" s="2">
        <f>'2012 SAM'!F68</f>
        <v>65782.216112499067</v>
      </c>
      <c r="N67" s="1" t="s">
        <v>68</v>
      </c>
      <c r="O67" s="2">
        <f t="shared" si="1"/>
        <v>79.58551701194213</v>
      </c>
      <c r="P67" s="2">
        <f t="shared" si="2"/>
        <v>209.79221831185725</v>
      </c>
      <c r="Q67" s="2">
        <f t="shared" si="3"/>
        <v>557.86682518294845</v>
      </c>
      <c r="R67" s="2">
        <f t="shared" si="4"/>
        <v>697.78614877758139</v>
      </c>
      <c r="S67" s="2"/>
    </row>
    <row r="68" spans="1:19" x14ac:dyDescent="0.25">
      <c r="A68" s="1" t="s">
        <v>69</v>
      </c>
      <c r="B68" s="1" t="s">
        <v>69</v>
      </c>
      <c r="C68" s="2">
        <f>VLOOKUP($A68,Calc!$K$3:$AI$49,COLUMNS(Calc!$K$8:AF$8),)</f>
        <v>219408.2521606849</v>
      </c>
      <c r="D68" s="2">
        <f>VLOOKUP($A68,Calc!$K$3:$AI$49,COLUMNS(Calc!$K$8:AG$8),)</f>
        <v>238362.02608340743</v>
      </c>
      <c r="E68" s="2">
        <f>VLOOKUP($A68,Calc!$K$3:$AI$49,COLUMNS(Calc!$K$8:AH$8),)</f>
        <v>430744.38473786641</v>
      </c>
      <c r="F68" s="2">
        <f>VLOOKUP($A68,Calc!$K$3:$AI$49,COLUMNS(Calc!$K$8:AI$8),)</f>
        <v>536493.03192390234</v>
      </c>
      <c r="H68" s="1" t="s">
        <v>69</v>
      </c>
      <c r="I68" s="2">
        <f>'2012 SAM'!C69</f>
        <v>8848.5033089804692</v>
      </c>
      <c r="J68" s="2">
        <f>'2012 SAM'!D69</f>
        <v>18277.608981111651</v>
      </c>
      <c r="K68" s="2">
        <f>'2012 SAM'!E69</f>
        <v>100712.09502257001</v>
      </c>
      <c r="L68" s="2">
        <f>'2012 SAM'!F69</f>
        <v>288621.82779987028</v>
      </c>
      <c r="N68" s="1" t="s">
        <v>69</v>
      </c>
      <c r="O68" s="2">
        <f t="shared" ref="O68:O69" si="5">I68/(C68/1000)</f>
        <v>40.328944886267159</v>
      </c>
      <c r="P68" s="2">
        <f t="shared" ref="P68:P69" si="6">J68/(D68/1000)</f>
        <v>76.680037006884504</v>
      </c>
      <c r="Q68" s="2">
        <f t="shared" ref="Q68:Q69" si="7">K68/(E68/1000)</f>
        <v>233.80942060071035</v>
      </c>
      <c r="R68" s="2">
        <f t="shared" ref="R68:R69" si="8">L68/(F68/1000)</f>
        <v>537.97870731862406</v>
      </c>
      <c r="S68" s="2"/>
    </row>
    <row r="69" spans="1:19" x14ac:dyDescent="0.25">
      <c r="A69" s="1" t="s">
        <v>70</v>
      </c>
      <c r="B69" s="1" t="s">
        <v>70</v>
      </c>
      <c r="C69" s="2">
        <f>VLOOKUP($A69,Calc!$K$3:$AI$49,COLUMNS(Calc!$K$8:AF$8),)</f>
        <v>36019.482048360886</v>
      </c>
      <c r="D69" s="2">
        <f>VLOOKUP($A69,Calc!$K$3:$AI$49,COLUMNS(Calc!$K$8:AG$8),)</f>
        <v>36572.515586499438</v>
      </c>
      <c r="E69" s="2">
        <f>VLOOKUP($A69,Calc!$K$3:$AI$49,COLUMNS(Calc!$K$8:AH$8),)</f>
        <v>37121.103320296927</v>
      </c>
      <c r="F69" s="2">
        <f>VLOOKUP($A69,Calc!$K$3:$AI$49,COLUMNS(Calc!$K$8:AI$8),)</f>
        <v>37677.919870101374</v>
      </c>
      <c r="H69" s="1" t="s">
        <v>70</v>
      </c>
      <c r="I69" s="2">
        <f>'2012 SAM'!C70</f>
        <v>27721.9713302075</v>
      </c>
      <c r="J69" s="2">
        <f>'2012 SAM'!D70</f>
        <v>33921.406546200305</v>
      </c>
      <c r="K69" s="2">
        <f>'2012 SAM'!E70</f>
        <v>24591.611095145789</v>
      </c>
      <c r="L69" s="2">
        <f>'2012 SAM'!F70</f>
        <v>44839.589821329049</v>
      </c>
      <c r="N69" s="1" t="s">
        <v>70</v>
      </c>
      <c r="O69" s="2">
        <f t="shared" si="5"/>
        <v>769.63825556922541</v>
      </c>
      <c r="P69" s="2">
        <f t="shared" si="6"/>
        <v>927.51089177803851</v>
      </c>
      <c r="Q69" s="2">
        <f t="shared" si="7"/>
        <v>662.46983240122847</v>
      </c>
      <c r="R69" s="2">
        <f t="shared" si="8"/>
        <v>1190.0760438983439</v>
      </c>
      <c r="S69" s="2"/>
    </row>
    <row r="70" spans="1:19" x14ac:dyDescent="0.25">
      <c r="B70" s="1" t="s">
        <v>88</v>
      </c>
      <c r="C70" s="2">
        <f>I70/O70*1000</f>
        <v>38372.950634425142</v>
      </c>
      <c r="D70" s="2">
        <f t="shared" ref="D70:F70" si="9">J70/P70*1000</f>
        <v>49608.797216751009</v>
      </c>
      <c r="E70" s="2">
        <f t="shared" si="9"/>
        <v>86359.848282556864</v>
      </c>
      <c r="F70" s="2">
        <f t="shared" si="9"/>
        <v>171621.03951125269</v>
      </c>
      <c r="I70" s="2">
        <f>SUM(I3:I69)</f>
        <v>80157.045763721471</v>
      </c>
      <c r="J70" s="2">
        <f t="shared" ref="J70:L70" si="10">SUM(J3:J69)</f>
        <v>145656.81389746786</v>
      </c>
      <c r="K70" s="2">
        <f t="shared" si="10"/>
        <v>370369.94061276451</v>
      </c>
      <c r="L70" s="2">
        <f t="shared" si="10"/>
        <v>877668.19972604886</v>
      </c>
      <c r="O70" s="2">
        <f>SUM(O3:O69)</f>
        <v>2088.8945061162685</v>
      </c>
      <c r="P70" s="2">
        <f t="shared" ref="P70" si="11">SUM(P3:P69)</f>
        <v>2936.1085547199091</v>
      </c>
      <c r="Q70" s="2">
        <f t="shared" ref="Q70" si="12">SUM(Q3:Q69)</f>
        <v>4288.6821593406221</v>
      </c>
      <c r="R70" s="2">
        <f t="shared" ref="R70" si="13">SUM(R3:R69)</f>
        <v>5113.9895331335683</v>
      </c>
    </row>
    <row r="72" spans="1:19" x14ac:dyDescent="0.25">
      <c r="C72" s="2"/>
      <c r="D72" s="2"/>
      <c r="E72" s="2"/>
      <c r="F72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C82A6-2A57-4714-8C74-D92BCBBE62AC}">
  <dimension ref="A1"/>
  <sheetViews>
    <sheetView workbookViewId="0"/>
  </sheetViews>
  <sheetFormatPr defaultRowHeight="12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Concordance</vt:lpstr>
      <vt:lpstr>2012 SAM</vt:lpstr>
      <vt:lpstr>QLFS_Quantec</vt:lpstr>
      <vt:lpstr>QLFS_NT</vt:lpstr>
      <vt:lpstr>Employment Comparison</vt:lpstr>
      <vt:lpstr>Employment Wagebill</vt:lpstr>
      <vt:lpstr>Calc</vt:lpstr>
      <vt:lpstr>For CGE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Faaiqa Hartley</dc:creator>
  <cp:lastModifiedBy>Faaiqa Hartley</cp:lastModifiedBy>
  <dcterms:created xsi:type="dcterms:W3CDTF">2018-08-17T07:48:01Z</dcterms:created>
  <dcterms:modified xsi:type="dcterms:W3CDTF">2018-08-23T23:07:18Z</dcterms:modified>
</cp:coreProperties>
</file>