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1C0EF47E-270D-4A44-87A4-A60BF5BCB7A1}" xr6:coauthVersionLast="47" xr6:coauthVersionMax="47" xr10:uidLastSave="{00000000-0000-0000-0000-000000000000}"/>
  <bookViews>
    <workbookView xWindow="-5340" yWindow="-21720" windowWidth="38640" windowHeight="21240" activeTab="1"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7" i="10" l="1"/>
  <c r="X7" i="10" s="1"/>
  <c r="Y7" i="10" s="1"/>
  <c r="Z7" i="10" s="1"/>
  <c r="AA7" i="10" s="1"/>
  <c r="AB7" i="10" s="1"/>
  <c r="AC7" i="10" s="1"/>
  <c r="AE29" i="2"/>
  <c r="AE28" i="2"/>
  <c r="AD29" i="2"/>
  <c r="AD28" i="2"/>
  <c r="AC29" i="2"/>
  <c r="AC28" i="2"/>
  <c r="AC4" i="10"/>
  <c r="N84" i="9"/>
  <c r="N229" i="9" l="1"/>
  <c r="D242" i="9"/>
  <c r="N148" i="9"/>
  <c r="D133" i="9"/>
  <c r="N124" i="9"/>
  <c r="D203" i="9"/>
  <c r="N204" i="9"/>
  <c r="N230" i="9"/>
  <c r="N198" i="9"/>
  <c r="N175" i="9"/>
  <c r="N174" i="9"/>
  <c r="N59" i="9"/>
  <c r="N58" i="9"/>
  <c r="D119" i="9"/>
  <c r="D109" i="9"/>
  <c r="D117" i="9" l="1"/>
  <c r="D108" i="9"/>
  <c r="N57" i="9" l="1"/>
  <c r="D118" i="9"/>
  <c r="D114" i="9" l="1"/>
  <c r="D101" i="9"/>
  <c r="D99" i="9"/>
  <c r="D110" i="9" l="1"/>
  <c r="D102" i="9"/>
  <c r="D100" i="9"/>
  <c r="D97" i="9"/>
  <c r="D95" i="9"/>
  <c r="D193" i="9" l="1"/>
  <c r="N181" i="9"/>
  <c r="D182" i="9"/>
  <c r="D191" i="9"/>
  <c r="D190" i="9"/>
  <c r="D189" i="9"/>
  <c r="D188" i="9"/>
  <c r="D187" i="9"/>
  <c r="D186" i="9"/>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W18" i="10" l="1"/>
  <c r="W29" i="10" s="1"/>
  <c r="Z29" i="10" s="1"/>
  <c r="X18" i="10"/>
  <c r="AB4" i="10"/>
  <c r="AA4" i="10"/>
  <c r="W4" i="10"/>
  <c r="X4" i="10"/>
  <c r="Y4" i="10"/>
  <c r="Z4" i="10"/>
  <c r="V4" i="10"/>
  <c r="Z40" i="10"/>
  <c r="T94" i="10"/>
  <c r="T60" i="10"/>
  <c r="T50" i="10"/>
  <c r="E142" i="9"/>
  <c r="F142" i="9"/>
  <c r="G142" i="9"/>
  <c r="D142" i="9"/>
  <c r="F141" i="9"/>
  <c r="G141" i="9"/>
  <c r="E141" i="9"/>
  <c r="E143" i="9"/>
  <c r="F143" i="9" s="1"/>
  <c r="D143" i="9"/>
  <c r="X29" i="10" l="1"/>
  <c r="AA29" i="10" s="1"/>
  <c r="AB29" i="10" s="1"/>
  <c r="AC29" i="10" s="1"/>
  <c r="AB18" i="10"/>
  <c r="AC18"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E4" i="10"/>
  <c r="AF4" i="10"/>
  <c r="AG4" i="10"/>
  <c r="AH4" i="10"/>
  <c r="AI4" i="10"/>
  <c r="AJ4" i="10"/>
  <c r="AK4" i="10"/>
  <c r="AL4" i="10"/>
  <c r="AM4" i="10"/>
  <c r="AN4" i="10"/>
  <c r="AO4" i="10"/>
  <c r="AP4" i="10"/>
  <c r="AQ4" i="10"/>
  <c r="BE4" i="10"/>
  <c r="BF4" i="10"/>
  <c r="AR6" i="10"/>
  <c r="S50" i="10"/>
  <c r="N50" i="10"/>
  <c r="S60" i="10"/>
  <c r="N60" i="10"/>
  <c r="U82" i="10"/>
  <c r="U94" i="10"/>
  <c r="S94" i="10"/>
  <c r="K107" i="10"/>
  <c r="L107"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M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K105" i="10" s="1"/>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V40" i="10"/>
  <c r="W40" i="10" s="1"/>
  <c r="X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M50" i="10"/>
  <c r="M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R4" i="10"/>
  <c r="AS6" i="10"/>
  <c r="L105" i="10" l="1"/>
  <c r="F106" i="10"/>
  <c r="L106" i="10" s="1"/>
  <c r="AC26" i="2"/>
  <c r="AF24" i="2" s="1"/>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K106" i="10"/>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S4" i="10"/>
  <c r="AT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12" i="2" l="1"/>
  <c r="AF19" i="2"/>
  <c r="AF13" i="2"/>
  <c r="AF18" i="2"/>
  <c r="AF25" i="2"/>
  <c r="AF23" i="2"/>
  <c r="AF14" i="2"/>
  <c r="AF21" i="2"/>
  <c r="AF16" i="2"/>
  <c r="AC6" i="2"/>
  <c r="D184" i="9" s="1"/>
  <c r="AF15" i="2"/>
  <c r="AF22" i="2"/>
  <c r="AF20" i="2"/>
  <c r="AF17" i="2"/>
  <c r="AF11" i="2"/>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V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T4" i="10"/>
  <c r="AU6" i="10"/>
  <c r="M70" i="10" l="1"/>
  <c r="N70" i="10"/>
  <c r="M82" i="10"/>
  <c r="N82" i="10"/>
  <c r="V29" i="10"/>
  <c r="AE29" i="10"/>
  <c r="BC29" i="10" s="1"/>
  <c r="AE7" i="10"/>
  <c r="AE70" i="10"/>
  <c r="BC70" i="10" s="1"/>
  <c r="AE40" i="10"/>
  <c r="AE18" i="10"/>
  <c r="BC18" i="10" s="1"/>
  <c r="I42" i="10"/>
  <c r="I52" i="10" s="1"/>
  <c r="I62" i="10" s="1"/>
  <c r="I96" i="10"/>
  <c r="I41" i="10"/>
  <c r="I51" i="10" s="1"/>
  <c r="I61" i="10" s="1"/>
  <c r="I30" i="10"/>
  <c r="I95" i="10"/>
  <c r="I31" i="10"/>
  <c r="I85" i="10"/>
  <c r="I84" i="10"/>
  <c r="I83" i="10"/>
  <c r="I73" i="10"/>
  <c r="I72" i="10"/>
  <c r="I71" i="10"/>
  <c r="I8" i="10"/>
  <c r="I20" i="10"/>
  <c r="I19" i="10"/>
  <c r="I9" i="10"/>
  <c r="N71" i="9"/>
  <c r="AD26" i="2"/>
  <c r="AD6" i="2" s="1"/>
  <c r="N73" i="9" s="1"/>
  <c r="M54" i="2"/>
  <c r="M55" i="2" s="1"/>
  <c r="M56" i="2" s="1"/>
  <c r="L55" i="2"/>
  <c r="L56" i="2" s="1"/>
  <c r="R88" i="9"/>
  <c r="E145" i="9"/>
  <c r="F144" i="9"/>
  <c r="F145" i="9" s="1"/>
  <c r="Q50" i="10"/>
  <c r="Q60" i="10" s="1"/>
  <c r="E284" i="9"/>
  <c r="D160" i="9"/>
  <c r="G283" i="9"/>
  <c r="G284" i="9"/>
  <c r="J18" i="10"/>
  <c r="L18" i="10"/>
  <c r="N102" i="9"/>
  <c r="N45" i="9"/>
  <c r="H74" i="10" s="1"/>
  <c r="N145" i="9"/>
  <c r="I283" i="9" s="1"/>
  <c r="J282" i="9"/>
  <c r="E283" i="9"/>
  <c r="U53" i="9"/>
  <c r="U54" i="9"/>
  <c r="K284" i="9"/>
  <c r="D283" i="9"/>
  <c r="E232" i="9"/>
  <c r="G232" i="9" s="1"/>
  <c r="N242" i="9"/>
  <c r="K283" i="9"/>
  <c r="R20" i="9"/>
  <c r="R19" i="9"/>
  <c r="O23" i="9"/>
  <c r="O25" i="9" s="1"/>
  <c r="N53" i="9" s="1"/>
  <c r="O20" i="9"/>
  <c r="U42" i="4"/>
  <c r="N64" i="9"/>
  <c r="N249" i="9"/>
  <c r="T21" i="9"/>
  <c r="J40" i="10"/>
  <c r="H91" i="10"/>
  <c r="H87" i="10"/>
  <c r="P82" i="10"/>
  <c r="H284" i="9"/>
  <c r="J29" i="10"/>
  <c r="J7" i="10"/>
  <c r="H54" i="10"/>
  <c r="L29" i="10"/>
  <c r="H92" i="10"/>
  <c r="H44" i="10"/>
  <c r="H57" i="10"/>
  <c r="H55" i="10"/>
  <c r="D284" i="9"/>
  <c r="H86" i="10"/>
  <c r="H46" i="10"/>
  <c r="O82" i="10"/>
  <c r="H47" i="10"/>
  <c r="O50" i="10"/>
  <c r="O60" i="10" s="1"/>
  <c r="H99" i="10"/>
  <c r="H98" i="10"/>
  <c r="H64" i="10"/>
  <c r="H43" i="10"/>
  <c r="L7" i="10"/>
  <c r="H102" i="10"/>
  <c r="F284" i="9"/>
  <c r="H53" i="10"/>
  <c r="H67" i="10"/>
  <c r="J50" i="10"/>
  <c r="J60" i="10" s="1"/>
  <c r="F94" i="10"/>
  <c r="H66" i="10"/>
  <c r="J70" i="10"/>
  <c r="H56" i="10"/>
  <c r="H68" i="10"/>
  <c r="H101" i="10"/>
  <c r="H283" i="9"/>
  <c r="H58" i="10"/>
  <c r="F283" i="9"/>
  <c r="L94" i="10"/>
  <c r="H88" i="10"/>
  <c r="P50" i="10"/>
  <c r="P60" i="10" s="1"/>
  <c r="H97" i="10"/>
  <c r="H89" i="10"/>
  <c r="J82" i="10"/>
  <c r="H48" i="10"/>
  <c r="H63" i="10"/>
  <c r="H100" i="10"/>
  <c r="H32" i="10"/>
  <c r="H90" i="10"/>
  <c r="H65" i="10"/>
  <c r="H45" i="10"/>
  <c r="O94" i="10"/>
  <c r="P94" i="10"/>
  <c r="AB26" i="2"/>
  <c r="AB6" i="2" s="1"/>
  <c r="D162" i="9" s="1"/>
  <c r="AV6" i="10"/>
  <c r="AU4" i="10"/>
  <c r="K27" i="9"/>
  <c r="N56" i="9"/>
  <c r="N47" i="9"/>
  <c r="H77" i="10" s="1"/>
  <c r="N48" i="9"/>
  <c r="H78" i="10" s="1"/>
  <c r="N54" i="9"/>
  <c r="K31" i="9"/>
  <c r="N51" i="9"/>
  <c r="H80" i="10" s="1"/>
  <c r="K30" i="9"/>
  <c r="K33" i="9"/>
  <c r="N50" i="9"/>
  <c r="H76" i="10" s="1"/>
  <c r="N46" i="9"/>
  <c r="H75" i="10" s="1"/>
  <c r="N49" i="9"/>
  <c r="H79" i="10" s="1"/>
  <c r="K32" i="9"/>
  <c r="K29" i="9"/>
  <c r="M35" i="9"/>
  <c r="AH7" i="10" l="1"/>
  <c r="AI7" i="10" s="1"/>
  <c r="N72" i="9"/>
  <c r="N83" i="9" s="1"/>
  <c r="H38" i="10" s="1"/>
  <c r="AE11" i="2"/>
  <c r="D164" i="9" s="1"/>
  <c r="N161" i="9"/>
  <c r="H281" i="9"/>
  <c r="N123" i="9"/>
  <c r="F70" i="10"/>
  <c r="AD70" i="10" s="1"/>
  <c r="D282" i="9"/>
  <c r="AW6" i="10"/>
  <c r="AV4" i="10"/>
  <c r="AE15" i="2"/>
  <c r="AE13" i="2"/>
  <c r="AE17" i="2"/>
  <c r="AE20" i="2"/>
  <c r="AE18" i="2"/>
  <c r="AE14" i="2"/>
  <c r="AE23" i="2"/>
  <c r="AE12" i="2"/>
  <c r="AE19" i="2"/>
  <c r="AE21" i="2"/>
  <c r="AE22" i="2"/>
  <c r="AE25" i="2"/>
  <c r="AE24" i="2"/>
  <c r="AE16" i="2"/>
  <c r="N268" i="9"/>
  <c r="K285" i="9" s="1"/>
  <c r="N269" i="9"/>
  <c r="K286" i="9" s="1"/>
  <c r="N141" i="9"/>
  <c r="N172" i="9"/>
  <c r="G281" i="9" s="1"/>
  <c r="N232" i="9"/>
  <c r="F40" i="10" s="1"/>
  <c r="AD40" i="10" s="1"/>
  <c r="G231" i="9"/>
  <c r="U35" i="9"/>
  <c r="N122" i="9"/>
  <c r="R35" i="9"/>
  <c r="D281" i="9"/>
  <c r="N140" i="9"/>
  <c r="R12" i="9"/>
  <c r="R14" i="9" s="1"/>
  <c r="K34" i="9"/>
  <c r="AD76" i="10" l="1"/>
  <c r="AD74" i="10"/>
  <c r="AD79" i="10"/>
  <c r="AD80" i="10"/>
  <c r="AD78" i="10"/>
  <c r="AD77" i="10"/>
  <c r="AD75" i="10"/>
  <c r="AD47" i="10"/>
  <c r="AD46" i="10"/>
  <c r="AD48" i="10"/>
  <c r="AD45" i="10"/>
  <c r="AD43" i="10"/>
  <c r="AD44" i="10"/>
  <c r="N86" i="9"/>
  <c r="N78" i="9"/>
  <c r="H33" i="10" s="1"/>
  <c r="N81" i="9"/>
  <c r="H37" i="10" s="1"/>
  <c r="N79" i="9"/>
  <c r="H35" i="10" s="1"/>
  <c r="N82" i="9"/>
  <c r="H34" i="10" s="1"/>
  <c r="N80" i="9"/>
  <c r="H36" i="10" s="1"/>
  <c r="N76" i="9"/>
  <c r="N218" i="9"/>
  <c r="R61" i="9"/>
  <c r="K29" i="10"/>
  <c r="N164" i="9"/>
  <c r="H11" i="10" s="1"/>
  <c r="N187" i="9"/>
  <c r="H22" i="10" s="1"/>
  <c r="E282" i="9"/>
  <c r="F29" i="10"/>
  <c r="AD29" i="10" s="1"/>
  <c r="N167" i="9"/>
  <c r="H15" i="10" s="1"/>
  <c r="N190" i="9"/>
  <c r="H26" i="10" s="1"/>
  <c r="N168" i="9"/>
  <c r="H12" i="10" s="1"/>
  <c r="N191" i="9"/>
  <c r="H23" i="10" s="1"/>
  <c r="N166" i="9"/>
  <c r="H14" i="10" s="1"/>
  <c r="N189" i="9"/>
  <c r="H25" i="10" s="1"/>
  <c r="N165" i="9"/>
  <c r="H13" i="10" s="1"/>
  <c r="N188" i="9"/>
  <c r="H24" i="10" s="1"/>
  <c r="F7" i="10"/>
  <c r="AD7" i="10" s="1"/>
  <c r="G282" i="9"/>
  <c r="F282" i="9"/>
  <c r="N184" i="9"/>
  <c r="N195" i="9"/>
  <c r="N163" i="9"/>
  <c r="H10" i="10" s="1"/>
  <c r="N144" i="9"/>
  <c r="Q82" i="10" s="1"/>
  <c r="I281" i="9"/>
  <c r="N88" i="9"/>
  <c r="N89" i="9"/>
  <c r="E286" i="9" s="1"/>
  <c r="G234" i="9"/>
  <c r="G239" i="9"/>
  <c r="G236" i="9"/>
  <c r="G238" i="9"/>
  <c r="G235" i="9"/>
  <c r="G240" i="9"/>
  <c r="G237" i="9"/>
  <c r="D202" i="9"/>
  <c r="E44" i="3"/>
  <c r="R171" i="9"/>
  <c r="F281" i="9"/>
  <c r="I73" i="2" s="1"/>
  <c r="N130" i="9"/>
  <c r="N127" i="9"/>
  <c r="N252" i="9"/>
  <c r="N244" i="9"/>
  <c r="H285" i="9" s="1"/>
  <c r="N245" i="9"/>
  <c r="H286" i="9" s="1"/>
  <c r="H282" i="9"/>
  <c r="U41" i="9"/>
  <c r="U39" i="9"/>
  <c r="U40" i="9"/>
  <c r="U37" i="9"/>
  <c r="U42" i="9"/>
  <c r="U43" i="9"/>
  <c r="AX6" i="10"/>
  <c r="AW4" i="10"/>
  <c r="R54" i="9"/>
  <c r="N129" i="9"/>
  <c r="F82" i="10"/>
  <c r="I282" i="9"/>
  <c r="AD38" i="10" l="1"/>
  <c r="AD33" i="10"/>
  <c r="AD35" i="10"/>
  <c r="AD32" i="10"/>
  <c r="AD34" i="10"/>
  <c r="AD36" i="10"/>
  <c r="AD37" i="10"/>
  <c r="AD11" i="10"/>
  <c r="AD10" i="10"/>
  <c r="AD15" i="10"/>
  <c r="AD13" i="10"/>
  <c r="AD12" i="10"/>
  <c r="AD14" i="10"/>
  <c r="E281" i="9"/>
  <c r="E45" i="3"/>
  <c r="R85" i="9"/>
  <c r="D170" i="9"/>
  <c r="N169" i="9" s="1"/>
  <c r="H16" i="10"/>
  <c r="AD16" i="10" s="1"/>
  <c r="N171" i="9"/>
  <c r="K7" i="10" s="1"/>
  <c r="K94" i="10"/>
  <c r="N186" i="9"/>
  <c r="H21" i="10" s="1"/>
  <c r="H27" i="10" s="1"/>
  <c r="D192" i="9"/>
  <c r="N192" i="9" s="1"/>
  <c r="F18" i="10"/>
  <c r="AD18" i="10" s="1"/>
  <c r="N197" i="9"/>
  <c r="G285" i="9"/>
  <c r="F285" i="9"/>
  <c r="F286" i="9"/>
  <c r="G286" i="9"/>
  <c r="I75" i="2"/>
  <c r="I74" i="2"/>
  <c r="F44" i="3"/>
  <c r="E52" i="3"/>
  <c r="E54" i="3" s="1"/>
  <c r="E53" i="3" s="1"/>
  <c r="O88" i="9"/>
  <c r="E285" i="9"/>
  <c r="N217" i="9"/>
  <c r="J281" i="9" s="1"/>
  <c r="N221" i="9"/>
  <c r="Q94" i="10" s="1"/>
  <c r="K282" i="9"/>
  <c r="F50" i="10"/>
  <c r="F60" i="10" s="1"/>
  <c r="N149" i="9"/>
  <c r="N150" i="9" s="1"/>
  <c r="I286" i="9" s="1"/>
  <c r="AY6" i="10"/>
  <c r="AX4" i="10"/>
  <c r="R55" i="9"/>
  <c r="D239" i="9"/>
  <c r="D237" i="9"/>
  <c r="D235" i="9"/>
  <c r="D238" i="9"/>
  <c r="D236" i="9"/>
  <c r="D240" i="9"/>
  <c r="I285" i="9"/>
  <c r="L33" i="3"/>
  <c r="L35" i="3" s="1"/>
  <c r="I284" i="9"/>
  <c r="AD117" i="10" l="1"/>
  <c r="AD27" i="10"/>
  <c r="AD23" i="10"/>
  <c r="AD22" i="10"/>
  <c r="AD24" i="10"/>
  <c r="AD21" i="10"/>
  <c r="AD25" i="10"/>
  <c r="AD26" i="10"/>
  <c r="AD116" i="10" s="1"/>
  <c r="AD111" i="10"/>
  <c r="AD114" i="10"/>
  <c r="AD112" i="10"/>
  <c r="AD115" i="10"/>
  <c r="AD113" i="10"/>
  <c r="D286" i="9"/>
  <c r="D285" i="9"/>
  <c r="E48" i="3"/>
  <c r="E50" i="3" s="1"/>
  <c r="E49" i="3" s="1"/>
  <c r="F45" i="3"/>
  <c r="N194" i="9"/>
  <c r="K18" i="10" s="1"/>
  <c r="P171" i="9"/>
  <c r="R154" i="9"/>
  <c r="R156" i="9" s="1"/>
  <c r="R173" i="9" s="1"/>
  <c r="G44" i="3"/>
  <c r="F52" i="3"/>
  <c r="F54" i="3" s="1"/>
  <c r="F53" i="3" s="1"/>
  <c r="N223" i="9"/>
  <c r="J285" i="9" s="1"/>
  <c r="N224" i="9"/>
  <c r="J286" i="9" s="1"/>
  <c r="N220" i="9"/>
  <c r="L29" i="3"/>
  <c r="L30" i="3" s="1"/>
  <c r="J284" i="9"/>
  <c r="AZ6" i="10"/>
  <c r="AY4" i="10"/>
  <c r="F48" i="3" l="1"/>
  <c r="F50" i="3" s="1"/>
  <c r="F49" i="3" s="1"/>
  <c r="G45" i="3"/>
  <c r="J94" i="10"/>
  <c r="J283" i="9"/>
  <c r="AZ4" i="10"/>
  <c r="BA6" i="10"/>
  <c r="H44" i="3"/>
  <c r="G52" i="3"/>
  <c r="G54" i="3" s="1"/>
  <c r="G53" i="3" s="1"/>
  <c r="G48" i="3" l="1"/>
  <c r="G50" i="3" s="1"/>
  <c r="G49" i="3" s="1"/>
  <c r="H45" i="3"/>
  <c r="I44" i="3"/>
  <c r="H52" i="3"/>
  <c r="H54" i="3" s="1"/>
  <c r="H53" i="3" s="1"/>
  <c r="BA4" i="10"/>
  <c r="BB6" i="10"/>
  <c r="I45" i="3" l="1"/>
  <c r="H48" i="3"/>
  <c r="H50" i="3" s="1"/>
  <c r="H49" i="3" s="1"/>
  <c r="BB4" i="10"/>
  <c r="BC6" i="10"/>
  <c r="I52" i="3"/>
  <c r="I54" i="3" s="1"/>
  <c r="I53" i="3" s="1"/>
  <c r="J44" i="3"/>
  <c r="J45" i="3" l="1"/>
  <c r="I48" i="3"/>
  <c r="I50" i="3" s="1"/>
  <c r="I49" i="3" s="1"/>
  <c r="BC4" i="10"/>
  <c r="BD6" i="10"/>
  <c r="BD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L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N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<sst xmlns="http://schemas.openxmlformats.org/spreadsheetml/2006/main" count="2222" uniqueCount="918">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</sst>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60"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wrapText="1"/>
    </xf>
    <xf numFmtId="0" fontId="53" fillId="0" borderId="23" xfId="17" applyBorder="1" applyAlignment="1">
      <alignment horizontal="left" vertical="top" wrapText="1"/>
    </xf>
    <xf numFmtId="0" fontId="53" fillId="0" borderId="0" xfId="17" applyAlignment="1">
      <alignment horizontal="left" vertical="top" wrapText="1" indent="45"/>
    </xf>
    <xf numFmtId="0" fontId="19" fillId="0" borderId="35" xfId="17" applyFont="1" applyBorder="1" applyAlignment="1">
      <alignment horizontal="left" vertical="top" wrapText="1"/>
    </xf>
    <xf numFmtId="0" fontId="63" fillId="0" borderId="0" xfId="17" applyFont="1"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cell r="AZ14">
            <v>1E-3</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cell r="AY18">
            <v>56.1</v>
          </cell>
          <cell r="AZ18">
            <v>1E-3</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tabSelected="1" zoomScale="90" zoomScaleNormal="90" workbookViewId="0">
      <pane xSplit="5" ySplit="8" topLeftCell="F57" activePane="bottomRight" state="frozen"/>
      <selection pane="topRight" activeCell="F1" sqref="F1"/>
      <selection pane="bottomLeft" activeCell="A9" sqref="A9"/>
      <selection pane="bottomRight" activeCell="C71" sqref="C71:I73"/>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14" width="7.28515625" style="117" customWidth="1"/>
    <col min="15" max="17" width="10" style="117" customWidth="1"/>
    <col min="18" max="20" width="9.7109375" style="117" customWidth="1"/>
    <col min="21" max="21" width="10" style="117" customWidth="1"/>
    <col min="22" max="29" width="8.28515625" style="117" customWidth="1"/>
    <col min="30" max="30" width="10" style="117" customWidth="1"/>
    <col min="31" max="31" width="7.7109375" style="117" customWidth="1"/>
    <col min="32" max="38" width="7.28515625" style="117" customWidth="1"/>
    <col min="39" max="39" width="8.42578125" style="117" customWidth="1"/>
    <col min="40" max="45" width="7.28515625" style="117" customWidth="1"/>
    <col min="46" max="16384" width="11.42578125" style="117"/>
  </cols>
  <sheetData>
    <row r="1" spans="1:60" ht="20.25" thickBot="1" x14ac:dyDescent="0.35">
      <c r="B1" s="444" t="s">
        <v>820</v>
      </c>
      <c r="C1" s="445"/>
      <c r="D1" s="445"/>
      <c r="E1" s="445"/>
      <c r="F1" s="447"/>
      <c r="G1" s="445"/>
      <c r="H1" s="445"/>
      <c r="I1" s="445"/>
      <c r="P1" s="446"/>
      <c r="U1" s="445"/>
      <c r="V1" s="445"/>
      <c r="W1" s="445"/>
      <c r="X1" s="445"/>
      <c r="Y1" s="445"/>
      <c r="Z1" s="445"/>
      <c r="AA1" s="445"/>
      <c r="AB1" s="445"/>
      <c r="AC1" s="445"/>
      <c r="AD1" s="445"/>
    </row>
    <row r="2" spans="1:60" ht="13.5" thickTop="1" x14ac:dyDescent="0.2">
      <c r="A2" s="97"/>
      <c r="B2" s="448"/>
      <c r="C2" s="448"/>
      <c r="D2" s="448"/>
      <c r="E2" s="448"/>
      <c r="F2" s="97"/>
      <c r="G2" s="448"/>
      <c r="H2" s="448"/>
      <c r="I2" s="448"/>
      <c r="J2" s="448"/>
      <c r="K2" s="448"/>
      <c r="L2" s="448"/>
      <c r="M2" s="448"/>
      <c r="N2" s="448"/>
      <c r="O2" s="97"/>
      <c r="P2" s="448"/>
      <c r="Q2" s="448"/>
      <c r="R2" s="448"/>
      <c r="S2" s="448"/>
      <c r="T2" s="448"/>
      <c r="U2" s="448"/>
      <c r="V2" s="448"/>
      <c r="W2" s="448"/>
      <c r="X2" s="448"/>
      <c r="Y2" s="448"/>
      <c r="Z2" s="448"/>
      <c r="AA2" s="448"/>
      <c r="AB2" s="448"/>
      <c r="AC2" s="448"/>
      <c r="AD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
      <c r="AE3" s="449" t="s">
        <v>468</v>
      </c>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60" ht="42.75" customHeight="1" x14ac:dyDescent="0.25">
      <c r="A4" s="450" t="s">
        <v>2</v>
      </c>
      <c r="B4" s="449" t="s">
        <v>1</v>
      </c>
      <c r="C4" s="449" t="s">
        <v>818</v>
      </c>
      <c r="D4" s="449" t="s">
        <v>817</v>
      </c>
      <c r="E4" s="449" t="s">
        <v>816</v>
      </c>
      <c r="F4" s="449" t="s">
        <v>465</v>
      </c>
      <c r="G4" s="449" t="s">
        <v>917</v>
      </c>
      <c r="H4" s="449" t="s">
        <v>863</v>
      </c>
      <c r="I4" s="443" t="s">
        <v>864</v>
      </c>
      <c r="J4" s="449" t="s">
        <v>496</v>
      </c>
      <c r="K4" s="449" t="s">
        <v>915</v>
      </c>
      <c r="L4" s="451" t="s">
        <v>916</v>
      </c>
      <c r="M4" s="449" t="s">
        <v>913</v>
      </c>
      <c r="N4" s="451" t="s">
        <v>914</v>
      </c>
      <c r="O4" s="449" t="s">
        <v>815</v>
      </c>
      <c r="P4" s="449" t="s">
        <v>489</v>
      </c>
      <c r="Q4" s="449" t="s">
        <v>461</v>
      </c>
      <c r="R4" s="449" t="s">
        <v>814</v>
      </c>
      <c r="S4" s="449" t="s">
        <v>876</v>
      </c>
      <c r="T4" s="449" t="s">
        <v>877</v>
      </c>
      <c r="U4" s="450" t="s">
        <v>862</v>
      </c>
      <c r="V4" s="450" t="str">
        <f>"AFA~UP~"&amp;V6</f>
        <v>AFA~UP~2017</v>
      </c>
      <c r="W4" s="450" t="str">
        <f t="shared" ref="W4:Z4" si="0">"AFA~UP~"&amp;W6</f>
        <v>AFA~UP~2018</v>
      </c>
      <c r="X4" s="450" t="str">
        <f t="shared" si="0"/>
        <v>AFA~UP~2019</v>
      </c>
      <c r="Y4" s="450" t="str">
        <f t="shared" si="0"/>
        <v>AFA~UP~2020</v>
      </c>
      <c r="Z4" s="450" t="str">
        <f t="shared" si="0"/>
        <v>AFA~UP~2021</v>
      </c>
      <c r="AA4" s="450" t="str">
        <f t="shared" ref="AA4:AB4" si="1">"AFA~UP~"&amp;AA6</f>
        <v>AFA~UP~2022</v>
      </c>
      <c r="AB4" s="450" t="str">
        <f t="shared" si="1"/>
        <v>AFA~UP~2023</v>
      </c>
      <c r="AC4" s="450" t="str">
        <f t="shared" ref="AC4" si="2">"AFA~UP~"&amp;AC6</f>
        <v>AFA~UP~2024</v>
      </c>
      <c r="AD4" s="451" t="s">
        <v>878</v>
      </c>
      <c r="AE4" s="449" t="str">
        <f t="shared" ref="AE4:BF4" si="3">$AE$3&amp;"~"&amp;AE6</f>
        <v>RESID~2017</v>
      </c>
      <c r="AF4" s="449" t="str">
        <f t="shared" si="3"/>
        <v>RESID~2018</v>
      </c>
      <c r="AG4" s="449" t="str">
        <f t="shared" si="3"/>
        <v>RESID~2019</v>
      </c>
      <c r="AH4" s="449" t="str">
        <f t="shared" si="3"/>
        <v>RESID~2020</v>
      </c>
      <c r="AI4" s="449" t="str">
        <f t="shared" si="3"/>
        <v>RESID~2021</v>
      </c>
      <c r="AJ4" s="449" t="str">
        <f t="shared" si="3"/>
        <v>RESID~2022</v>
      </c>
      <c r="AK4" s="449" t="str">
        <f t="shared" si="3"/>
        <v>RESID~2023</v>
      </c>
      <c r="AL4" s="449" t="str">
        <f t="shared" si="3"/>
        <v>RESID~2024</v>
      </c>
      <c r="AM4" s="449" t="str">
        <f t="shared" si="3"/>
        <v>RESID~2025</v>
      </c>
      <c r="AN4" s="449" t="str">
        <f t="shared" si="3"/>
        <v>RESID~2026</v>
      </c>
      <c r="AO4" s="449" t="str">
        <f t="shared" si="3"/>
        <v>RESID~2027</v>
      </c>
      <c r="AP4" s="449" t="str">
        <f t="shared" si="3"/>
        <v>RESID~2028</v>
      </c>
      <c r="AQ4" s="449" t="str">
        <f t="shared" si="3"/>
        <v>RESID~2029</v>
      </c>
      <c r="AR4" s="449" t="str">
        <f t="shared" si="3"/>
        <v>RESID~2030</v>
      </c>
      <c r="AS4" s="449" t="str">
        <f t="shared" si="3"/>
        <v>RESID~2031</v>
      </c>
      <c r="AT4" s="449" t="str">
        <f t="shared" si="3"/>
        <v>RESID~2032</v>
      </c>
      <c r="AU4" s="449" t="str">
        <f t="shared" si="3"/>
        <v>RESID~2033</v>
      </c>
      <c r="AV4" s="449" t="str">
        <f t="shared" si="3"/>
        <v>RESID~2034</v>
      </c>
      <c r="AW4" s="449" t="str">
        <f t="shared" si="3"/>
        <v>RESID~2035</v>
      </c>
      <c r="AX4" s="449" t="str">
        <f t="shared" si="3"/>
        <v>RESID~2036</v>
      </c>
      <c r="AY4" s="449" t="str">
        <f t="shared" si="3"/>
        <v>RESID~2037</v>
      </c>
      <c r="AZ4" s="449" t="str">
        <f t="shared" si="3"/>
        <v>RESID~2038</v>
      </c>
      <c r="BA4" s="449" t="str">
        <f t="shared" si="3"/>
        <v>RESID~2039</v>
      </c>
      <c r="BB4" s="449" t="str">
        <f t="shared" si="3"/>
        <v>RESID~2040</v>
      </c>
      <c r="BC4" s="449" t="str">
        <f t="shared" si="3"/>
        <v>RESID~2045</v>
      </c>
      <c r="BD4" s="449" t="str">
        <f t="shared" si="3"/>
        <v>RESID~2050</v>
      </c>
      <c r="BE4" s="449" t="str">
        <f t="shared" si="3"/>
        <v>RESID~2060</v>
      </c>
      <c r="BF4" s="449" t="str">
        <f t="shared" si="3"/>
        <v>RESID~2070</v>
      </c>
    </row>
    <row r="5" spans="1:60" ht="38.25" x14ac:dyDescent="0.2">
      <c r="A5" s="452" t="s">
        <v>813</v>
      </c>
      <c r="B5" s="452" t="s">
        <v>812</v>
      </c>
      <c r="C5" s="452" t="s">
        <v>811</v>
      </c>
      <c r="D5" s="452" t="s">
        <v>810</v>
      </c>
      <c r="E5" s="452" t="s">
        <v>809</v>
      </c>
      <c r="F5" s="452" t="s">
        <v>90</v>
      </c>
      <c r="G5" s="453" t="s">
        <v>805</v>
      </c>
      <c r="H5" s="453" t="s">
        <v>805</v>
      </c>
      <c r="I5" s="453" t="s">
        <v>865</v>
      </c>
      <c r="J5" s="452" t="s">
        <v>803</v>
      </c>
      <c r="K5" s="452" t="s">
        <v>242</v>
      </c>
      <c r="L5" s="452" t="s">
        <v>589</v>
      </c>
      <c r="M5" s="452" t="s">
        <v>242</v>
      </c>
      <c r="N5" s="452" t="s">
        <v>589</v>
      </c>
      <c r="O5" s="453" t="s">
        <v>804</v>
      </c>
      <c r="P5" s="452" t="s">
        <v>808</v>
      </c>
      <c r="Q5" s="453" t="s">
        <v>460</v>
      </c>
      <c r="R5" s="452"/>
      <c r="S5" s="452"/>
      <c r="T5" s="452"/>
      <c r="U5" s="453" t="s">
        <v>806</v>
      </c>
      <c r="V5" s="453" t="s">
        <v>807</v>
      </c>
      <c r="W5" s="453" t="s">
        <v>807</v>
      </c>
      <c r="X5" s="453" t="s">
        <v>807</v>
      </c>
      <c r="Y5" s="453" t="s">
        <v>807</v>
      </c>
      <c r="Z5" s="453" t="s">
        <v>807</v>
      </c>
      <c r="AA5" s="453" t="s">
        <v>807</v>
      </c>
      <c r="AB5" s="453" t="s">
        <v>807</v>
      </c>
      <c r="AC5" s="453" t="s">
        <v>807</v>
      </c>
      <c r="AD5" s="472"/>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c r="BF5" s="454"/>
    </row>
    <row r="6" spans="1:60" ht="26.25" thickBot="1" x14ac:dyDescent="0.25">
      <c r="A6" s="455" t="s">
        <v>802</v>
      </c>
      <c r="B6" s="456"/>
      <c r="C6" s="456"/>
      <c r="D6" s="456"/>
      <c r="E6" s="456"/>
      <c r="F6" s="457" t="s">
        <v>801</v>
      </c>
      <c r="G6" s="458"/>
      <c r="H6" s="458"/>
      <c r="I6" s="458"/>
      <c r="J6" s="458" t="s">
        <v>498</v>
      </c>
      <c r="K6" s="456" t="s">
        <v>800</v>
      </c>
      <c r="L6" s="456"/>
      <c r="M6" s="456" t="s">
        <v>800</v>
      </c>
      <c r="N6" s="456"/>
      <c r="O6" s="458"/>
      <c r="P6" s="457" t="s">
        <v>488</v>
      </c>
      <c r="Q6" s="458" t="s">
        <v>498</v>
      </c>
      <c r="R6" s="458" t="s">
        <v>488</v>
      </c>
      <c r="S6" s="458"/>
      <c r="T6" s="458"/>
      <c r="U6" s="458"/>
      <c r="V6" s="473">
        <v>2017</v>
      </c>
      <c r="W6" s="473">
        <v>2018</v>
      </c>
      <c r="X6" s="473">
        <v>2019</v>
      </c>
      <c r="Y6" s="473">
        <v>2020</v>
      </c>
      <c r="Z6" s="473">
        <v>2021</v>
      </c>
      <c r="AA6" s="473">
        <v>2022</v>
      </c>
      <c r="AB6" s="473">
        <v>2023</v>
      </c>
      <c r="AC6" s="473">
        <v>2024</v>
      </c>
      <c r="AD6" s="458"/>
      <c r="AE6" s="459">
        <v>2017</v>
      </c>
      <c r="AF6" s="459">
        <v>2018</v>
      </c>
      <c r="AG6" s="459">
        <v>2019</v>
      </c>
      <c r="AH6" s="459">
        <v>2020</v>
      </c>
      <c r="AI6" s="459">
        <v>2021</v>
      </c>
      <c r="AJ6" s="459">
        <v>2022</v>
      </c>
      <c r="AK6" s="459">
        <v>2023</v>
      </c>
      <c r="AL6" s="459">
        <v>2024</v>
      </c>
      <c r="AM6" s="459">
        <v>2025</v>
      </c>
      <c r="AN6" s="459">
        <v>2026</v>
      </c>
      <c r="AO6" s="459">
        <v>2027</v>
      </c>
      <c r="AP6" s="459">
        <v>2028</v>
      </c>
      <c r="AQ6" s="459">
        <v>2029</v>
      </c>
      <c r="AR6" s="459">
        <f t="shared" ref="AR6:BB6" si="4">AQ6+1</f>
        <v>2030</v>
      </c>
      <c r="AS6" s="459">
        <f t="shared" si="4"/>
        <v>2031</v>
      </c>
      <c r="AT6" s="459">
        <f t="shared" si="4"/>
        <v>2032</v>
      </c>
      <c r="AU6" s="459">
        <f t="shared" si="4"/>
        <v>2033</v>
      </c>
      <c r="AV6" s="459">
        <f t="shared" si="4"/>
        <v>2034</v>
      </c>
      <c r="AW6" s="459">
        <f t="shared" si="4"/>
        <v>2035</v>
      </c>
      <c r="AX6" s="459">
        <f t="shared" si="4"/>
        <v>2036</v>
      </c>
      <c r="AY6" s="459">
        <f t="shared" si="4"/>
        <v>2037</v>
      </c>
      <c r="AZ6" s="459">
        <f t="shared" si="4"/>
        <v>2038</v>
      </c>
      <c r="BA6" s="459">
        <f t="shared" si="4"/>
        <v>2039</v>
      </c>
      <c r="BB6" s="459">
        <f t="shared" si="4"/>
        <v>2040</v>
      </c>
      <c r="BC6" s="459">
        <f>BB6+5</f>
        <v>2045</v>
      </c>
      <c r="BD6" s="459">
        <f>BC6+5</f>
        <v>2050</v>
      </c>
      <c r="BE6" s="459">
        <v>2060</v>
      </c>
      <c r="BF6" s="459">
        <v>2070</v>
      </c>
    </row>
    <row r="7" spans="1:60" ht="15" x14ac:dyDescent="0.25">
      <c r="A7" s="461" t="s">
        <v>847</v>
      </c>
      <c r="B7" s="462" t="s">
        <v>114</v>
      </c>
      <c r="C7" s="462"/>
      <c r="D7" s="117" t="s">
        <v>821</v>
      </c>
      <c r="F7" s="435">
        <f>SUMIF(RefineriesData!$J$16:$J$270,$B7&amp;F$4,RefineriesData!$N$16:$N$270)</f>
        <v>0.95081921966609462</v>
      </c>
      <c r="G7" s="436"/>
      <c r="H7" s="436"/>
      <c r="I7" s="436"/>
      <c r="J7" s="439">
        <f>SUMIF(RefineriesData!$J$13:$J$269,$B7&amp;J$4,RefineriesData!$N$13:$N$269)</f>
        <v>27.763122599999996</v>
      </c>
      <c r="K7" s="435">
        <f>SUMIF(RefineriesData!$J$13:$J$245,$B7&amp;K$5,RefineriesData!$N$13:$N$245)</f>
        <v>3.9048398119126899</v>
      </c>
      <c r="L7" s="435">
        <f>SUMIF(RefineriesData!$J$13:$J$245,$B7&amp;L$5,RefineriesData!$N$13:$N$245)</f>
        <v>0</v>
      </c>
      <c r="M7" s="435"/>
      <c r="N7" s="435"/>
      <c r="O7" s="436"/>
      <c r="P7" s="436"/>
      <c r="Q7" s="439"/>
      <c r="R7" s="435"/>
      <c r="S7" s="435">
        <v>3</v>
      </c>
      <c r="T7" s="435">
        <v>0</v>
      </c>
      <c r="V7" s="435">
        <v>0.76</v>
      </c>
      <c r="W7" s="435">
        <f>V7</f>
        <v>0.76</v>
      </c>
      <c r="X7" s="435">
        <f>W7</f>
        <v>0.76</v>
      </c>
      <c r="Y7" s="435">
        <f>X7</f>
        <v>0.76</v>
      </c>
      <c r="Z7" s="435">
        <f t="shared" ref="Z7:AC7" si="5">Y7</f>
        <v>0.76</v>
      </c>
      <c r="AA7" s="435">
        <f t="shared" si="5"/>
        <v>0.76</v>
      </c>
      <c r="AB7" s="435">
        <f t="shared" si="5"/>
        <v>0.76</v>
      </c>
      <c r="AC7" s="435">
        <f t="shared" si="5"/>
        <v>0.76</v>
      </c>
      <c r="AD7" s="464">
        <f>V7*AE7/F7</f>
        <v>445.09645919394001</v>
      </c>
      <c r="AE7" s="435">
        <f>SUMIF(RefineriesData!$J$16:$J$270,$B7&amp;AE$3,RefineriesData!$N$16:$N$270)</f>
        <v>556.85035264068915</v>
      </c>
      <c r="AF7" s="465"/>
      <c r="AG7" s="465"/>
      <c r="AH7" s="465">
        <f>AE7</f>
        <v>556.85035264068915</v>
      </c>
      <c r="AI7" s="465">
        <f>AH7*'Crude refineries'!G52/('Crude refineries'!E52+'Crude refineries'!E53)</f>
        <v>318.20020150896522</v>
      </c>
      <c r="AJ7" s="465">
        <v>0</v>
      </c>
      <c r="AK7" s="465"/>
      <c r="AL7" s="465"/>
      <c r="AM7" s="465"/>
      <c r="AN7" s="465"/>
      <c r="AO7" s="465"/>
      <c r="AP7" s="465"/>
      <c r="AQ7" s="465"/>
      <c r="AR7" s="465"/>
      <c r="AS7" s="465"/>
      <c r="AT7" s="465"/>
      <c r="AU7" s="465"/>
      <c r="AV7" s="465"/>
      <c r="AW7" s="465"/>
      <c r="AX7" s="465"/>
      <c r="AY7" s="465"/>
      <c r="AZ7" s="465"/>
      <c r="BA7" s="465"/>
      <c r="BB7" s="465"/>
      <c r="BC7" s="465"/>
      <c r="BD7" s="465"/>
      <c r="BE7" s="465"/>
      <c r="BF7" s="465"/>
    </row>
    <row r="8" spans="1:60" x14ac:dyDescent="0.2">
      <c r="A8" s="461"/>
      <c r="B8" s="462"/>
      <c r="C8" s="117" t="s">
        <v>825</v>
      </c>
      <c r="F8" s="436"/>
      <c r="G8" s="436"/>
      <c r="H8" s="436"/>
      <c r="I8" s="482">
        <f>SUMIF(RefineriesData!$J$16:$J$270,B7&amp;C8,RefineriesData!$N$16:$N$270)</f>
        <v>2.1728907852209679E-3</v>
      </c>
      <c r="J8" s="439"/>
      <c r="K8" s="435"/>
      <c r="L8" s="435"/>
      <c r="M8" s="435"/>
      <c r="N8" s="435"/>
      <c r="O8" s="436"/>
      <c r="P8" s="436"/>
      <c r="Q8" s="439"/>
      <c r="R8" s="435"/>
      <c r="S8" s="435"/>
      <c r="T8" s="435"/>
      <c r="U8" s="436"/>
      <c r="V8" s="436"/>
      <c r="W8" s="436"/>
      <c r="X8" s="436"/>
      <c r="Y8" s="436"/>
      <c r="Z8" s="436"/>
      <c r="AA8" s="436"/>
      <c r="AB8" s="436"/>
      <c r="AC8" s="436"/>
      <c r="AD8" s="43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row>
    <row r="9" spans="1:60" x14ac:dyDescent="0.2">
      <c r="A9" s="461"/>
      <c r="B9" s="462"/>
      <c r="C9" s="117" t="s">
        <v>823</v>
      </c>
      <c r="F9" s="436"/>
      <c r="G9" s="436"/>
      <c r="H9" s="436"/>
      <c r="I9" s="482">
        <f>SUMIF(RefineriesData!$J$16:$J$270,B7&amp;C9,RefineriesData!$N$16:$N$270)</f>
        <v>4.8529200409580869E-3</v>
      </c>
      <c r="J9" s="439"/>
      <c r="K9" s="435"/>
      <c r="L9" s="435"/>
      <c r="M9" s="435"/>
      <c r="N9" s="435"/>
      <c r="O9" s="436"/>
      <c r="P9" s="436"/>
      <c r="Q9" s="439"/>
      <c r="R9" s="435"/>
      <c r="S9" s="435"/>
      <c r="T9" s="435"/>
      <c r="U9" s="436"/>
      <c r="V9" s="436"/>
      <c r="W9" s="436"/>
      <c r="X9" s="436"/>
      <c r="Y9" s="436"/>
      <c r="Z9" s="436"/>
      <c r="AA9" s="436"/>
      <c r="AB9" s="436"/>
      <c r="AC9" s="436"/>
      <c r="AD9" s="43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H9" s="462"/>
    </row>
    <row r="10" spans="1:60" x14ac:dyDescent="0.2">
      <c r="A10" s="461"/>
      <c r="B10" s="462"/>
      <c r="C10" s="462"/>
      <c r="E10" s="117" t="s">
        <v>525</v>
      </c>
      <c r="F10" s="436"/>
      <c r="G10" s="437">
        <v>3</v>
      </c>
      <c r="H10" s="442">
        <f>SUMIF(RefineriesData!$J$16:$J$245,$B7&amp;RIGHT($E10,3),RefineriesData!$N$16:$N$245)</f>
        <v>3.7782040119212234E-3</v>
      </c>
      <c r="I10" s="442"/>
      <c r="J10" s="439"/>
      <c r="K10" s="435"/>
      <c r="L10" s="435"/>
      <c r="M10" s="435"/>
      <c r="N10" s="435"/>
      <c r="O10" s="436"/>
      <c r="P10" s="436"/>
      <c r="Q10" s="439"/>
      <c r="R10" s="435"/>
      <c r="S10" s="435"/>
      <c r="T10" s="435"/>
      <c r="V10" s="436"/>
      <c r="W10" s="436"/>
      <c r="X10" s="436"/>
      <c r="Y10" s="436"/>
      <c r="Z10" s="436"/>
      <c r="AA10" s="436"/>
      <c r="AB10" s="436"/>
      <c r="AC10" s="436"/>
      <c r="AD10" s="435">
        <f>AD$7*F$7*H10</f>
        <v>1.5989596196539679</v>
      </c>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H10" s="462"/>
    </row>
    <row r="11" spans="1:60" x14ac:dyDescent="0.2">
      <c r="A11" s="461"/>
      <c r="B11" s="462"/>
      <c r="C11" s="462"/>
      <c r="E11" s="117" t="s">
        <v>499</v>
      </c>
      <c r="F11" s="436"/>
      <c r="G11" s="437">
        <v>3</v>
      </c>
      <c r="H11" s="442">
        <f>SUMIF(RefineriesData!$J$16:$J$245,$B7&amp;RIGHT($E11,3),RefineriesData!$N$16:$N$245)</f>
        <v>0.31968891523101722</v>
      </c>
      <c r="I11" s="442"/>
      <c r="J11" s="439"/>
      <c r="K11" s="435"/>
      <c r="L11" s="435"/>
      <c r="M11" s="435"/>
      <c r="N11" s="435"/>
      <c r="O11" s="436"/>
      <c r="P11" s="436"/>
      <c r="Q11" s="439"/>
      <c r="R11" s="435"/>
      <c r="S11" s="435"/>
      <c r="T11" s="435"/>
      <c r="V11" s="436"/>
      <c r="W11" s="436"/>
      <c r="X11" s="436"/>
      <c r="Y11" s="436"/>
      <c r="Z11" s="436"/>
      <c r="AA11" s="436"/>
      <c r="AB11" s="436"/>
      <c r="AC11" s="436"/>
      <c r="AD11" s="435">
        <f t="shared" ref="AD11:AD16" si="6">AD$7*F$7*H11</f>
        <v>135.2943527381006</v>
      </c>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H11" s="462"/>
    </row>
    <row r="12" spans="1:60" x14ac:dyDescent="0.2">
      <c r="A12" s="461"/>
      <c r="B12" s="462"/>
      <c r="C12" s="462"/>
      <c r="E12" s="117" t="s">
        <v>497</v>
      </c>
      <c r="F12" s="436"/>
      <c r="G12" s="437">
        <v>3</v>
      </c>
      <c r="H12" s="442">
        <f>SUMIF(RefineriesData!$J$16:$J$245,$B7&amp;RIGHT($E12,3),RefineriesData!$N$16:$N$245)</f>
        <v>0.28122161740282847</v>
      </c>
      <c r="I12" s="442"/>
      <c r="J12" s="439"/>
      <c r="K12" s="435"/>
      <c r="L12" s="435"/>
      <c r="M12" s="435"/>
      <c r="N12" s="435"/>
      <c r="O12" s="436"/>
      <c r="P12" s="436"/>
      <c r="Q12" s="439"/>
      <c r="R12" s="435"/>
      <c r="S12" s="435"/>
      <c r="T12" s="435"/>
      <c r="V12" s="436"/>
      <c r="W12" s="436"/>
      <c r="X12" s="436"/>
      <c r="Y12" s="436"/>
      <c r="Z12" s="436"/>
      <c r="AA12" s="436"/>
      <c r="AB12" s="436"/>
      <c r="AC12" s="436"/>
      <c r="AD12" s="435">
        <f t="shared" si="6"/>
        <v>119.014751183922</v>
      </c>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H12" s="462"/>
    </row>
    <row r="13" spans="1:60" x14ac:dyDescent="0.2">
      <c r="A13" s="461"/>
      <c r="B13" s="462"/>
      <c r="C13" s="462"/>
      <c r="E13" s="117" t="s">
        <v>491</v>
      </c>
      <c r="F13" s="436"/>
      <c r="G13" s="437">
        <v>3</v>
      </c>
      <c r="H13" s="442">
        <f>SUMIF(RefineriesData!$J$16:$J$245,$B7&amp;RIGHT($E13,3),RefineriesData!$N$16:$N$245)</f>
        <v>0.23372169677136084</v>
      </c>
      <c r="I13" s="442"/>
      <c r="J13" s="439"/>
      <c r="K13" s="435"/>
      <c r="L13" s="435"/>
      <c r="M13" s="435"/>
      <c r="N13" s="435"/>
      <c r="O13" s="436"/>
      <c r="P13" s="436"/>
      <c r="Q13" s="439"/>
      <c r="R13" s="435"/>
      <c r="S13" s="435"/>
      <c r="T13" s="435"/>
      <c r="V13" s="436"/>
      <c r="W13" s="436"/>
      <c r="X13" s="436"/>
      <c r="Y13" s="436"/>
      <c r="Z13" s="436"/>
      <c r="AA13" s="436"/>
      <c r="AB13" s="436"/>
      <c r="AC13" s="436"/>
      <c r="AD13" s="435">
        <f t="shared" si="6"/>
        <v>98.912487042853513</v>
      </c>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H13" s="462"/>
    </row>
    <row r="14" spans="1:60" x14ac:dyDescent="0.2">
      <c r="A14" s="461"/>
      <c r="B14" s="462"/>
      <c r="C14" s="462"/>
      <c r="E14" s="117" t="s">
        <v>490</v>
      </c>
      <c r="F14" s="436"/>
      <c r="G14" s="437">
        <v>3</v>
      </c>
      <c r="H14" s="442">
        <f>SUMIF(RefineriesData!$J$16:$J$245,$B7&amp;RIGHT($E14,3),RefineriesData!$N$16:$N$245)</f>
        <v>9.8059797015436129E-2</v>
      </c>
      <c r="I14" s="442"/>
      <c r="J14" s="439"/>
      <c r="K14" s="435"/>
      <c r="L14" s="435"/>
      <c r="M14" s="435"/>
      <c r="N14" s="435"/>
      <c r="O14" s="436"/>
      <c r="P14" s="436"/>
      <c r="Q14" s="439"/>
      <c r="R14" s="435"/>
      <c r="S14" s="435"/>
      <c r="T14" s="435"/>
      <c r="V14" s="436"/>
      <c r="W14" s="436"/>
      <c r="X14" s="436"/>
      <c r="Y14" s="436"/>
      <c r="Z14" s="436"/>
      <c r="AA14" s="436"/>
      <c r="AB14" s="436"/>
      <c r="AC14" s="436"/>
      <c r="AD14" s="435">
        <f t="shared" si="6"/>
        <v>41.499520736419207</v>
      </c>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H14" s="462"/>
    </row>
    <row r="15" spans="1:60" x14ac:dyDescent="0.2">
      <c r="A15" s="461"/>
      <c r="B15" s="462"/>
      <c r="C15" s="462"/>
      <c r="E15" s="117" t="s">
        <v>487</v>
      </c>
      <c r="F15" s="436"/>
      <c r="G15" s="437">
        <v>3</v>
      </c>
      <c r="H15" s="442">
        <f>SUMIF(RefineriesData!$J$16:$J$245,$B7&amp;RIGHT($E15,3),RefineriesData!$N$16:$N$245)</f>
        <v>2.1436699505158505E-2</v>
      </c>
      <c r="I15" s="442"/>
      <c r="J15" s="439"/>
      <c r="K15" s="435"/>
      <c r="L15" s="435"/>
      <c r="M15" s="435"/>
      <c r="N15" s="435"/>
      <c r="O15" s="436"/>
      <c r="P15" s="436"/>
      <c r="Q15" s="439"/>
      <c r="R15" s="435"/>
      <c r="S15" s="435"/>
      <c r="T15" s="435"/>
      <c r="V15" s="436"/>
      <c r="W15" s="436"/>
      <c r="X15" s="436"/>
      <c r="Y15" s="436"/>
      <c r="Z15" s="436"/>
      <c r="AA15" s="436"/>
      <c r="AB15" s="436"/>
      <c r="AC15" s="436"/>
      <c r="AD15" s="435">
        <f t="shared" si="6"/>
        <v>9.0721455959640007</v>
      </c>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H15" s="462"/>
    </row>
    <row r="16" spans="1:60" x14ac:dyDescent="0.2">
      <c r="A16" s="461"/>
      <c r="B16" s="462"/>
      <c r="C16" s="462"/>
      <c r="E16" s="117" t="s">
        <v>485</v>
      </c>
      <c r="F16" s="436"/>
      <c r="G16" s="437">
        <v>3</v>
      </c>
      <c r="H16" s="442">
        <f>1-SUM(H10:H15)</f>
        <v>4.2093070062277582E-2</v>
      </c>
      <c r="I16" s="442"/>
      <c r="J16" s="439"/>
      <c r="K16" s="435"/>
      <c r="L16" s="435"/>
      <c r="M16" s="435"/>
      <c r="N16" s="435"/>
      <c r="O16" s="436"/>
      <c r="P16" s="436"/>
      <c r="Q16" s="439"/>
      <c r="R16" s="435"/>
      <c r="S16" s="435"/>
      <c r="T16" s="435"/>
      <c r="V16" s="436"/>
      <c r="W16" s="436"/>
      <c r="X16" s="436"/>
      <c r="Y16" s="436"/>
      <c r="Z16" s="436"/>
      <c r="AA16" s="436"/>
      <c r="AB16" s="436"/>
      <c r="AC16" s="436"/>
      <c r="AD16" s="435">
        <f t="shared" si="6"/>
        <v>17.814051090010466</v>
      </c>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H16" s="462"/>
    </row>
    <row r="17" spans="1:60" x14ac:dyDescent="0.2">
      <c r="A17" s="460" t="s">
        <v>799</v>
      </c>
      <c r="B17" s="462"/>
      <c r="C17" s="462"/>
      <c r="F17" s="436"/>
      <c r="G17" s="436"/>
      <c r="H17" s="436"/>
      <c r="I17" s="436"/>
      <c r="J17" s="439"/>
      <c r="K17" s="435"/>
      <c r="L17" s="435"/>
      <c r="M17" s="435"/>
      <c r="N17" s="435"/>
      <c r="O17" s="436"/>
      <c r="P17" s="436"/>
      <c r="Q17" s="439"/>
      <c r="R17" s="435"/>
      <c r="S17" s="435"/>
      <c r="T17" s="435"/>
      <c r="U17" s="436"/>
      <c r="V17" s="436"/>
      <c r="W17" s="436"/>
      <c r="X17" s="436"/>
      <c r="Y17" s="436"/>
      <c r="Z17" s="436"/>
      <c r="AA17" s="436"/>
      <c r="AB17" s="436"/>
      <c r="AC17" s="436"/>
      <c r="AD17" s="436"/>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H17" s="462"/>
    </row>
    <row r="18" spans="1:60" ht="15" x14ac:dyDescent="0.25">
      <c r="A18" s="461" t="s">
        <v>846</v>
      </c>
      <c r="B18" s="462" t="s">
        <v>848</v>
      </c>
      <c r="C18" s="462"/>
      <c r="D18" s="117" t="s">
        <v>821</v>
      </c>
      <c r="F18" s="435">
        <f>SUMIF(RefineriesData!$J$16:$J$270,$B18&amp;F$4,RefineriesData!$N$16:$N$270)</f>
        <v>0.95198971146726152</v>
      </c>
      <c r="G18" s="436"/>
      <c r="H18" s="436"/>
      <c r="I18" s="436"/>
      <c r="J18" s="439">
        <f>SUMIF(RefineriesData!$J$13:$J$269,$B18&amp;J$4,RefineriesData!$N$13:$N$269)</f>
        <v>27.763122599999996</v>
      </c>
      <c r="K18" s="435">
        <f>SUMIF(RefineriesData!$J$13:$J$245,$B18&amp;K$5,RefineriesData!$N$13:$N$245)</f>
        <v>3.9048398119126899</v>
      </c>
      <c r="L18" s="435">
        <f>SUMIF(RefineriesData!$J$13:$J$245,$B18&amp;L$5,RefineriesData!$N$13:$N$245)</f>
        <v>0</v>
      </c>
      <c r="M18" s="435"/>
      <c r="N18" s="435"/>
      <c r="O18" s="436"/>
      <c r="P18" s="436"/>
      <c r="Q18" s="439"/>
      <c r="R18" s="435"/>
      <c r="S18" s="435">
        <v>3</v>
      </c>
      <c r="T18" s="435">
        <v>0</v>
      </c>
      <c r="U18" s="464"/>
      <c r="V18" s="435">
        <f>V7</f>
        <v>0.76</v>
      </c>
      <c r="W18" s="435">
        <f t="shared" ref="W18:X18" si="7">W7</f>
        <v>0.76</v>
      </c>
      <c r="X18" s="435">
        <f t="shared" si="7"/>
        <v>0.76</v>
      </c>
      <c r="Y18" s="435">
        <v>0</v>
      </c>
      <c r="Z18" s="435">
        <v>0</v>
      </c>
      <c r="AA18" s="435">
        <v>0</v>
      </c>
      <c r="AB18" s="435">
        <f>X18</f>
        <v>0.76</v>
      </c>
      <c r="AC18" s="435">
        <f>AB18</f>
        <v>0.76</v>
      </c>
      <c r="AD18" s="464">
        <f>V18*AE18/F18</f>
        <v>151.75379956651199</v>
      </c>
      <c r="AE18" s="435">
        <f>SUMIF(RefineriesData!$J$16:$J$270,$B18&amp;AE$3,RefineriesData!$N$16:$N$270)</f>
        <v>190.08954718866366</v>
      </c>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f>AE18</f>
        <v>190.08954718866366</v>
      </c>
      <c r="BD18" s="465">
        <v>0</v>
      </c>
      <c r="BE18" s="465"/>
      <c r="BF18" s="465"/>
    </row>
    <row r="19" spans="1:60" x14ac:dyDescent="0.2">
      <c r="A19" s="461"/>
      <c r="B19" s="462"/>
      <c r="C19" s="117" t="s">
        <v>825</v>
      </c>
      <c r="F19" s="436"/>
      <c r="I19" s="482">
        <f>SUMIF(RefineriesData!$J$16:$J$270,B18&amp;C19,RefineriesData!$N$16:$N$270)</f>
        <v>0</v>
      </c>
      <c r="J19" s="439"/>
      <c r="K19" s="435"/>
      <c r="L19" s="435"/>
      <c r="M19" s="435"/>
      <c r="N19" s="435"/>
      <c r="O19" s="436"/>
      <c r="P19" s="436"/>
      <c r="Q19" s="439"/>
      <c r="R19" s="435"/>
      <c r="S19" s="435"/>
      <c r="T19" s="435"/>
      <c r="U19" s="436"/>
      <c r="V19" s="436"/>
      <c r="W19" s="436"/>
      <c r="X19" s="436"/>
      <c r="Y19" s="436"/>
      <c r="Z19" s="436"/>
      <c r="AA19" s="436"/>
      <c r="AB19" s="436"/>
      <c r="AC19" s="436"/>
      <c r="AD19" s="43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row>
    <row r="20" spans="1:60" x14ac:dyDescent="0.2">
      <c r="A20" s="461"/>
      <c r="B20" s="462"/>
      <c r="C20" s="117" t="s">
        <v>823</v>
      </c>
      <c r="F20" s="436"/>
      <c r="G20" s="436"/>
      <c r="H20" s="436"/>
      <c r="I20" s="482">
        <f>SUMIF(RefineriesData!$J$16:$J$270,B18&amp;C20,RefineriesData!$N$16:$N$270)</f>
        <v>4.5130780547547305E-3</v>
      </c>
      <c r="J20" s="439"/>
      <c r="K20" s="435"/>
      <c r="L20" s="435"/>
      <c r="M20" s="435"/>
      <c r="N20" s="435"/>
      <c r="O20" s="436"/>
      <c r="P20" s="436"/>
      <c r="Q20" s="439"/>
      <c r="R20" s="435"/>
      <c r="S20" s="435"/>
      <c r="T20" s="435"/>
      <c r="U20" s="436"/>
      <c r="V20" s="436"/>
      <c r="W20" s="436"/>
      <c r="X20" s="436"/>
      <c r="Y20" s="436"/>
      <c r="Z20" s="436"/>
      <c r="AA20" s="436"/>
      <c r="AB20" s="436"/>
      <c r="AC20" s="436"/>
      <c r="AD20" s="43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H20" s="462"/>
    </row>
    <row r="21" spans="1:60" x14ac:dyDescent="0.2">
      <c r="A21" s="461"/>
      <c r="B21" s="462"/>
      <c r="C21" s="462"/>
      <c r="E21" s="117" t="s">
        <v>525</v>
      </c>
      <c r="F21" s="436"/>
      <c r="G21" s="437">
        <v>3</v>
      </c>
      <c r="H21" s="442">
        <f>SUMIF(RefineriesData!$J$16:$J$245,$B18&amp;RIGHT($E21,3),RefineriesData!$N$16:$N$245)</f>
        <v>0</v>
      </c>
      <c r="I21" s="442"/>
      <c r="J21" s="439"/>
      <c r="K21" s="435"/>
      <c r="L21" s="435"/>
      <c r="M21" s="435"/>
      <c r="N21" s="435"/>
      <c r="O21" s="436"/>
      <c r="P21" s="436"/>
      <c r="Q21" s="439"/>
      <c r="R21" s="435"/>
      <c r="S21" s="435"/>
      <c r="T21" s="435"/>
      <c r="U21" s="436"/>
      <c r="V21" s="436"/>
      <c r="W21" s="436"/>
      <c r="X21" s="436"/>
      <c r="Y21" s="436"/>
      <c r="Z21" s="436"/>
      <c r="AA21" s="436"/>
      <c r="AB21" s="436"/>
      <c r="AC21" s="436"/>
      <c r="AD21" s="435">
        <f>AD$18*F$18*H21</f>
        <v>0</v>
      </c>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H21" s="462"/>
    </row>
    <row r="22" spans="1:60" x14ac:dyDescent="0.2">
      <c r="A22" s="461"/>
      <c r="B22" s="462"/>
      <c r="C22" s="462"/>
      <c r="E22" s="117" t="s">
        <v>499</v>
      </c>
      <c r="F22" s="436"/>
      <c r="G22" s="437">
        <v>3</v>
      </c>
      <c r="H22" s="442">
        <f>SUMIF(RefineriesData!$J$16:$J$245,$B18&amp;RIGHT($E22,3),RefineriesData!$N$16:$N$245)</f>
        <v>0.35276939364868132</v>
      </c>
      <c r="I22" s="442"/>
      <c r="J22" s="439"/>
      <c r="K22" s="435"/>
      <c r="L22" s="435"/>
      <c r="M22" s="435"/>
      <c r="N22" s="435"/>
      <c r="O22" s="436"/>
      <c r="P22" s="436"/>
      <c r="Q22" s="439"/>
      <c r="R22" s="435"/>
      <c r="S22" s="435"/>
      <c r="T22" s="435"/>
      <c r="U22" s="436"/>
      <c r="V22" s="436"/>
      <c r="W22" s="436"/>
      <c r="X22" s="436"/>
      <c r="Y22" s="436"/>
      <c r="Z22" s="436"/>
      <c r="AA22" s="436"/>
      <c r="AB22" s="436"/>
      <c r="AC22" s="436"/>
      <c r="AD22" s="435">
        <f t="shared" ref="AD22:AD27" si="8">AD$18*F$18*H22</f>
        <v>50.96390846852993</v>
      </c>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H22" s="462"/>
    </row>
    <row r="23" spans="1:60" x14ac:dyDescent="0.2">
      <c r="A23" s="461"/>
      <c r="B23" s="462"/>
      <c r="C23" s="462"/>
      <c r="E23" s="117" t="s">
        <v>497</v>
      </c>
      <c r="F23" s="436"/>
      <c r="G23" s="437">
        <v>3</v>
      </c>
      <c r="H23" s="442">
        <f>SUMIF(RefineriesData!$J$16:$J$245,$B18&amp;RIGHT($E23,3),RefineriesData!$N$16:$N$245)</f>
        <v>0.3002204613879127</v>
      </c>
      <c r="I23" s="442"/>
      <c r="J23" s="439"/>
      <c r="K23" s="435"/>
      <c r="L23" s="435"/>
      <c r="M23" s="435"/>
      <c r="N23" s="435"/>
      <c r="O23" s="436"/>
      <c r="P23" s="436"/>
      <c r="Q23" s="439"/>
      <c r="R23" s="435"/>
      <c r="S23" s="435"/>
      <c r="T23" s="435"/>
      <c r="U23" s="436"/>
      <c r="V23" s="436"/>
      <c r="W23" s="436"/>
      <c r="X23" s="436"/>
      <c r="Y23" s="436"/>
      <c r="Z23" s="436"/>
      <c r="AA23" s="436"/>
      <c r="AB23" s="436"/>
      <c r="AC23" s="436"/>
      <c r="AD23" s="435">
        <f t="shared" si="8"/>
        <v>43.372266387120007</v>
      </c>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H23" s="462"/>
    </row>
    <row r="24" spans="1:60" x14ac:dyDescent="0.2">
      <c r="A24" s="461"/>
      <c r="B24" s="462"/>
      <c r="C24" s="462"/>
      <c r="E24" s="117" t="s">
        <v>491</v>
      </c>
      <c r="F24" s="436"/>
      <c r="G24" s="437">
        <v>3</v>
      </c>
      <c r="H24" s="442">
        <f>SUMIF(RefineriesData!$J$16:$J$245,$B18&amp;RIGHT($E24,3),RefineriesData!$N$16:$N$245)</f>
        <v>0.20197781416846072</v>
      </c>
      <c r="I24" s="442"/>
      <c r="J24" s="439"/>
      <c r="K24" s="435"/>
      <c r="L24" s="435"/>
      <c r="M24" s="435"/>
      <c r="N24" s="435"/>
      <c r="O24" s="436"/>
      <c r="P24" s="436"/>
      <c r="Q24" s="439"/>
      <c r="R24" s="435"/>
      <c r="S24" s="435"/>
      <c r="T24" s="435"/>
      <c r="U24" s="436"/>
      <c r="V24" s="436"/>
      <c r="W24" s="436"/>
      <c r="X24" s="436"/>
      <c r="Y24" s="436"/>
      <c r="Z24" s="436"/>
      <c r="AA24" s="436"/>
      <c r="AB24" s="436"/>
      <c r="AC24" s="436"/>
      <c r="AD24" s="435">
        <f t="shared" si="8"/>
        <v>29.179342140453457</v>
      </c>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H24" s="462"/>
    </row>
    <row r="25" spans="1:60" x14ac:dyDescent="0.2">
      <c r="A25" s="461"/>
      <c r="B25" s="462"/>
      <c r="C25" s="462"/>
      <c r="E25" s="117" t="s">
        <v>490</v>
      </c>
      <c r="F25" s="436"/>
      <c r="G25" s="437">
        <v>3</v>
      </c>
      <c r="H25" s="442">
        <f>SUMIF(RefineriesData!$J$16:$J$245,$B18&amp;RIGHT($E25,3),RefineriesData!$N$16:$N$245)</f>
        <v>0.12524521696188154</v>
      </c>
      <c r="I25" s="442"/>
      <c r="J25" s="439"/>
      <c r="K25" s="435"/>
      <c r="L25" s="435"/>
      <c r="M25" s="435"/>
      <c r="N25" s="435"/>
      <c r="O25" s="436"/>
      <c r="P25" s="436"/>
      <c r="Q25" s="439"/>
      <c r="R25" s="435"/>
      <c r="S25" s="435"/>
      <c r="T25" s="435"/>
      <c r="U25" s="436"/>
      <c r="V25" s="436"/>
      <c r="W25" s="436"/>
      <c r="X25" s="436"/>
      <c r="Y25" s="436"/>
      <c r="Z25" s="436"/>
      <c r="AA25" s="436"/>
      <c r="AB25" s="436"/>
      <c r="AC25" s="436"/>
      <c r="AD25" s="435">
        <f t="shared" si="8"/>
        <v>18.093933000670802</v>
      </c>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H25" s="462"/>
    </row>
    <row r="26" spans="1:60" x14ac:dyDescent="0.2">
      <c r="A26" s="461"/>
      <c r="B26" s="462"/>
      <c r="C26" s="462"/>
      <c r="E26" s="117" t="s">
        <v>487</v>
      </c>
      <c r="F26" s="436"/>
      <c r="G26" s="437">
        <v>3</v>
      </c>
      <c r="H26" s="442">
        <f>SUMIF(RefineriesData!$J$16:$J$245,$B18&amp;RIGHT($E26,3),RefineriesData!$N$16:$N$245)</f>
        <v>0</v>
      </c>
      <c r="I26" s="442"/>
      <c r="J26" s="439"/>
      <c r="K26" s="435"/>
      <c r="L26" s="435"/>
      <c r="M26" s="435"/>
      <c r="N26" s="435"/>
      <c r="O26" s="436"/>
      <c r="P26" s="436"/>
      <c r="Q26" s="439"/>
      <c r="R26" s="435"/>
      <c r="S26" s="435"/>
      <c r="T26" s="435"/>
      <c r="U26" s="436"/>
      <c r="V26" s="436"/>
      <c r="W26" s="436"/>
      <c r="X26" s="436"/>
      <c r="Y26" s="436"/>
      <c r="Z26" s="436"/>
      <c r="AA26" s="436"/>
      <c r="AB26" s="436"/>
      <c r="AC26" s="436"/>
      <c r="AD26" s="435">
        <f t="shared" si="8"/>
        <v>0</v>
      </c>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H26" s="462"/>
    </row>
    <row r="27" spans="1:60" x14ac:dyDescent="0.2">
      <c r="A27" s="461"/>
      <c r="B27" s="462"/>
      <c r="C27" s="462"/>
      <c r="E27" s="117" t="s">
        <v>485</v>
      </c>
      <c r="F27" s="436"/>
      <c r="G27" s="437">
        <v>3</v>
      </c>
      <c r="H27" s="442">
        <f>1-SUM(H21:H26)</f>
        <v>1.9787113833063752E-2</v>
      </c>
      <c r="I27" s="442"/>
      <c r="J27" s="439"/>
      <c r="K27" s="435"/>
      <c r="L27" s="435"/>
      <c r="M27" s="435"/>
      <c r="N27" s="435"/>
      <c r="O27" s="436"/>
      <c r="P27" s="436"/>
      <c r="Q27" s="439"/>
      <c r="R27" s="435"/>
      <c r="S27" s="435"/>
      <c r="T27" s="435"/>
      <c r="U27" s="436"/>
      <c r="V27" s="436"/>
      <c r="W27" s="436"/>
      <c r="X27" s="436"/>
      <c r="Y27" s="436"/>
      <c r="Z27" s="436"/>
      <c r="AA27" s="436"/>
      <c r="AB27" s="436"/>
      <c r="AC27" s="436"/>
      <c r="AD27" s="435">
        <f t="shared" si="8"/>
        <v>2.8586058666102003</v>
      </c>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H27" s="462"/>
    </row>
    <row r="28" spans="1:60" x14ac:dyDescent="0.2">
      <c r="A28" s="460" t="s">
        <v>799</v>
      </c>
      <c r="B28" s="462"/>
      <c r="C28" s="462"/>
      <c r="F28" s="436"/>
      <c r="G28" s="436"/>
      <c r="H28" s="436"/>
      <c r="I28" s="436"/>
      <c r="J28" s="439"/>
      <c r="K28" s="435"/>
      <c r="L28" s="435"/>
      <c r="M28" s="435"/>
      <c r="N28" s="435"/>
      <c r="O28" s="436"/>
      <c r="P28" s="436"/>
      <c r="Q28" s="439"/>
      <c r="R28" s="435"/>
      <c r="S28" s="435"/>
      <c r="T28" s="435"/>
      <c r="U28" s="436"/>
      <c r="V28" s="436"/>
      <c r="W28" s="436"/>
      <c r="X28" s="436"/>
      <c r="Y28" s="436"/>
      <c r="Z28" s="436"/>
      <c r="AA28" s="436"/>
      <c r="AB28" s="436"/>
      <c r="AC28" s="436"/>
      <c r="AD28" s="43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H28" s="462"/>
    </row>
    <row r="29" spans="1:60" ht="15" x14ac:dyDescent="0.25">
      <c r="A29" s="461" t="s">
        <v>824</v>
      </c>
      <c r="B29" s="462" t="s">
        <v>117</v>
      </c>
      <c r="C29" s="462"/>
      <c r="D29" s="117" t="s">
        <v>821</v>
      </c>
      <c r="F29" s="435">
        <f>SUMIF(RefineriesData!$J$16:$J$270,$B29&amp;F$4,RefineriesData!$N$16:$N$270)</f>
        <v>0.96421412348881386</v>
      </c>
      <c r="G29" s="436"/>
      <c r="H29" s="436"/>
      <c r="I29" s="436"/>
      <c r="J29" s="439">
        <f>SUMIF(RefineriesData!$J$13:$J$269,$B29&amp;J$4,RefineriesData!$N$13:$N$269)</f>
        <v>27.763122599999996</v>
      </c>
      <c r="K29" s="435">
        <f>SUMIF(RefineriesData!$J$13:$J$245,$B29&amp;K$5,RefineriesData!$N$13:$N$245)</f>
        <v>4.3387109021252108</v>
      </c>
      <c r="L29" s="435">
        <f>SUMIF(RefineriesData!$J$13:$J$245,$B29&amp;L$5,RefineriesData!$N$13:$N$245)</f>
        <v>0</v>
      </c>
      <c r="M29" s="435"/>
      <c r="N29" s="435"/>
      <c r="O29" s="436"/>
      <c r="P29" s="436"/>
      <c r="Q29" s="439"/>
      <c r="R29" s="435"/>
      <c r="S29" s="435">
        <v>3</v>
      </c>
      <c r="T29" s="435">
        <v>0</v>
      </c>
      <c r="U29" s="464"/>
      <c r="V29" s="442">
        <f>V18</f>
        <v>0.76</v>
      </c>
      <c r="W29" s="442">
        <f t="shared" ref="W29:X29" si="9">W18</f>
        <v>0.76</v>
      </c>
      <c r="X29" s="442">
        <f t="shared" si="9"/>
        <v>0.76</v>
      </c>
      <c r="Y29" s="442">
        <v>0</v>
      </c>
      <c r="Z29" s="442">
        <f>W29</f>
        <v>0.76</v>
      </c>
      <c r="AA29" s="442">
        <f t="shared" ref="AA29" si="10">X29</f>
        <v>0.76</v>
      </c>
      <c r="AB29" s="442">
        <f>AA29</f>
        <v>0.76</v>
      </c>
      <c r="AC29" s="442">
        <f>AB29</f>
        <v>0.76</v>
      </c>
      <c r="AD29" s="464">
        <f>V29*AE29/F29</f>
        <v>167.22576194085102</v>
      </c>
      <c r="AE29" s="435">
        <f>SUMIF(RefineriesData!$J$16:$J$270,$B29&amp;AE$3,RefineriesData!$N$16:$N$270)</f>
        <v>212.15979141387726</v>
      </c>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f>AE29</f>
        <v>212.15979141387726</v>
      </c>
      <c r="BD29" s="465">
        <v>0</v>
      </c>
      <c r="BE29" s="465"/>
      <c r="BF29" s="465"/>
      <c r="BH29" s="462"/>
    </row>
    <row r="30" spans="1:60" x14ac:dyDescent="0.2">
      <c r="A30" s="461"/>
      <c r="B30" s="462"/>
      <c r="C30" s="117" t="s">
        <v>825</v>
      </c>
      <c r="F30" s="436"/>
      <c r="G30" s="436"/>
      <c r="H30" s="436"/>
      <c r="I30" s="482">
        <f>SUMIF(RefineriesData!$J$16:$J$270,B29&amp;C30,RefineriesData!$N$16:$N$270)</f>
        <v>0</v>
      </c>
      <c r="J30" s="439"/>
      <c r="K30" s="435"/>
      <c r="L30" s="435"/>
      <c r="M30" s="435"/>
      <c r="N30" s="435"/>
      <c r="O30" s="436"/>
      <c r="P30" s="436"/>
      <c r="Q30" s="439"/>
      <c r="R30" s="435"/>
      <c r="S30" s="435"/>
      <c r="T30" s="435"/>
      <c r="U30" s="436"/>
      <c r="V30" s="436"/>
      <c r="W30" s="436"/>
      <c r="X30" s="436"/>
      <c r="Y30" s="436"/>
      <c r="Z30" s="436"/>
      <c r="AA30" s="436"/>
      <c r="AB30" s="436"/>
      <c r="AC30" s="436"/>
      <c r="AD30" s="436"/>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F30" s="465"/>
      <c r="BH30" s="462"/>
    </row>
    <row r="31" spans="1:60" x14ac:dyDescent="0.2">
      <c r="A31" s="461"/>
      <c r="B31" s="462"/>
      <c r="C31" s="117" t="s">
        <v>823</v>
      </c>
      <c r="F31" s="436"/>
      <c r="G31" s="436"/>
      <c r="H31" s="436"/>
      <c r="I31" s="482">
        <f>SUMIF(RefineriesData!$J$16:$J$270,B29&amp;C31,RefineriesData!$N$16:$N$270)</f>
        <v>4.8281344602274104E-3</v>
      </c>
      <c r="J31" s="439"/>
      <c r="K31" s="435"/>
      <c r="L31" s="435"/>
      <c r="M31" s="435"/>
      <c r="N31" s="435"/>
      <c r="O31" s="436"/>
      <c r="P31" s="436"/>
      <c r="Q31" s="439"/>
      <c r="R31" s="435"/>
      <c r="S31" s="435"/>
      <c r="T31" s="435"/>
      <c r="U31" s="436"/>
      <c r="V31" s="436"/>
      <c r="W31" s="436"/>
      <c r="X31" s="436"/>
      <c r="Y31" s="436"/>
      <c r="Z31" s="436"/>
      <c r="AA31" s="436"/>
      <c r="AB31" s="436"/>
      <c r="AC31" s="436"/>
      <c r="AD31" s="436"/>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H31" s="462"/>
    </row>
    <row r="32" spans="1:60" x14ac:dyDescent="0.2">
      <c r="A32" s="461"/>
      <c r="B32" s="462"/>
      <c r="C32" s="462"/>
      <c r="E32" s="117" t="s">
        <v>525</v>
      </c>
      <c r="F32" s="436"/>
      <c r="G32" s="437">
        <v>3</v>
      </c>
      <c r="H32" s="442">
        <f>SUMIF(RefineriesData!$J$16:$J$245,$B29&amp;RIGHT($E32,3),RefineriesData!$N$16:$N$245)</f>
        <v>0</v>
      </c>
      <c r="I32" s="442"/>
      <c r="J32" s="439"/>
      <c r="K32" s="435"/>
      <c r="L32" s="435"/>
      <c r="M32" s="435"/>
      <c r="N32" s="435"/>
      <c r="O32" s="436"/>
      <c r="P32" s="436"/>
      <c r="Q32" s="439"/>
      <c r="R32" s="435"/>
      <c r="S32" s="435"/>
      <c r="T32" s="435"/>
      <c r="U32" s="436"/>
      <c r="V32" s="436"/>
      <c r="W32" s="436"/>
      <c r="X32" s="436"/>
      <c r="Y32" s="436"/>
      <c r="Z32" s="436"/>
      <c r="AA32" s="436"/>
      <c r="AB32" s="436"/>
      <c r="AC32" s="436"/>
      <c r="AD32" s="435">
        <f>AD$29*F$29*H32</f>
        <v>0</v>
      </c>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H32" s="462"/>
    </row>
    <row r="33" spans="1:60" x14ac:dyDescent="0.2">
      <c r="A33" s="461"/>
      <c r="B33" s="462"/>
      <c r="C33" s="462"/>
      <c r="E33" s="117" t="s">
        <v>499</v>
      </c>
      <c r="F33" s="436"/>
      <c r="G33" s="437">
        <v>3</v>
      </c>
      <c r="H33" s="442">
        <f>SUMIF(RefineriesData!$J$16:$J$245,$B29&amp;RIGHT($E33,3),RefineriesData!$N$16:$N$245)</f>
        <v>0.38519100880852519</v>
      </c>
      <c r="I33" s="442"/>
      <c r="J33" s="439"/>
      <c r="K33" s="435"/>
      <c r="L33" s="435"/>
      <c r="M33" s="435"/>
      <c r="N33" s="435"/>
      <c r="O33" s="436"/>
      <c r="P33" s="436"/>
      <c r="Q33" s="439"/>
      <c r="R33" s="435"/>
      <c r="S33" s="435"/>
      <c r="T33" s="435"/>
      <c r="U33" s="436"/>
      <c r="V33" s="436"/>
      <c r="W33" s="436"/>
      <c r="X33" s="436"/>
      <c r="Y33" s="436"/>
      <c r="Z33" s="436"/>
      <c r="AA33" s="436"/>
      <c r="AB33" s="436"/>
      <c r="AC33" s="436"/>
      <c r="AD33" s="435">
        <f t="shared" ref="AD33:AD38" si="11">AD$29*F$29*H33</f>
        <v>62.108753503321424</v>
      </c>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H33" s="462"/>
    </row>
    <row r="34" spans="1:60" x14ac:dyDescent="0.2">
      <c r="A34" s="461"/>
      <c r="B34" s="462"/>
      <c r="C34" s="462"/>
      <c r="E34" s="117" t="s">
        <v>497</v>
      </c>
      <c r="F34" s="436"/>
      <c r="G34" s="437">
        <v>3</v>
      </c>
      <c r="H34" s="442">
        <f>SUMIF(RefineriesData!$J$16:$J$245,$B29&amp;RIGHT($E34,3),RefineriesData!$N$16:$N$245)</f>
        <v>0.32388872844513639</v>
      </c>
      <c r="I34" s="442"/>
      <c r="J34" s="439"/>
      <c r="K34" s="435"/>
      <c r="L34" s="435"/>
      <c r="M34" s="435"/>
      <c r="N34" s="435"/>
      <c r="O34" s="436"/>
      <c r="P34" s="436"/>
      <c r="Q34" s="439"/>
      <c r="R34" s="435"/>
      <c r="S34" s="435"/>
      <c r="T34" s="435"/>
      <c r="U34" s="436"/>
      <c r="V34" s="436"/>
      <c r="W34" s="436"/>
      <c r="X34" s="436"/>
      <c r="Y34" s="436"/>
      <c r="Z34" s="436"/>
      <c r="AA34" s="436"/>
      <c r="AB34" s="436"/>
      <c r="AC34" s="436"/>
      <c r="AD34" s="435">
        <f t="shared" si="11"/>
        <v>52.224285451851813</v>
      </c>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H34" s="462"/>
    </row>
    <row r="35" spans="1:60" x14ac:dyDescent="0.2">
      <c r="A35" s="461"/>
      <c r="B35" s="462"/>
      <c r="C35" s="462"/>
      <c r="E35" s="117" t="s">
        <v>491</v>
      </c>
      <c r="F35" s="436"/>
      <c r="G35" s="437">
        <v>3</v>
      </c>
      <c r="H35" s="442">
        <f>SUMIF(RefineriesData!$J$16:$J$245,$B29&amp;RIGHT($E35,3),RefineriesData!$N$16:$N$245)</f>
        <v>3.70569602416869E-2</v>
      </c>
      <c r="I35" s="442"/>
      <c r="J35" s="439"/>
      <c r="K35" s="435"/>
      <c r="L35" s="435"/>
      <c r="M35" s="435"/>
      <c r="N35" s="435"/>
      <c r="O35" s="436"/>
      <c r="P35" s="436"/>
      <c r="Q35" s="439"/>
      <c r="R35" s="435"/>
      <c r="S35" s="435"/>
      <c r="T35" s="435"/>
      <c r="U35" s="436"/>
      <c r="V35" s="436"/>
      <c r="W35" s="436"/>
      <c r="X35" s="436"/>
      <c r="Y35" s="436"/>
      <c r="Z35" s="436"/>
      <c r="AA35" s="436"/>
      <c r="AB35" s="436"/>
      <c r="AC35" s="436"/>
      <c r="AD35" s="435">
        <f t="shared" si="11"/>
        <v>5.9751176860345625</v>
      </c>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H35" s="462"/>
    </row>
    <row r="36" spans="1:60" x14ac:dyDescent="0.2">
      <c r="A36" s="461"/>
      <c r="B36" s="462"/>
      <c r="C36" s="462"/>
      <c r="E36" s="117" t="s">
        <v>490</v>
      </c>
      <c r="F36" s="436"/>
      <c r="G36" s="437">
        <v>3</v>
      </c>
      <c r="H36" s="442">
        <f>SUMIF(RefineriesData!$J$16:$J$245,$B29&amp;RIGHT($E36,3),RefineriesData!$N$16:$N$245)</f>
        <v>0.21374627875427765</v>
      </c>
      <c r="I36" s="442"/>
      <c r="J36" s="439"/>
      <c r="K36" s="435"/>
      <c r="L36" s="435"/>
      <c r="M36" s="435"/>
      <c r="N36" s="435"/>
      <c r="O36" s="436"/>
      <c r="P36" s="436"/>
      <c r="Q36" s="439"/>
      <c r="R36" s="435"/>
      <c r="S36" s="435"/>
      <c r="T36" s="435"/>
      <c r="U36" s="436"/>
      <c r="V36" s="436"/>
      <c r="W36" s="436"/>
      <c r="X36" s="436"/>
      <c r="Y36" s="436"/>
      <c r="Z36" s="436"/>
      <c r="AA36" s="436"/>
      <c r="AB36" s="436"/>
      <c r="AC36" s="436"/>
      <c r="AD36" s="435">
        <f t="shared" si="11"/>
        <v>34.464758096160011</v>
      </c>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H36" s="462"/>
    </row>
    <row r="37" spans="1:60" x14ac:dyDescent="0.2">
      <c r="A37" s="461"/>
      <c r="B37" s="462"/>
      <c r="C37" s="462"/>
      <c r="E37" s="117" t="s">
        <v>487</v>
      </c>
      <c r="F37" s="436"/>
      <c r="G37" s="437">
        <v>3</v>
      </c>
      <c r="H37" s="442">
        <f>SUMIF(RefineriesData!$J$16:$J$245,$B29&amp;RIGHT($E37,3),RefineriesData!$N$16:$N$245)</f>
        <v>2.6523977888853558E-3</v>
      </c>
      <c r="I37" s="442"/>
      <c r="J37" s="439"/>
      <c r="K37" s="435"/>
      <c r="L37" s="435"/>
      <c r="M37" s="435"/>
      <c r="N37" s="435"/>
      <c r="O37" s="436"/>
      <c r="P37" s="436"/>
      <c r="Q37" s="439"/>
      <c r="R37" s="435"/>
      <c r="S37" s="435"/>
      <c r="T37" s="435"/>
      <c r="U37" s="436"/>
      <c r="V37" s="436"/>
      <c r="W37" s="436"/>
      <c r="X37" s="436"/>
      <c r="Y37" s="436"/>
      <c r="Z37" s="436"/>
      <c r="AA37" s="436"/>
      <c r="AB37" s="436"/>
      <c r="AC37" s="436"/>
      <c r="AD37" s="435">
        <f t="shared" si="11"/>
        <v>0.42767644284377521</v>
      </c>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H37" s="462"/>
    </row>
    <row r="38" spans="1:60" x14ac:dyDescent="0.2">
      <c r="A38" s="461"/>
      <c r="B38" s="462"/>
      <c r="C38" s="462"/>
      <c r="E38" s="117" t="s">
        <v>485</v>
      </c>
      <c r="F38" s="436"/>
      <c r="G38" s="437">
        <v>3</v>
      </c>
      <c r="H38" s="442">
        <f>SUMIF(RefineriesData!$J$16:$J$245,$B29&amp;RIGHT($E38,3),RefineriesData!$N$16:$N$245)</f>
        <v>3.7464625961488515E-2</v>
      </c>
      <c r="I38" s="442"/>
      <c r="J38" s="439"/>
      <c r="K38" s="435"/>
      <c r="L38" s="435"/>
      <c r="M38" s="435"/>
      <c r="N38" s="435"/>
      <c r="O38" s="436"/>
      <c r="P38" s="436"/>
      <c r="Q38" s="439"/>
      <c r="R38" s="435"/>
      <c r="S38" s="435"/>
      <c r="T38" s="435"/>
      <c r="U38" s="436"/>
      <c r="V38" s="436"/>
      <c r="W38" s="436"/>
      <c r="X38" s="436"/>
      <c r="Y38" s="436"/>
      <c r="Z38" s="436"/>
      <c r="AA38" s="436"/>
      <c r="AB38" s="436"/>
      <c r="AC38" s="436"/>
      <c r="AD38" s="435">
        <f t="shared" si="11"/>
        <v>6.0408502943351339</v>
      </c>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H38" s="462"/>
    </row>
    <row r="39" spans="1:60" x14ac:dyDescent="0.2">
      <c r="A39" s="461" t="s">
        <v>799</v>
      </c>
      <c r="B39" s="462"/>
      <c r="C39" s="462"/>
      <c r="F39" s="436"/>
      <c r="G39" s="442"/>
      <c r="H39" s="442"/>
      <c r="I39" s="442"/>
      <c r="J39" s="439"/>
      <c r="K39" s="435"/>
      <c r="L39" s="435"/>
      <c r="M39" s="435"/>
      <c r="N39" s="435"/>
      <c r="O39" s="436"/>
      <c r="P39" s="436"/>
      <c r="Q39" s="439"/>
      <c r="R39" s="435"/>
      <c r="S39" s="435"/>
      <c r="T39" s="435"/>
      <c r="U39" s="436"/>
      <c r="V39" s="436"/>
      <c r="W39" s="436"/>
      <c r="X39" s="436"/>
      <c r="Y39" s="436"/>
      <c r="Z39" s="436"/>
      <c r="AA39" s="436"/>
      <c r="AB39" s="436"/>
      <c r="AC39" s="436"/>
      <c r="AD39" s="436"/>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H39" s="462"/>
    </row>
    <row r="40" spans="1:60" ht="15" x14ac:dyDescent="0.25">
      <c r="A40" s="461" t="s">
        <v>826</v>
      </c>
      <c r="B40" s="462" t="s">
        <v>827</v>
      </c>
      <c r="C40" s="462"/>
      <c r="D40" s="117" t="s">
        <v>822</v>
      </c>
      <c r="F40" s="435">
        <f>SUMIF(RefineriesData!$J$16:$J$270,$B40&amp;F$4,RefineriesData!$N$16:$N$270)</f>
        <v>1.3713233510214249</v>
      </c>
      <c r="G40" s="436"/>
      <c r="H40" s="436"/>
      <c r="I40" s="436"/>
      <c r="J40" s="439">
        <f>SUMIF(RefineriesData!$J$13:$J$269,$B40&amp;J$4,RefineriesData!$N$13:$N$269)</f>
        <v>66.311492399999992</v>
      </c>
      <c r="M40" s="466">
        <f>RefineriesData!D243</f>
        <v>6.4894696089818042</v>
      </c>
      <c r="N40" s="467">
        <v>4.4999999999999997E-3</v>
      </c>
      <c r="O40" s="436"/>
      <c r="P40" s="436"/>
      <c r="Q40" s="439"/>
      <c r="R40" s="435"/>
      <c r="S40" s="435">
        <v>3</v>
      </c>
      <c r="T40" s="435">
        <v>0</v>
      </c>
      <c r="U40" s="464"/>
      <c r="V40" s="435">
        <f>RefineriesData!D241</f>
        <v>0.46714295102597259</v>
      </c>
      <c r="W40" s="435">
        <f>V40</f>
        <v>0.46714295102597259</v>
      </c>
      <c r="X40" s="435">
        <f>W40</f>
        <v>0.46714295102597259</v>
      </c>
      <c r="Y40" s="435">
        <v>0</v>
      </c>
      <c r="Z40" s="435">
        <f>RefineriesData!H241</f>
        <v>0</v>
      </c>
      <c r="AA40" s="435"/>
      <c r="AB40" s="435"/>
      <c r="AC40" s="435"/>
      <c r="AD40" s="464">
        <f>V40*AE40/F40</f>
        <v>20.028765310925095</v>
      </c>
      <c r="AE40" s="435">
        <f>SUMIF(RefineriesData!$J$16:$J$270,$B40&amp;AE$3,RefineriesData!$N$16:$N$270)</f>
        <v>58.795521804785629</v>
      </c>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H40" s="462"/>
    </row>
    <row r="41" spans="1:60" x14ac:dyDescent="0.2">
      <c r="A41" s="461"/>
      <c r="B41" s="462"/>
      <c r="C41" s="117" t="s">
        <v>821</v>
      </c>
      <c r="F41" s="435"/>
      <c r="G41" s="436"/>
      <c r="H41" s="436"/>
      <c r="I41" s="482">
        <f>SUMIF(RefineriesData!$J$16:$J$270,B40&amp;C41,RefineriesData!$N$16:$N$270)</f>
        <v>0.24339802736239258</v>
      </c>
      <c r="J41" s="439"/>
      <c r="M41" s="435"/>
      <c r="N41" s="435"/>
      <c r="O41" s="436"/>
      <c r="P41" s="436"/>
      <c r="Q41" s="439"/>
      <c r="R41" s="435"/>
      <c r="S41" s="435"/>
      <c r="T41" s="435"/>
      <c r="U41" s="435"/>
      <c r="V41" s="435"/>
      <c r="W41" s="435"/>
      <c r="X41" s="435"/>
      <c r="Y41" s="435"/>
      <c r="Z41" s="435"/>
      <c r="AA41" s="435"/>
      <c r="AB41" s="435"/>
      <c r="AC41" s="435"/>
      <c r="AD41" s="43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F41" s="465"/>
      <c r="BH41" s="462"/>
    </row>
    <row r="42" spans="1:60" x14ac:dyDescent="0.2">
      <c r="A42" s="461"/>
      <c r="B42" s="462"/>
      <c r="C42" s="117" t="s">
        <v>823</v>
      </c>
      <c r="F42" s="436"/>
      <c r="G42" s="436"/>
      <c r="H42" s="436"/>
      <c r="I42" s="482">
        <f>SUMIF(RefineriesData!$J$16:$J$270,B40&amp;C42,RefineriesData!$N$16:$N$270)</f>
        <v>2.3491886504442346E-2</v>
      </c>
      <c r="J42" s="439"/>
      <c r="M42" s="435"/>
      <c r="N42" s="435"/>
      <c r="O42" s="436"/>
      <c r="P42" s="436"/>
      <c r="Q42" s="439"/>
      <c r="R42" s="435"/>
      <c r="S42" s="435"/>
      <c r="T42" s="435"/>
      <c r="U42" s="436"/>
      <c r="V42" s="436"/>
      <c r="W42" s="436"/>
      <c r="X42" s="436"/>
      <c r="Y42" s="436"/>
      <c r="Z42" s="436"/>
      <c r="AA42" s="436"/>
      <c r="AB42" s="436"/>
      <c r="AC42" s="436"/>
      <c r="AD42" s="436"/>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H42" s="462"/>
    </row>
    <row r="43" spans="1:60" x14ac:dyDescent="0.2">
      <c r="A43" s="461"/>
      <c r="B43" s="462"/>
      <c r="C43" s="462"/>
      <c r="E43" s="117" t="s">
        <v>491</v>
      </c>
      <c r="F43" s="436"/>
      <c r="G43" s="437">
        <v>3</v>
      </c>
      <c r="H43" s="442">
        <f>SUMIF(RefineriesData!$J$16:$J$245,$B$40&amp;RIGHT($E43,3),RefineriesData!$N$16:$N$245)</f>
        <v>0.04</v>
      </c>
      <c r="I43" s="442"/>
      <c r="J43" s="439"/>
      <c r="M43" s="435"/>
      <c r="N43" s="435"/>
      <c r="O43" s="436"/>
      <c r="P43" s="436"/>
      <c r="Q43" s="439"/>
      <c r="R43" s="435"/>
      <c r="S43" s="435"/>
      <c r="T43" s="435"/>
      <c r="U43" s="436"/>
      <c r="V43" s="436"/>
      <c r="W43" s="436"/>
      <c r="X43" s="436"/>
      <c r="Y43" s="436"/>
      <c r="Z43" s="436"/>
      <c r="AA43" s="436"/>
      <c r="AB43" s="436"/>
      <c r="AC43" s="436"/>
      <c r="AD43" s="435">
        <f>AD$40*F$40*H43</f>
        <v>1.0986365425199789</v>
      </c>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H43" s="462"/>
    </row>
    <row r="44" spans="1:60" x14ac:dyDescent="0.2">
      <c r="A44" s="461"/>
      <c r="B44" s="462"/>
      <c r="C44" s="462"/>
      <c r="E44" s="117" t="s">
        <v>499</v>
      </c>
      <c r="F44" s="436"/>
      <c r="G44" s="437">
        <v>3</v>
      </c>
      <c r="H44" s="442">
        <f>SUMIF(RefineriesData!$J$16:$J$245,$B$40&amp;RIGHT($E44,3),RefineriesData!$N$16:$N$245)</f>
        <v>0.06</v>
      </c>
      <c r="I44" s="442"/>
      <c r="J44" s="439"/>
      <c r="M44" s="435"/>
      <c r="N44" s="435"/>
      <c r="O44" s="436"/>
      <c r="P44" s="436"/>
      <c r="Q44" s="439"/>
      <c r="R44" s="435"/>
      <c r="S44" s="435"/>
      <c r="T44" s="435"/>
      <c r="U44" s="436"/>
      <c r="V44" s="436"/>
      <c r="W44" s="436"/>
      <c r="X44" s="436"/>
      <c r="Y44" s="436"/>
      <c r="Z44" s="436"/>
      <c r="AA44" s="436"/>
      <c r="AB44" s="436"/>
      <c r="AC44" s="436"/>
      <c r="AD44" s="435">
        <f>AD$40*F$40*H44</f>
        <v>1.6479548137799682</v>
      </c>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H44" s="462"/>
    </row>
    <row r="45" spans="1:60" x14ac:dyDescent="0.2">
      <c r="A45" s="461"/>
      <c r="B45" s="462"/>
      <c r="C45" s="462"/>
      <c r="E45" s="117" t="s">
        <v>497</v>
      </c>
      <c r="F45" s="436"/>
      <c r="G45" s="437">
        <v>3</v>
      </c>
      <c r="H45" s="442">
        <f>SUMIF(RefineriesData!$J$16:$J$245,$B$40&amp;RIGHT($E45,3),RefineriesData!$N$16:$N$245)</f>
        <v>0.53</v>
      </c>
      <c r="I45" s="442"/>
      <c r="J45" s="439"/>
      <c r="M45" s="435"/>
      <c r="N45" s="435"/>
      <c r="O45" s="436"/>
      <c r="P45" s="436"/>
      <c r="Q45" s="439"/>
      <c r="R45" s="435"/>
      <c r="S45" s="435"/>
      <c r="T45" s="435"/>
      <c r="U45" s="436"/>
      <c r="V45" s="436"/>
      <c r="W45" s="436"/>
      <c r="X45" s="436"/>
      <c r="Y45" s="436"/>
      <c r="Z45" s="436"/>
      <c r="AA45" s="436"/>
      <c r="AB45" s="436"/>
      <c r="AC45" s="436"/>
      <c r="AD45" s="435">
        <f>AD$40*F$40*H45</f>
        <v>14.55693418838972</v>
      </c>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H45" s="462"/>
    </row>
    <row r="46" spans="1:60" x14ac:dyDescent="0.2">
      <c r="A46" s="461"/>
      <c r="B46" s="462"/>
      <c r="C46" s="462"/>
      <c r="E46" s="117" t="s">
        <v>490</v>
      </c>
      <c r="F46" s="436"/>
      <c r="G46" s="437">
        <v>3</v>
      </c>
      <c r="H46" s="442">
        <f>SUMIF(RefineriesData!$J$16:$J$245,$B$40&amp;RIGHT($E46,3),RefineriesData!$N$16:$N$245)</f>
        <v>0.11</v>
      </c>
      <c r="I46" s="442"/>
      <c r="J46" s="439"/>
      <c r="M46" s="435"/>
      <c r="N46" s="435"/>
      <c r="O46" s="436"/>
      <c r="P46" s="436"/>
      <c r="Q46" s="439"/>
      <c r="R46" s="435"/>
      <c r="S46" s="435"/>
      <c r="T46" s="435"/>
      <c r="U46" s="436"/>
      <c r="V46" s="436"/>
      <c r="W46" s="436"/>
      <c r="X46" s="436"/>
      <c r="Y46" s="436"/>
      <c r="Z46" s="436"/>
      <c r="AA46" s="436"/>
      <c r="AB46" s="436"/>
      <c r="AC46" s="436"/>
      <c r="AD46" s="435">
        <f>AD$40*F$40*H46</f>
        <v>3.0212504919299419</v>
      </c>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H46" s="462"/>
    </row>
    <row r="47" spans="1:60" x14ac:dyDescent="0.2">
      <c r="A47" s="461"/>
      <c r="B47" s="462"/>
      <c r="C47" s="462"/>
      <c r="E47" s="117" t="s">
        <v>487</v>
      </c>
      <c r="F47" s="436"/>
      <c r="G47" s="437">
        <v>3</v>
      </c>
      <c r="H47" s="442">
        <f>SUMIF(RefineriesData!$J$16:$J$245,$B$40&amp;RIGHT($E47,3),RefineriesData!$N$16:$N$245)</f>
        <v>0.08</v>
      </c>
      <c r="I47" s="442"/>
      <c r="J47" s="439"/>
      <c r="M47" s="435"/>
      <c r="N47" s="435"/>
      <c r="O47" s="436"/>
      <c r="P47" s="436"/>
      <c r="Q47" s="439"/>
      <c r="R47" s="435"/>
      <c r="S47" s="435"/>
      <c r="T47" s="435"/>
      <c r="U47" s="436"/>
      <c r="V47" s="436"/>
      <c r="W47" s="436"/>
      <c r="X47" s="436"/>
      <c r="Y47" s="436"/>
      <c r="Z47" s="436"/>
      <c r="AA47" s="436"/>
      <c r="AB47" s="436"/>
      <c r="AC47" s="436"/>
      <c r="AD47" s="435">
        <f>AD$40*F$40*H47</f>
        <v>2.1972730850399578</v>
      </c>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H47" s="462"/>
    </row>
    <row r="48" spans="1:60" x14ac:dyDescent="0.2">
      <c r="A48" s="461"/>
      <c r="B48" s="462"/>
      <c r="C48" s="462"/>
      <c r="E48" s="117" t="s">
        <v>485</v>
      </c>
      <c r="F48" s="436"/>
      <c r="G48" s="437">
        <v>3</v>
      </c>
      <c r="H48" s="442">
        <f>SUMIF(RefineriesData!$J$16:$J$245,$B$40&amp;RIGHT($E48,3),RefineriesData!$N$16:$N$245)</f>
        <v>0.18</v>
      </c>
      <c r="I48" s="442"/>
      <c r="J48" s="439"/>
      <c r="M48" s="435"/>
      <c r="N48" s="435"/>
      <c r="O48" s="436"/>
      <c r="P48" s="436"/>
      <c r="Q48" s="439"/>
      <c r="R48" s="435"/>
      <c r="S48" s="435"/>
      <c r="T48" s="435"/>
      <c r="U48" s="436"/>
      <c r="V48" s="436"/>
      <c r="W48" s="436"/>
      <c r="X48" s="436"/>
      <c r="Y48" s="436"/>
      <c r="Z48" s="436"/>
      <c r="AA48" s="436"/>
      <c r="AB48" s="436"/>
      <c r="AC48" s="436"/>
      <c r="AD48" s="435">
        <f>AD$40*F$40*H48</f>
        <v>4.9438644413399047</v>
      </c>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H48" s="462"/>
    </row>
    <row r="49" spans="1:60" x14ac:dyDescent="0.2">
      <c r="A49" s="461" t="s">
        <v>799</v>
      </c>
      <c r="B49" s="462"/>
      <c r="C49" s="462"/>
      <c r="F49" s="436"/>
      <c r="G49" s="442"/>
      <c r="H49" s="442"/>
      <c r="I49" s="442"/>
      <c r="J49" s="439"/>
      <c r="M49" s="435"/>
      <c r="N49" s="435"/>
      <c r="O49" s="436"/>
      <c r="P49" s="436"/>
      <c r="Q49" s="439"/>
      <c r="R49" s="435"/>
      <c r="S49" s="435"/>
      <c r="T49" s="435"/>
      <c r="U49" s="436"/>
      <c r="V49" s="436"/>
      <c r="W49" s="436"/>
      <c r="X49" s="436"/>
      <c r="Y49" s="436"/>
      <c r="Z49" s="436"/>
      <c r="AA49" s="436"/>
      <c r="AB49" s="436"/>
      <c r="AC49" s="436"/>
      <c r="AD49" s="436"/>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H49" s="462"/>
    </row>
    <row r="50" spans="1:60" ht="15" x14ac:dyDescent="0.25">
      <c r="A50" s="461" t="s">
        <v>828</v>
      </c>
      <c r="B50" s="462" t="s">
        <v>829</v>
      </c>
      <c r="C50" s="462"/>
      <c r="D50" s="117" t="s">
        <v>825</v>
      </c>
      <c r="F50" s="435">
        <f>SUMIF(RefineriesData!$J$16:$J$270,$B50&amp;F$4,RefineriesData!$N$16:$N$270)</f>
        <v>1.4398895185724963</v>
      </c>
      <c r="G50" s="436"/>
      <c r="H50" s="436"/>
      <c r="I50" s="482"/>
      <c r="J50" s="439">
        <f>IFERROR(zar.2010*SUMIF(RefineriesData!$J$13:$J$269,$B50&amp;J$4,RefineriesData!$N$13:$N$269),"")</f>
        <v>35.527165339469441</v>
      </c>
      <c r="M50" s="466">
        <f>M40</f>
        <v>6.4894696089818042</v>
      </c>
      <c r="N50" s="467">
        <f>N40</f>
        <v>4.4999999999999997E-3</v>
      </c>
      <c r="O50" s="439">
        <f>SUMIF(RefineriesData!$J$13:$J$267,$B50&amp;O$4,RefineriesData!$N$13:$N$267)</f>
        <v>2025</v>
      </c>
      <c r="P50" s="435">
        <f>SUMIF(RefineriesData!$J$16:$J$269,$B50&amp;P$4,RefineriesData!$N$16:$N$269)</f>
        <v>50</v>
      </c>
      <c r="Q50" s="441">
        <f>IFERROR(SUMIF(RefineriesData!$J$13:$J$269,$B50&amp;Q$4,RefineriesData!$N$13:$N$269),"")</f>
        <v>129.54169999999999</v>
      </c>
      <c r="R50" s="435">
        <v>-6</v>
      </c>
      <c r="S50" s="435" t="str">
        <f>""</f>
        <v/>
      </c>
      <c r="T50" s="435" t="str">
        <f>""</f>
        <v/>
      </c>
      <c r="U50" s="464"/>
      <c r="V50" s="435"/>
      <c r="W50" s="435"/>
      <c r="X50" s="435"/>
      <c r="Y50" s="435"/>
      <c r="Z50" s="435"/>
      <c r="AA50" s="435"/>
      <c r="AB50" s="435"/>
      <c r="AC50" s="435"/>
      <c r="AD50" s="464"/>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H50" s="462"/>
    </row>
    <row r="51" spans="1:60" x14ac:dyDescent="0.2">
      <c r="A51" s="461"/>
      <c r="B51" s="462"/>
      <c r="C51" s="117" t="s">
        <v>821</v>
      </c>
      <c r="F51" s="436"/>
      <c r="G51" s="436"/>
      <c r="H51" s="436"/>
      <c r="I51" s="482">
        <f>I41</f>
        <v>0.24339802736239258</v>
      </c>
      <c r="J51" s="439"/>
      <c r="K51" s="435"/>
      <c r="L51" s="435"/>
      <c r="M51" s="435"/>
      <c r="N51" s="435"/>
      <c r="O51" s="436"/>
      <c r="P51" s="436"/>
      <c r="Q51" s="439"/>
      <c r="R51" s="435"/>
      <c r="S51" s="435"/>
      <c r="T51" s="435"/>
      <c r="U51" s="436"/>
      <c r="V51" s="436"/>
      <c r="W51" s="436"/>
      <c r="X51" s="436"/>
      <c r="Y51" s="436"/>
      <c r="Z51" s="436"/>
      <c r="AA51" s="436"/>
      <c r="AB51" s="436"/>
      <c r="AC51" s="436"/>
      <c r="AD51" s="436"/>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H51" s="462"/>
    </row>
    <row r="52" spans="1:60" x14ac:dyDescent="0.2">
      <c r="A52" s="461"/>
      <c r="B52" s="462"/>
      <c r="C52" s="117" t="s">
        <v>823</v>
      </c>
      <c r="F52" s="436"/>
      <c r="G52" s="436"/>
      <c r="H52" s="436"/>
      <c r="I52" s="482">
        <f>I42</f>
        <v>2.3491886504442346E-2</v>
      </c>
      <c r="J52" s="439"/>
      <c r="K52" s="435"/>
      <c r="L52" s="435"/>
      <c r="M52" s="435"/>
      <c r="N52" s="435"/>
      <c r="O52" s="436"/>
      <c r="P52" s="436"/>
      <c r="Q52" s="439"/>
      <c r="R52" s="435"/>
      <c r="S52" s="435"/>
      <c r="T52" s="435"/>
      <c r="U52" s="436"/>
      <c r="V52" s="436"/>
      <c r="W52" s="436"/>
      <c r="X52" s="436"/>
      <c r="Y52" s="436"/>
      <c r="Z52" s="436"/>
      <c r="AA52" s="436"/>
      <c r="AB52" s="436"/>
      <c r="AC52" s="436"/>
      <c r="AD52" s="436"/>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H52" s="462"/>
    </row>
    <row r="53" spans="1:60" x14ac:dyDescent="0.2">
      <c r="A53" s="461"/>
      <c r="B53" s="462"/>
      <c r="C53" s="462"/>
      <c r="E53" s="117" t="s">
        <v>525</v>
      </c>
      <c r="F53" s="436"/>
      <c r="G53" s="437">
        <v>3</v>
      </c>
      <c r="H53" s="442">
        <f>SUMIF(RefineriesData!$J$16:$J$270,$B$50&amp;RIGHT($E53,3),RefineriesData!$N$16:$N$270)</f>
        <v>0</v>
      </c>
      <c r="I53" s="442"/>
      <c r="J53" s="439"/>
      <c r="K53" s="435"/>
      <c r="L53" s="435"/>
      <c r="M53" s="435"/>
      <c r="N53" s="435"/>
      <c r="O53" s="436"/>
      <c r="P53" s="436"/>
      <c r="Q53" s="439"/>
      <c r="R53" s="435"/>
      <c r="S53" s="435"/>
      <c r="T53" s="435"/>
      <c r="U53" s="436"/>
      <c r="V53" s="436"/>
      <c r="W53" s="436"/>
      <c r="X53" s="436"/>
      <c r="Y53" s="436"/>
      <c r="Z53" s="436"/>
      <c r="AA53" s="436"/>
      <c r="AB53" s="436"/>
      <c r="AC53" s="436"/>
      <c r="AD53" s="436"/>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H53" s="462"/>
    </row>
    <row r="54" spans="1:60" x14ac:dyDescent="0.2">
      <c r="A54" s="461"/>
      <c r="B54" s="462"/>
      <c r="C54" s="462"/>
      <c r="E54" s="117" t="s">
        <v>499</v>
      </c>
      <c r="F54" s="436"/>
      <c r="G54" s="437">
        <v>3</v>
      </c>
      <c r="H54" s="442">
        <f>SUMIF(RefineriesData!$J$16:$J$270,$B$50&amp;RIGHT($E54,3),RefineriesData!$N$16:$N$270)</f>
        <v>0.28767932115906897</v>
      </c>
      <c r="I54" s="442"/>
      <c r="J54" s="439"/>
      <c r="K54" s="435"/>
      <c r="L54" s="435"/>
      <c r="M54" s="435"/>
      <c r="N54" s="435"/>
      <c r="O54" s="436"/>
      <c r="P54" s="436"/>
      <c r="Q54" s="439"/>
      <c r="R54" s="435"/>
      <c r="S54" s="435"/>
      <c r="T54" s="435"/>
      <c r="U54" s="436"/>
      <c r="V54" s="436"/>
      <c r="W54" s="436"/>
      <c r="X54" s="436"/>
      <c r="Y54" s="436"/>
      <c r="Z54" s="436"/>
      <c r="AA54" s="436"/>
      <c r="AB54" s="436"/>
      <c r="AC54" s="436"/>
      <c r="AD54" s="436"/>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H54" s="462"/>
    </row>
    <row r="55" spans="1:60" x14ac:dyDescent="0.2">
      <c r="A55" s="461"/>
      <c r="B55" s="462"/>
      <c r="C55" s="462"/>
      <c r="E55" s="117" t="s">
        <v>497</v>
      </c>
      <c r="F55" s="436"/>
      <c r="G55" s="437">
        <v>3</v>
      </c>
      <c r="H55" s="442">
        <f>SUMIF(RefineriesData!$J$16:$J$270,$B$50&amp;RIGHT($E55,3),RefineriesData!$N$16:$N$270)</f>
        <v>0.49809089633534509</v>
      </c>
      <c r="I55" s="442"/>
      <c r="J55" s="439"/>
      <c r="K55" s="435"/>
      <c r="L55" s="435"/>
      <c r="M55" s="435"/>
      <c r="N55" s="435"/>
      <c r="O55" s="436"/>
      <c r="P55" s="436"/>
      <c r="Q55" s="439"/>
      <c r="R55" s="435"/>
      <c r="S55" s="435"/>
      <c r="T55" s="435"/>
      <c r="U55" s="436"/>
      <c r="V55" s="436"/>
      <c r="W55" s="436"/>
      <c r="X55" s="436"/>
      <c r="Y55" s="436"/>
      <c r="Z55" s="436"/>
      <c r="AA55" s="436"/>
      <c r="AB55" s="436"/>
      <c r="AC55" s="436"/>
      <c r="AD55" s="436"/>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H55" s="462"/>
    </row>
    <row r="56" spans="1:60" x14ac:dyDescent="0.2">
      <c r="A56" s="461"/>
      <c r="B56" s="462"/>
      <c r="C56" s="462"/>
      <c r="E56" s="117" t="s">
        <v>490</v>
      </c>
      <c r="F56" s="436"/>
      <c r="G56" s="437">
        <v>3</v>
      </c>
      <c r="H56" s="442">
        <f>SUMIF(RefineriesData!$J$16:$J$270,$B$50&amp;RIGHT($E56,3),RefineriesData!$N$16:$N$270)</f>
        <v>0.12259168661288511</v>
      </c>
      <c r="I56" s="442"/>
      <c r="J56" s="439"/>
      <c r="K56" s="435"/>
      <c r="L56" s="435"/>
      <c r="M56" s="435"/>
      <c r="N56" s="435"/>
      <c r="O56" s="436"/>
      <c r="P56" s="436"/>
      <c r="Q56" s="439"/>
      <c r="R56" s="435"/>
      <c r="S56" s="435"/>
      <c r="T56" s="435"/>
      <c r="U56" s="436"/>
      <c r="V56" s="436"/>
      <c r="W56" s="436"/>
      <c r="X56" s="436"/>
      <c r="Y56" s="436"/>
      <c r="Z56" s="436"/>
      <c r="AA56" s="436"/>
      <c r="AB56" s="436"/>
      <c r="AC56" s="436"/>
      <c r="AD56" s="436"/>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H56" s="462"/>
    </row>
    <row r="57" spans="1:60" x14ac:dyDescent="0.2">
      <c r="A57" s="461"/>
      <c r="B57" s="462"/>
      <c r="C57" s="462"/>
      <c r="E57" s="117" t="s">
        <v>487</v>
      </c>
      <c r="F57" s="436"/>
      <c r="G57" s="437">
        <v>3</v>
      </c>
      <c r="H57" s="442">
        <f>SUMIF(RefineriesData!$J$16:$J$270,$B$50&amp;RIGHT($E57,3),RefineriesData!$N$16:$N$270)</f>
        <v>3.6696142945579213E-2</v>
      </c>
      <c r="I57" s="442"/>
      <c r="J57" s="439"/>
      <c r="K57" s="435"/>
      <c r="L57" s="435"/>
      <c r="M57" s="435"/>
      <c r="N57" s="435"/>
      <c r="O57" s="436"/>
      <c r="P57" s="436"/>
      <c r="Q57" s="439"/>
      <c r="R57" s="435"/>
      <c r="S57" s="435"/>
      <c r="T57" s="435"/>
      <c r="U57" s="436"/>
      <c r="V57" s="436"/>
      <c r="W57" s="436"/>
      <c r="X57" s="436"/>
      <c r="Y57" s="436"/>
      <c r="Z57" s="436"/>
      <c r="AA57" s="436"/>
      <c r="AB57" s="436"/>
      <c r="AC57" s="436"/>
      <c r="AD57" s="436"/>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H57" s="462"/>
    </row>
    <row r="58" spans="1:60" x14ac:dyDescent="0.2">
      <c r="A58" s="461"/>
      <c r="B58" s="462"/>
      <c r="C58" s="462"/>
      <c r="E58" s="117" t="s">
        <v>485</v>
      </c>
      <c r="F58" s="436"/>
      <c r="G58" s="437">
        <v>3</v>
      </c>
      <c r="H58" s="442">
        <f>SUMIF(RefineriesData!$J$16:$J$270,$B$50&amp;RIGHT($E58,3),RefineriesData!$N$16:$N$270)</f>
        <v>5.4941952947121613E-2</v>
      </c>
      <c r="I58" s="442"/>
      <c r="J58" s="439"/>
      <c r="K58" s="435"/>
      <c r="L58" s="435"/>
      <c r="M58" s="435"/>
      <c r="N58" s="435"/>
      <c r="O58" s="436"/>
      <c r="P58" s="436"/>
      <c r="Q58" s="439"/>
      <c r="R58" s="435"/>
      <c r="S58" s="435"/>
      <c r="T58" s="435"/>
      <c r="U58" s="436"/>
      <c r="V58" s="436"/>
      <c r="W58" s="436"/>
      <c r="X58" s="436"/>
      <c r="Y58" s="436"/>
      <c r="Z58" s="436"/>
      <c r="AA58" s="436"/>
      <c r="AB58" s="436"/>
      <c r="AC58" s="436"/>
      <c r="AD58" s="436"/>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H58" s="462"/>
    </row>
    <row r="59" spans="1:60" x14ac:dyDescent="0.2">
      <c r="A59" s="461" t="s">
        <v>799</v>
      </c>
      <c r="B59" s="462"/>
      <c r="C59" s="462"/>
      <c r="F59" s="436"/>
      <c r="G59" s="436"/>
      <c r="H59" s="436"/>
      <c r="I59" s="436"/>
      <c r="J59" s="439"/>
      <c r="K59" s="435"/>
      <c r="L59" s="435"/>
      <c r="M59" s="435"/>
      <c r="N59" s="435"/>
      <c r="O59" s="436"/>
      <c r="P59" s="436"/>
      <c r="Q59" s="439"/>
      <c r="R59" s="435"/>
      <c r="S59" s="435"/>
      <c r="T59" s="435"/>
      <c r="U59" s="436"/>
      <c r="V59" s="436"/>
      <c r="W59" s="436"/>
      <c r="X59" s="436"/>
      <c r="Y59" s="436"/>
      <c r="Z59" s="436"/>
      <c r="AA59" s="436"/>
      <c r="AB59" s="436"/>
      <c r="AC59" s="436"/>
      <c r="AD59" s="436"/>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H59" s="462"/>
    </row>
    <row r="60" spans="1:60" ht="15" x14ac:dyDescent="0.25">
      <c r="A60" s="461" t="s">
        <v>830</v>
      </c>
      <c r="B60" s="462" t="s">
        <v>831</v>
      </c>
      <c r="C60" s="462"/>
      <c r="D60" s="117" t="s">
        <v>822</v>
      </c>
      <c r="F60" s="435">
        <f>F50</f>
        <v>1.4398895185724963</v>
      </c>
      <c r="G60" s="436"/>
      <c r="H60" s="436"/>
      <c r="I60" s="482"/>
      <c r="J60" s="440">
        <f>J50</f>
        <v>35.527165339469441</v>
      </c>
      <c r="M60" s="466">
        <f>M40</f>
        <v>6.4894696089818042</v>
      </c>
      <c r="N60" s="467">
        <f>N40</f>
        <v>4.4999999999999997E-3</v>
      </c>
      <c r="O60" s="439">
        <f>O50</f>
        <v>2025</v>
      </c>
      <c r="P60" s="435">
        <f>P50</f>
        <v>50</v>
      </c>
      <c r="Q60" s="441">
        <f>Q50</f>
        <v>129.54169999999999</v>
      </c>
      <c r="R60" s="435">
        <v>-6</v>
      </c>
      <c r="S60" s="435" t="str">
        <f>""</f>
        <v/>
      </c>
      <c r="T60" s="435" t="str">
        <f>""</f>
        <v/>
      </c>
      <c r="U60" s="435"/>
      <c r="V60" s="435"/>
      <c r="W60" s="435"/>
      <c r="X60" s="435"/>
      <c r="Y60" s="435"/>
      <c r="Z60" s="435"/>
      <c r="AA60" s="435"/>
      <c r="AB60" s="435"/>
      <c r="AC60" s="435"/>
      <c r="AD60" s="43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H60" s="462"/>
    </row>
    <row r="61" spans="1:60" x14ac:dyDescent="0.2">
      <c r="A61" s="461"/>
      <c r="B61" s="462"/>
      <c r="C61" s="117" t="s">
        <v>821</v>
      </c>
      <c r="F61" s="435"/>
      <c r="G61" s="436"/>
      <c r="H61" s="436"/>
      <c r="I61" s="482">
        <f>I51</f>
        <v>0.24339802736239258</v>
      </c>
      <c r="J61" s="435"/>
      <c r="K61" s="435"/>
      <c r="L61" s="435"/>
      <c r="M61" s="435"/>
      <c r="N61" s="435"/>
      <c r="O61" s="436"/>
      <c r="P61" s="436"/>
      <c r="Q61" s="439"/>
      <c r="R61" s="435"/>
      <c r="S61" s="435"/>
      <c r="T61" s="435"/>
      <c r="U61" s="435"/>
      <c r="V61" s="435"/>
      <c r="W61" s="435"/>
      <c r="X61" s="435"/>
      <c r="Y61" s="435"/>
      <c r="Z61" s="435"/>
      <c r="AA61" s="435"/>
      <c r="AB61" s="435"/>
      <c r="AC61" s="435"/>
      <c r="AD61" s="43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H61" s="462"/>
    </row>
    <row r="62" spans="1:60" x14ac:dyDescent="0.2">
      <c r="A62" s="461"/>
      <c r="B62" s="462"/>
      <c r="C62" s="117" t="s">
        <v>823</v>
      </c>
      <c r="F62" s="436"/>
      <c r="G62" s="436"/>
      <c r="H62" s="436"/>
      <c r="I62" s="482">
        <f>I52</f>
        <v>2.3491886504442346E-2</v>
      </c>
      <c r="J62" s="435"/>
      <c r="K62" s="435"/>
      <c r="L62" s="435"/>
      <c r="M62" s="435"/>
      <c r="N62" s="435"/>
      <c r="O62" s="436"/>
      <c r="P62" s="436"/>
      <c r="Q62" s="439"/>
      <c r="R62" s="435"/>
      <c r="S62" s="435"/>
      <c r="T62" s="435"/>
      <c r="U62" s="436"/>
      <c r="V62" s="436"/>
      <c r="W62" s="436"/>
      <c r="X62" s="436"/>
      <c r="Y62" s="436"/>
      <c r="Z62" s="436"/>
      <c r="AA62" s="436"/>
      <c r="AB62" s="436"/>
      <c r="AC62" s="436"/>
      <c r="AD62" s="436"/>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H62" s="462"/>
    </row>
    <row r="63" spans="1:60" x14ac:dyDescent="0.2">
      <c r="A63" s="461"/>
      <c r="B63" s="462"/>
      <c r="C63" s="462"/>
      <c r="E63" s="117" t="s">
        <v>525</v>
      </c>
      <c r="F63" s="436"/>
      <c r="G63" s="437">
        <v>3</v>
      </c>
      <c r="H63" s="442">
        <f>SUMIF(RefineriesData!$J$16:$J$270,$B$50&amp;RIGHT($E63,3),RefineriesData!$N$16:$N$270)</f>
        <v>0</v>
      </c>
      <c r="I63" s="442"/>
      <c r="J63" s="435"/>
      <c r="K63" s="435"/>
      <c r="L63" s="435"/>
      <c r="M63" s="435"/>
      <c r="N63" s="435"/>
      <c r="O63" s="436"/>
      <c r="P63" s="436"/>
      <c r="Q63" s="439"/>
      <c r="R63" s="435"/>
      <c r="S63" s="435"/>
      <c r="T63" s="435"/>
      <c r="U63" s="436"/>
      <c r="V63" s="436"/>
      <c r="W63" s="436"/>
      <c r="X63" s="436"/>
      <c r="Y63" s="436"/>
      <c r="Z63" s="436"/>
      <c r="AA63" s="436"/>
      <c r="AB63" s="436"/>
      <c r="AC63" s="436"/>
      <c r="AD63" s="436"/>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H63" s="462"/>
    </row>
    <row r="64" spans="1:60" x14ac:dyDescent="0.2">
      <c r="A64" s="461"/>
      <c r="B64" s="462"/>
      <c r="C64" s="462"/>
      <c r="E64" s="117" t="s">
        <v>499</v>
      </c>
      <c r="F64" s="436"/>
      <c r="G64" s="437">
        <v>3</v>
      </c>
      <c r="H64" s="442">
        <f>SUMIF(RefineriesData!$J$16:$J$270,$B$50&amp;RIGHT($E64,3),RefineriesData!$N$16:$N$270)</f>
        <v>0.28767932115906897</v>
      </c>
      <c r="I64" s="442"/>
      <c r="J64" s="435"/>
      <c r="K64" s="435"/>
      <c r="L64" s="435"/>
      <c r="M64" s="435"/>
      <c r="N64" s="435"/>
      <c r="O64" s="436"/>
      <c r="P64" s="436"/>
      <c r="Q64" s="439"/>
      <c r="R64" s="435"/>
      <c r="S64" s="435"/>
      <c r="T64" s="435"/>
      <c r="U64" s="436"/>
      <c r="V64" s="436"/>
      <c r="W64" s="436"/>
      <c r="X64" s="436"/>
      <c r="Y64" s="436"/>
      <c r="Z64" s="436"/>
      <c r="AA64" s="436"/>
      <c r="AB64" s="436"/>
      <c r="AC64" s="436"/>
      <c r="AD64" s="436"/>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H64" s="462"/>
    </row>
    <row r="65" spans="1:60" x14ac:dyDescent="0.2">
      <c r="A65" s="461"/>
      <c r="B65" s="462"/>
      <c r="C65" s="462"/>
      <c r="E65" s="117" t="s">
        <v>497</v>
      </c>
      <c r="F65" s="436"/>
      <c r="G65" s="437">
        <v>3</v>
      </c>
      <c r="H65" s="442">
        <f>SUMIF(RefineriesData!$J$16:$J$270,$B$50&amp;RIGHT($E65,3),RefineriesData!$N$16:$N$270)</f>
        <v>0.49809089633534509</v>
      </c>
      <c r="I65" s="442"/>
      <c r="J65" s="435"/>
      <c r="K65" s="435"/>
      <c r="L65" s="435"/>
      <c r="M65" s="435"/>
      <c r="N65" s="435"/>
      <c r="O65" s="436"/>
      <c r="P65" s="436"/>
      <c r="Q65" s="439"/>
      <c r="R65" s="435"/>
      <c r="S65" s="435"/>
      <c r="T65" s="435"/>
      <c r="U65" s="436"/>
      <c r="V65" s="436"/>
      <c r="W65" s="436"/>
      <c r="X65" s="436"/>
      <c r="Y65" s="436"/>
      <c r="Z65" s="436"/>
      <c r="AA65" s="436"/>
      <c r="AB65" s="436"/>
      <c r="AC65" s="436"/>
      <c r="AD65" s="436"/>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H65" s="462"/>
    </row>
    <row r="66" spans="1:60" x14ac:dyDescent="0.2">
      <c r="A66" s="461"/>
      <c r="B66" s="462"/>
      <c r="C66" s="462"/>
      <c r="E66" s="117" t="s">
        <v>490</v>
      </c>
      <c r="F66" s="436"/>
      <c r="G66" s="437">
        <v>3</v>
      </c>
      <c r="H66" s="442">
        <f>SUMIF(RefineriesData!$J$16:$J$270,$B$50&amp;RIGHT($E66,3),RefineriesData!$N$16:$N$270)</f>
        <v>0.12259168661288511</v>
      </c>
      <c r="I66" s="442"/>
      <c r="J66" s="435"/>
      <c r="K66" s="435"/>
      <c r="L66" s="435"/>
      <c r="M66" s="435"/>
      <c r="N66" s="435"/>
      <c r="O66" s="436"/>
      <c r="P66" s="436"/>
      <c r="Q66" s="439"/>
      <c r="R66" s="435"/>
      <c r="S66" s="435"/>
      <c r="T66" s="435"/>
      <c r="U66" s="436"/>
      <c r="V66" s="436"/>
      <c r="W66" s="436"/>
      <c r="X66" s="436"/>
      <c r="Y66" s="436"/>
      <c r="Z66" s="436"/>
      <c r="AA66" s="436"/>
      <c r="AB66" s="436"/>
      <c r="AC66" s="436"/>
      <c r="AD66" s="436"/>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H66" s="462"/>
    </row>
    <row r="67" spans="1:60" x14ac:dyDescent="0.2">
      <c r="A67" s="461"/>
      <c r="B67" s="462"/>
      <c r="C67" s="462"/>
      <c r="E67" s="117" t="s">
        <v>487</v>
      </c>
      <c r="F67" s="436"/>
      <c r="G67" s="437">
        <v>3</v>
      </c>
      <c r="H67" s="442">
        <f>SUMIF(RefineriesData!$J$16:$J$270,$B$50&amp;RIGHT($E67,3),RefineriesData!$N$16:$N$270)</f>
        <v>3.6696142945579213E-2</v>
      </c>
      <c r="I67" s="442"/>
      <c r="J67" s="435"/>
      <c r="K67" s="435"/>
      <c r="L67" s="435"/>
      <c r="M67" s="435"/>
      <c r="N67" s="435"/>
      <c r="O67" s="436"/>
      <c r="P67" s="436"/>
      <c r="Q67" s="439"/>
      <c r="R67" s="435"/>
      <c r="S67" s="435"/>
      <c r="T67" s="435"/>
      <c r="U67" s="436"/>
      <c r="V67" s="436"/>
      <c r="W67" s="436"/>
      <c r="X67" s="436"/>
      <c r="Y67" s="436"/>
      <c r="Z67" s="436"/>
      <c r="AA67" s="436"/>
      <c r="AB67" s="436"/>
      <c r="AC67" s="436"/>
      <c r="AD67" s="436"/>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H67" s="462"/>
    </row>
    <row r="68" spans="1:60" x14ac:dyDescent="0.2">
      <c r="A68" s="461"/>
      <c r="B68" s="462"/>
      <c r="C68" s="462"/>
      <c r="E68" s="117" t="s">
        <v>485</v>
      </c>
      <c r="F68" s="436"/>
      <c r="G68" s="437">
        <v>3</v>
      </c>
      <c r="H68" s="442">
        <f>SUMIF(RefineriesData!$J$16:$J$270,$B$50&amp;RIGHT($E68,3),RefineriesData!$N$16:$N$270)</f>
        <v>5.4941952947121613E-2</v>
      </c>
      <c r="I68" s="442"/>
      <c r="J68" s="435"/>
      <c r="K68" s="435"/>
      <c r="L68" s="435"/>
      <c r="M68" s="435"/>
      <c r="N68" s="435"/>
      <c r="O68" s="436"/>
      <c r="P68" s="436"/>
      <c r="Q68" s="439"/>
      <c r="R68" s="435"/>
      <c r="S68" s="435"/>
      <c r="T68" s="435"/>
      <c r="U68" s="436"/>
      <c r="V68" s="436"/>
      <c r="W68" s="436"/>
      <c r="X68" s="436"/>
      <c r="Y68" s="436"/>
      <c r="Z68" s="436"/>
      <c r="AA68" s="436"/>
      <c r="AB68" s="436"/>
      <c r="AC68" s="436"/>
      <c r="AD68" s="436"/>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H68" s="462"/>
    </row>
    <row r="69" spans="1:60" x14ac:dyDescent="0.2">
      <c r="A69" s="461" t="s">
        <v>799</v>
      </c>
      <c r="B69" s="462"/>
      <c r="C69" s="462"/>
      <c r="F69" s="436"/>
      <c r="G69" s="436"/>
      <c r="H69" s="436"/>
      <c r="I69" s="436"/>
      <c r="J69" s="435"/>
      <c r="K69" s="435"/>
      <c r="L69" s="435"/>
      <c r="M69" s="435"/>
      <c r="N69" s="435"/>
      <c r="O69" s="436"/>
      <c r="P69" s="436"/>
      <c r="Q69" s="439"/>
      <c r="R69" s="435"/>
      <c r="S69" s="435"/>
      <c r="T69" s="435"/>
      <c r="U69" s="436"/>
      <c r="V69" s="436"/>
      <c r="W69" s="436"/>
      <c r="X69" s="436"/>
      <c r="Y69" s="436"/>
      <c r="Z69" s="436"/>
      <c r="AA69" s="436"/>
      <c r="AB69" s="436"/>
      <c r="AC69" s="436"/>
      <c r="AD69" s="436"/>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H69" s="462"/>
    </row>
    <row r="70" spans="1:60" ht="15" x14ac:dyDescent="0.25">
      <c r="A70" s="461" t="s">
        <v>832</v>
      </c>
      <c r="B70" s="462" t="s">
        <v>710</v>
      </c>
      <c r="C70" s="462"/>
      <c r="D70" s="117" t="s">
        <v>833</v>
      </c>
      <c r="F70" s="435">
        <f>SUMIF(RefineriesData!$J$16:$J$245,$B70&amp;F$4,RefineriesData!$N$16:$N$245)</f>
        <v>0.41121494820830767</v>
      </c>
      <c r="G70" s="436"/>
      <c r="H70" s="436"/>
      <c r="I70" s="436"/>
      <c r="J70" s="439">
        <f>IFERROR(zar.2010*SUMIF(RefineriesData!$J$13:$J$269,$B70&amp;J$4,RefineriesData!$N$13:$N$269),"")</f>
        <v>36.817867655087646</v>
      </c>
      <c r="K70" s="435"/>
      <c r="L70" s="435"/>
      <c r="M70" s="435">
        <f>SUMIF(RefineriesData!$J$13:$J$245,$B70&amp;M$5,RefineriesData!$N$13:$N$245)</f>
        <v>109.73413027616279</v>
      </c>
      <c r="N70" s="435">
        <f>SUMIF(RefineriesData!$J$13:$J$245,$B70&amp;N$5,RefineriesData!$N$13:$N$245)</f>
        <v>0.43830718042180028</v>
      </c>
      <c r="O70" s="436"/>
      <c r="P70" s="436"/>
      <c r="Q70" s="439"/>
      <c r="R70" s="435"/>
      <c r="S70" s="435">
        <v>3</v>
      </c>
      <c r="T70" s="435">
        <v>0</v>
      </c>
      <c r="U70" s="464"/>
      <c r="V70" s="435">
        <v>0.9</v>
      </c>
      <c r="W70" s="435"/>
      <c r="X70" s="435"/>
      <c r="Y70" s="435"/>
      <c r="Z70" s="435"/>
      <c r="AA70" s="435"/>
      <c r="AB70" s="435"/>
      <c r="AC70" s="435"/>
      <c r="AD70" s="464">
        <f>V70*AE70/F70</f>
        <v>519.74929184743382</v>
      </c>
      <c r="AE70" s="435">
        <f>SUMIF(RefineriesData!$J$16:$J$270,$B70&amp;AE$3,RefineriesData!$N$16:$N$270)</f>
        <v>237.47630903149673</v>
      </c>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f>AE70</f>
        <v>237.47630903149673</v>
      </c>
      <c r="BD70" s="465">
        <v>0</v>
      </c>
      <c r="BE70" s="465"/>
      <c r="BF70" s="465"/>
      <c r="BG70" s="465"/>
      <c r="BH70" s="462"/>
    </row>
    <row r="71" spans="1:60" x14ac:dyDescent="0.2">
      <c r="A71" s="461"/>
      <c r="B71" s="462"/>
      <c r="C71" s="117" t="s">
        <v>825</v>
      </c>
      <c r="F71" s="436"/>
      <c r="G71" s="436"/>
      <c r="H71" s="436"/>
      <c r="I71" s="482">
        <f>SUMIF(RefineriesData!$J$16:$J$270,B70&amp;C71,RefineriesData!$N$16:$N$270)</f>
        <v>0.22738749426150504</v>
      </c>
      <c r="J71" s="439"/>
      <c r="K71" s="435"/>
      <c r="L71" s="435"/>
      <c r="M71" s="435"/>
      <c r="N71" s="435"/>
      <c r="O71" s="436"/>
      <c r="P71" s="436"/>
      <c r="Q71" s="439"/>
      <c r="R71" s="435"/>
      <c r="S71" s="435"/>
      <c r="T71" s="435"/>
      <c r="U71" s="436"/>
      <c r="V71" s="436"/>
      <c r="W71" s="436"/>
      <c r="X71" s="436"/>
      <c r="Y71" s="436"/>
      <c r="Z71" s="436"/>
      <c r="AA71" s="436"/>
      <c r="AB71" s="436"/>
      <c r="AC71" s="436"/>
      <c r="AD71" s="436"/>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F71" s="465"/>
      <c r="BH71" s="462"/>
    </row>
    <row r="72" spans="1:60" x14ac:dyDescent="0.2">
      <c r="A72" s="461"/>
      <c r="B72" s="462"/>
      <c r="C72" s="117" t="s">
        <v>823</v>
      </c>
      <c r="F72" s="436"/>
      <c r="G72" s="436"/>
      <c r="H72" s="436"/>
      <c r="I72" s="482">
        <f>SUMIF(RefineriesData!$J$16:$J$270,B70&amp;C72,RefineriesData!$N$16:$N$270)</f>
        <v>0.1589295424742827</v>
      </c>
      <c r="J72" s="439"/>
      <c r="K72" s="435"/>
      <c r="L72" s="435"/>
      <c r="M72" s="435"/>
      <c r="N72" s="435"/>
      <c r="O72" s="436"/>
      <c r="P72" s="436"/>
      <c r="Q72" s="439"/>
      <c r="R72" s="435"/>
      <c r="S72" s="435"/>
      <c r="T72" s="435"/>
      <c r="U72" s="436"/>
      <c r="V72" s="436"/>
      <c r="W72" s="436"/>
      <c r="X72" s="436"/>
      <c r="Y72" s="436"/>
      <c r="Z72" s="436"/>
      <c r="AA72" s="436"/>
      <c r="AB72" s="436"/>
      <c r="AC72" s="436"/>
      <c r="AD72" s="436"/>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H72" s="462"/>
    </row>
    <row r="73" spans="1:60" x14ac:dyDescent="0.2">
      <c r="A73" s="461"/>
      <c r="B73" s="462"/>
      <c r="C73" s="117" t="s">
        <v>834</v>
      </c>
      <c r="F73" s="436"/>
      <c r="G73" s="436"/>
      <c r="H73" s="436"/>
      <c r="I73" s="482">
        <f>SUMIF(RefineriesData!$J$16:$J$270,B70&amp;C73,RefineriesData!$N$16:$N$270)</f>
        <v>0.86910570466129278</v>
      </c>
      <c r="J73" s="439"/>
      <c r="K73" s="435"/>
      <c r="L73" s="435"/>
      <c r="M73" s="435"/>
      <c r="N73" s="435"/>
      <c r="O73" s="436"/>
      <c r="P73" s="436"/>
      <c r="Q73" s="439"/>
      <c r="R73" s="435"/>
      <c r="S73" s="435"/>
      <c r="T73" s="435"/>
      <c r="U73" s="436"/>
      <c r="V73" s="436"/>
      <c r="W73" s="436"/>
      <c r="X73" s="436"/>
      <c r="Y73" s="436"/>
      <c r="Z73" s="436"/>
      <c r="AA73" s="436"/>
      <c r="AB73" s="436"/>
      <c r="AC73" s="436"/>
      <c r="AD73" s="436"/>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H73" s="462"/>
    </row>
    <row r="74" spans="1:60" x14ac:dyDescent="0.2">
      <c r="A74" s="461"/>
      <c r="B74" s="462"/>
      <c r="C74" s="462"/>
      <c r="E74" s="117" t="s">
        <v>525</v>
      </c>
      <c r="F74" s="436"/>
      <c r="G74" s="437">
        <v>3</v>
      </c>
      <c r="H74" s="442">
        <f>SUMIF(RefineriesData!$J$16:$J$245,$B70&amp;RIGHT($E74,3),RefineriesData!$N$16:$N$245)</f>
        <v>4.2538688545872829E-3</v>
      </c>
      <c r="I74" s="442"/>
      <c r="J74" s="439"/>
      <c r="K74" s="435"/>
      <c r="L74" s="435"/>
      <c r="M74" s="435"/>
      <c r="N74" s="435"/>
      <c r="O74" s="436"/>
      <c r="P74" s="436"/>
      <c r="Q74" s="439"/>
      <c r="R74" s="435"/>
      <c r="S74" s="435"/>
      <c r="T74" s="435"/>
      <c r="U74" s="436"/>
      <c r="V74" s="436"/>
      <c r="W74" s="436"/>
      <c r="X74" s="436"/>
      <c r="Y74" s="436"/>
      <c r="Z74" s="436"/>
      <c r="AA74" s="436"/>
      <c r="AB74" s="436"/>
      <c r="AC74" s="436"/>
      <c r="AD74" s="435">
        <f>AD$70*F$70*H74</f>
        <v>0.90917376722228593</v>
      </c>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H74" s="462"/>
    </row>
    <row r="75" spans="1:60" x14ac:dyDescent="0.2">
      <c r="A75" s="461"/>
      <c r="B75" s="462"/>
      <c r="C75" s="462"/>
      <c r="E75" s="117" t="s">
        <v>499</v>
      </c>
      <c r="F75" s="436"/>
      <c r="G75" s="437">
        <v>3</v>
      </c>
      <c r="H75" s="442">
        <f>SUMIF(RefineriesData!$J$16:$J$245,$B70&amp;RIGHT($E75,3),RefineriesData!$N$16:$N$245)</f>
        <v>0.24837109625983722</v>
      </c>
      <c r="I75" s="442"/>
      <c r="J75" s="439"/>
      <c r="K75" s="435"/>
      <c r="L75" s="435"/>
      <c r="M75" s="435"/>
      <c r="N75" s="435"/>
      <c r="O75" s="436"/>
      <c r="P75" s="436"/>
      <c r="Q75" s="439"/>
      <c r="R75" s="435"/>
      <c r="S75" s="435"/>
      <c r="T75" s="435"/>
      <c r="U75" s="436"/>
      <c r="V75" s="436"/>
      <c r="W75" s="436"/>
      <c r="X75" s="436"/>
      <c r="Y75" s="436"/>
      <c r="Z75" s="436"/>
      <c r="AA75" s="436"/>
      <c r="AB75" s="436"/>
      <c r="AC75" s="436"/>
      <c r="AD75" s="435">
        <f t="shared" ref="AD75:AD80" si="12">AD$70*F$70*H75</f>
        <v>53.084026088903464</v>
      </c>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H75" s="462"/>
    </row>
    <row r="76" spans="1:60" x14ac:dyDescent="0.2">
      <c r="A76" s="461"/>
      <c r="B76" s="462"/>
      <c r="C76" s="462"/>
      <c r="E76" s="117" t="s">
        <v>497</v>
      </c>
      <c r="F76" s="436"/>
      <c r="G76" s="437">
        <v>3</v>
      </c>
      <c r="H76" s="442">
        <f>SUMIF(RefineriesData!$J$16:$J$245,$B70&amp;RIGHT($E76,3),RefineriesData!$N$16:$N$245)</f>
        <v>0.56393035832270655</v>
      </c>
      <c r="I76" s="442"/>
      <c r="J76" s="439"/>
      <c r="K76" s="435"/>
      <c r="L76" s="435"/>
      <c r="M76" s="435"/>
      <c r="N76" s="435"/>
      <c r="O76" s="436"/>
      <c r="P76" s="436"/>
      <c r="Q76" s="439"/>
      <c r="R76" s="435"/>
      <c r="S76" s="435"/>
      <c r="T76" s="435"/>
      <c r="U76" s="436"/>
      <c r="V76" s="436"/>
      <c r="W76" s="436"/>
      <c r="X76" s="436"/>
      <c r="Y76" s="436"/>
      <c r="Z76" s="436"/>
      <c r="AA76" s="436"/>
      <c r="AB76" s="436"/>
      <c r="AC76" s="436"/>
      <c r="AD76" s="435">
        <f t="shared" si="12"/>
        <v>120.52809004075719</v>
      </c>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H76" s="462"/>
    </row>
    <row r="77" spans="1:60" x14ac:dyDescent="0.2">
      <c r="A77" s="461"/>
      <c r="B77" s="462"/>
      <c r="C77" s="462"/>
      <c r="E77" s="117" t="s">
        <v>733</v>
      </c>
      <c r="F77" s="436"/>
      <c r="G77" s="437">
        <v>3</v>
      </c>
      <c r="H77" s="442">
        <f>SUMIF(RefineriesData!$J$16:$J$245,$B70&amp;RIGHT($E77,3),RefineriesData!$N$16:$N$245)</f>
        <v>2.7824192294791578E-2</v>
      </c>
      <c r="I77" s="442"/>
      <c r="J77" s="439"/>
      <c r="K77" s="435"/>
      <c r="L77" s="435"/>
      <c r="M77" s="435"/>
      <c r="N77" s="435"/>
      <c r="O77" s="436"/>
      <c r="P77" s="436"/>
      <c r="Q77" s="439"/>
      <c r="R77" s="435"/>
      <c r="S77" s="435"/>
      <c r="T77" s="435"/>
      <c r="U77" s="436"/>
      <c r="V77" s="436"/>
      <c r="W77" s="436"/>
      <c r="X77" s="436"/>
      <c r="Y77" s="436"/>
      <c r="Z77" s="436"/>
      <c r="AA77" s="436"/>
      <c r="AB77" s="436"/>
      <c r="AC77" s="436"/>
      <c r="AD77" s="435">
        <f t="shared" si="12"/>
        <v>5.9468278391547447</v>
      </c>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H77" s="462"/>
    </row>
    <row r="78" spans="1:60" x14ac:dyDescent="0.2">
      <c r="A78" s="461"/>
      <c r="B78" s="462"/>
      <c r="C78" s="462"/>
      <c r="E78" s="117" t="s">
        <v>490</v>
      </c>
      <c r="F78" s="436"/>
      <c r="G78" s="437">
        <v>3</v>
      </c>
      <c r="H78" s="442">
        <f>SUMIF(RefineriesData!$J$16:$J$245,$B70&amp;RIGHT($E78,3),RefineriesData!$N$16:$N$245)</f>
        <v>4.5231579584656276E-2</v>
      </c>
      <c r="I78" s="442"/>
      <c r="J78" s="439"/>
      <c r="K78" s="435"/>
      <c r="L78" s="435"/>
      <c r="M78" s="435"/>
      <c r="N78" s="435"/>
      <c r="O78" s="436"/>
      <c r="P78" s="436"/>
      <c r="Q78" s="439"/>
      <c r="R78" s="435"/>
      <c r="S78" s="435"/>
      <c r="T78" s="435"/>
      <c r="U78" s="436"/>
      <c r="V78" s="436"/>
      <c r="W78" s="436"/>
      <c r="X78" s="436"/>
      <c r="Y78" s="436"/>
      <c r="Z78" s="436"/>
      <c r="AA78" s="436"/>
      <c r="AB78" s="436"/>
      <c r="AC78" s="436"/>
      <c r="AD78" s="435">
        <f t="shared" si="12"/>
        <v>9.6672857142857165</v>
      </c>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H78" s="462"/>
    </row>
    <row r="79" spans="1:60" x14ac:dyDescent="0.2">
      <c r="A79" s="461"/>
      <c r="B79" s="462"/>
      <c r="C79" s="462"/>
      <c r="E79" s="117" t="s">
        <v>487</v>
      </c>
      <c r="F79" s="436"/>
      <c r="G79" s="437">
        <v>3</v>
      </c>
      <c r="H79" s="442">
        <f>SUMIF(RefineriesData!$J$16:$J$245,$B70&amp;RIGHT($E79,3),RefineriesData!$N$16:$N$245)</f>
        <v>1.4350097636642347E-2</v>
      </c>
      <c r="I79" s="442"/>
      <c r="J79" s="439"/>
      <c r="K79" s="435"/>
      <c r="L79" s="435"/>
      <c r="M79" s="435"/>
      <c r="N79" s="435"/>
      <c r="O79" s="436"/>
      <c r="P79" s="436"/>
      <c r="Q79" s="439"/>
      <c r="R79" s="435"/>
      <c r="S79" s="435"/>
      <c r="T79" s="435"/>
      <c r="U79" s="436"/>
      <c r="V79" s="436"/>
      <c r="W79" s="436"/>
      <c r="X79" s="436"/>
      <c r="Y79" s="436"/>
      <c r="Z79" s="436"/>
      <c r="AA79" s="436"/>
      <c r="AB79" s="436"/>
      <c r="AC79" s="436"/>
      <c r="AD79" s="435">
        <f t="shared" si="12"/>
        <v>3.0670273988922867</v>
      </c>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H79" s="462"/>
    </row>
    <row r="80" spans="1:60" x14ac:dyDescent="0.2">
      <c r="A80" s="461"/>
      <c r="B80" s="462"/>
      <c r="C80" s="462"/>
      <c r="E80" s="117" t="s">
        <v>485</v>
      </c>
      <c r="F80" s="436"/>
      <c r="G80" s="437">
        <v>3</v>
      </c>
      <c r="H80" s="442">
        <f>SUMIF(RefineriesData!$J$16:$J$245,$B70&amp;RIGHT($E80,3),RefineriesData!$N$16:$N$245)</f>
        <v>9.603880704677871E-2</v>
      </c>
      <c r="I80" s="442"/>
      <c r="J80" s="439"/>
      <c r="K80" s="435"/>
      <c r="L80" s="435"/>
      <c r="M80" s="435"/>
      <c r="N80" s="435"/>
      <c r="O80" s="436"/>
      <c r="P80" s="436"/>
      <c r="Q80" s="439"/>
      <c r="R80" s="435"/>
      <c r="S80" s="435"/>
      <c r="T80" s="435"/>
      <c r="U80" s="436"/>
      <c r="V80" s="436"/>
      <c r="W80" s="436"/>
      <c r="X80" s="436"/>
      <c r="Y80" s="436"/>
      <c r="Z80" s="436"/>
      <c r="AA80" s="436"/>
      <c r="AB80" s="436"/>
      <c r="AC80" s="436"/>
      <c r="AD80" s="435">
        <f t="shared" si="12"/>
        <v>20.5262472791314</v>
      </c>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H80" s="462"/>
    </row>
    <row r="81" spans="1:60" x14ac:dyDescent="0.2">
      <c r="A81" s="461" t="s">
        <v>799</v>
      </c>
      <c r="B81" s="462"/>
      <c r="C81" s="462"/>
      <c r="F81" s="436"/>
      <c r="G81" s="436"/>
      <c r="H81" s="436"/>
      <c r="I81" s="436"/>
      <c r="J81" s="439"/>
      <c r="K81" s="435"/>
      <c r="L81" s="435"/>
      <c r="M81" s="435"/>
      <c r="N81" s="435"/>
      <c r="O81" s="436"/>
      <c r="P81" s="436"/>
      <c r="Q81" s="439"/>
      <c r="R81" s="435"/>
      <c r="S81" s="435"/>
      <c r="T81" s="435"/>
      <c r="U81" s="436"/>
      <c r="V81" s="436"/>
      <c r="W81" s="436"/>
      <c r="X81" s="436"/>
      <c r="Y81" s="436"/>
      <c r="Z81" s="436"/>
      <c r="AA81" s="436"/>
      <c r="AB81" s="436"/>
      <c r="AC81" s="436"/>
      <c r="AD81" s="436"/>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H81" s="462"/>
    </row>
    <row r="82" spans="1:60" x14ac:dyDescent="0.2">
      <c r="A82" s="461" t="s">
        <v>835</v>
      </c>
      <c r="B82" s="462" t="s">
        <v>836</v>
      </c>
      <c r="C82" s="462"/>
      <c r="D82" s="117" t="s">
        <v>833</v>
      </c>
      <c r="F82" s="435">
        <f>SUMIF(RefineriesData!$J$16:$J$245,$B82&amp;F$4,RefineriesData!$N$16:$N$245)</f>
        <v>0.46121494820830766</v>
      </c>
      <c r="G82" s="436"/>
      <c r="H82" s="436"/>
      <c r="I82" s="436"/>
      <c r="J82" s="439">
        <f>IFERROR(zar.2010*SUMIF(RefineriesData!$J$13:$J$269,$B82&amp;J$4,RefineriesData!$N$13:$N$269),"")</f>
        <v>36.817867655087646</v>
      </c>
      <c r="K82" s="435"/>
      <c r="L82" s="435"/>
      <c r="M82" s="435">
        <f>SUMIF(RefineriesData!$J$13:$J$245,$B82&amp;M$5,RefineriesData!$N$13:$N$245)</f>
        <v>109.73413027616279</v>
      </c>
      <c r="N82" s="435">
        <f>SUMIF(RefineriesData!$J$13:$J$245,$B82&amp;N$5,RefineriesData!$N$13:$N$245)</f>
        <v>0.43830718042180028</v>
      </c>
      <c r="O82" s="439">
        <f>SUMIF(RefineriesData!$J$13:$J$267,$B82&amp;O$4,RefineriesData!$N$13:$N$267)</f>
        <v>2030</v>
      </c>
      <c r="P82" s="435">
        <f>SUMIF(RefineriesData!$J$16:$J$245,$B82&amp;P$4,RefineriesData!$N$16:$N$245)</f>
        <v>50</v>
      </c>
      <c r="Q82" s="439">
        <f>IFERROR(SUMIF(RefineriesData!$J$13:$J$269,$B82&amp;Q$4,RefineriesData!$N$13:$N$269),"")</f>
        <v>806.40463680000005</v>
      </c>
      <c r="R82" s="435">
        <v>-6</v>
      </c>
      <c r="S82" s="435">
        <v>0</v>
      </c>
      <c r="T82" s="435"/>
      <c r="U82" s="435" t="str">
        <f>""</f>
        <v/>
      </c>
      <c r="V82" s="435">
        <v>0.95</v>
      </c>
      <c r="W82" s="435"/>
      <c r="X82" s="435"/>
      <c r="Y82" s="435"/>
      <c r="Z82" s="435"/>
      <c r="AA82" s="435"/>
      <c r="AB82" s="435"/>
      <c r="AC82" s="435"/>
      <c r="AD82" s="43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2"/>
    </row>
    <row r="83" spans="1:60" x14ac:dyDescent="0.2">
      <c r="A83" s="461"/>
      <c r="B83" s="462"/>
      <c r="C83" s="117" t="s">
        <v>825</v>
      </c>
      <c r="F83" s="436"/>
      <c r="G83" s="436"/>
      <c r="H83" s="436"/>
      <c r="I83" s="482">
        <f>SUMIF(RefineriesData!$J$16:$J$270,B82&amp;C83,RefineriesData!$N$16:$N$270)</f>
        <v>0.22738749426150504</v>
      </c>
      <c r="J83" s="439"/>
      <c r="K83" s="435"/>
      <c r="L83" s="435"/>
      <c r="M83" s="435"/>
      <c r="N83" s="435"/>
      <c r="O83" s="439"/>
      <c r="P83" s="436"/>
      <c r="Q83" s="439"/>
      <c r="R83" s="435"/>
      <c r="S83" s="435"/>
      <c r="T83" s="435"/>
      <c r="U83" s="436"/>
      <c r="V83" s="436"/>
      <c r="W83" s="436"/>
      <c r="X83" s="436"/>
      <c r="Y83" s="436"/>
      <c r="Z83" s="436"/>
      <c r="AA83" s="436"/>
      <c r="AB83" s="436"/>
      <c r="AC83" s="436"/>
      <c r="AD83" s="436"/>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H83" s="462"/>
    </row>
    <row r="84" spans="1:60" x14ac:dyDescent="0.2">
      <c r="A84" s="461"/>
      <c r="B84" s="462"/>
      <c r="C84" s="117" t="s">
        <v>823</v>
      </c>
      <c r="F84" s="436"/>
      <c r="G84" s="436"/>
      <c r="H84" s="436"/>
      <c r="I84" s="482">
        <f>SUMIF(RefineriesData!$J$16:$J$270,B82&amp;C84,RefineriesData!$N$16:$N$270)</f>
        <v>0.1589295424742827</v>
      </c>
      <c r="J84" s="439"/>
      <c r="K84" s="435"/>
      <c r="L84" s="435"/>
      <c r="M84" s="435"/>
      <c r="N84" s="435"/>
      <c r="O84" s="439"/>
      <c r="P84" s="436"/>
      <c r="Q84" s="439"/>
      <c r="R84" s="435"/>
      <c r="S84" s="435"/>
      <c r="T84" s="435"/>
      <c r="U84" s="436"/>
      <c r="V84" s="436"/>
      <c r="W84" s="436"/>
      <c r="X84" s="436"/>
      <c r="Y84" s="436"/>
      <c r="Z84" s="436"/>
      <c r="AA84" s="436"/>
      <c r="AB84" s="436"/>
      <c r="AC84" s="436"/>
      <c r="AD84" s="436"/>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H84" s="462"/>
    </row>
    <row r="85" spans="1:60" x14ac:dyDescent="0.2">
      <c r="A85" s="461"/>
      <c r="B85" s="462"/>
      <c r="C85" s="117" t="s">
        <v>837</v>
      </c>
      <c r="F85" s="436"/>
      <c r="G85" s="436"/>
      <c r="H85" s="436"/>
      <c r="I85" s="482">
        <f>SUMIF(RefineriesData!$J$16:$J$270,B82&amp;C85,RefineriesData!$N$16:$N$270)</f>
        <v>0.86910570466129278</v>
      </c>
      <c r="J85" s="439"/>
      <c r="K85" s="435"/>
      <c r="L85" s="435"/>
      <c r="M85" s="435"/>
      <c r="N85" s="435"/>
      <c r="O85" s="439"/>
      <c r="P85" s="436"/>
      <c r="Q85" s="439"/>
      <c r="R85" s="435"/>
      <c r="S85" s="435"/>
      <c r="T85" s="435"/>
      <c r="U85" s="436"/>
      <c r="V85" s="436"/>
      <c r="W85" s="436"/>
      <c r="X85" s="436"/>
      <c r="Y85" s="436"/>
      <c r="Z85" s="436"/>
      <c r="AA85" s="436"/>
      <c r="AB85" s="436"/>
      <c r="AC85" s="436"/>
      <c r="AD85" s="436"/>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H85" s="462"/>
    </row>
    <row r="86" spans="1:60" x14ac:dyDescent="0.2">
      <c r="A86" s="461"/>
      <c r="B86" s="462"/>
      <c r="C86" s="462"/>
      <c r="E86" s="117" t="s">
        <v>525</v>
      </c>
      <c r="F86" s="436"/>
      <c r="G86" s="437">
        <v>3</v>
      </c>
      <c r="H86" s="442">
        <f>SUMIF(RefineriesData!$J$16:$J$245,$B82&amp;RIGHT($E86,3),RefineriesData!$N$16:$N$245)</f>
        <v>0</v>
      </c>
      <c r="I86" s="442"/>
      <c r="J86" s="439"/>
      <c r="K86" s="435"/>
      <c r="L86" s="435"/>
      <c r="M86" s="435"/>
      <c r="N86" s="435"/>
      <c r="O86" s="439"/>
      <c r="P86" s="436"/>
      <c r="Q86" s="439"/>
      <c r="R86" s="435"/>
      <c r="S86" s="435"/>
      <c r="T86" s="435"/>
      <c r="U86" s="436"/>
      <c r="V86" s="436"/>
      <c r="W86" s="436"/>
      <c r="X86" s="436"/>
      <c r="Y86" s="436"/>
      <c r="Z86" s="436"/>
      <c r="AA86" s="436"/>
      <c r="AB86" s="436"/>
      <c r="AC86" s="436"/>
      <c r="AD86" s="436"/>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H86" s="462"/>
    </row>
    <row r="87" spans="1:60" x14ac:dyDescent="0.2">
      <c r="A87" s="461"/>
      <c r="B87" s="462"/>
      <c r="C87" s="462"/>
      <c r="E87" s="117" t="s">
        <v>499</v>
      </c>
      <c r="F87" s="436"/>
      <c r="G87" s="437">
        <v>3</v>
      </c>
      <c r="H87" s="442">
        <f>SUMIF(RefineriesData!$J$16:$J$245,$B82&amp;RIGHT($E87,3),RefineriesData!$N$16:$N$245)</f>
        <v>0.73</v>
      </c>
      <c r="I87" s="442"/>
      <c r="J87" s="439"/>
      <c r="K87" s="435"/>
      <c r="L87" s="435"/>
      <c r="M87" s="435"/>
      <c r="N87" s="435"/>
      <c r="O87" s="439"/>
      <c r="P87" s="436"/>
      <c r="Q87" s="439"/>
      <c r="R87" s="435"/>
      <c r="S87" s="435"/>
      <c r="T87" s="435"/>
      <c r="U87" s="436"/>
      <c r="V87" s="436"/>
      <c r="W87" s="436"/>
      <c r="X87" s="436"/>
      <c r="Y87" s="436"/>
      <c r="Z87" s="436"/>
      <c r="AA87" s="436"/>
      <c r="AB87" s="436"/>
      <c r="AC87" s="436"/>
      <c r="AD87" s="436"/>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H87" s="462"/>
    </row>
    <row r="88" spans="1:60" x14ac:dyDescent="0.2">
      <c r="A88" s="461"/>
      <c r="B88" s="462"/>
      <c r="C88" s="462"/>
      <c r="E88" s="117" t="s">
        <v>497</v>
      </c>
      <c r="F88" s="436"/>
      <c r="G88" s="437">
        <v>3</v>
      </c>
      <c r="H88" s="442">
        <f>SUMIF(RefineriesData!$J$16:$J$245,$B82&amp;RIGHT($E88,3),RefineriesData!$N$16:$N$245)</f>
        <v>0.23499999999999999</v>
      </c>
      <c r="I88" s="442"/>
      <c r="J88" s="439"/>
      <c r="K88" s="435"/>
      <c r="L88" s="435"/>
      <c r="M88" s="435"/>
      <c r="N88" s="435"/>
      <c r="O88" s="439"/>
      <c r="P88" s="436"/>
      <c r="Q88" s="439"/>
      <c r="R88" s="435"/>
      <c r="S88" s="435"/>
      <c r="T88" s="435"/>
      <c r="U88" s="436"/>
      <c r="V88" s="436"/>
      <c r="W88" s="436"/>
      <c r="X88" s="436"/>
      <c r="Y88" s="436"/>
      <c r="Z88" s="436"/>
      <c r="AA88" s="436"/>
      <c r="AB88" s="436"/>
      <c r="AC88" s="436"/>
      <c r="AD88" s="436"/>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H88" s="462"/>
    </row>
    <row r="89" spans="1:60" x14ac:dyDescent="0.2">
      <c r="A89" s="461"/>
      <c r="B89" s="462"/>
      <c r="C89" s="462"/>
      <c r="E89" s="117" t="s">
        <v>733</v>
      </c>
      <c r="F89" s="436"/>
      <c r="G89" s="437">
        <v>3</v>
      </c>
      <c r="H89" s="442">
        <f>SUMIF(RefineriesData!$J$16:$J$245,$B82&amp;RIGHT($E89,3),RefineriesData!$N$16:$N$245)</f>
        <v>0</v>
      </c>
      <c r="I89" s="442"/>
      <c r="J89" s="439"/>
      <c r="K89" s="435"/>
      <c r="L89" s="435"/>
      <c r="M89" s="435"/>
      <c r="N89" s="435"/>
      <c r="O89" s="439"/>
      <c r="P89" s="436"/>
      <c r="Q89" s="439"/>
      <c r="R89" s="435"/>
      <c r="S89" s="435"/>
      <c r="T89" s="435"/>
      <c r="U89" s="436"/>
      <c r="V89" s="436"/>
      <c r="W89" s="436"/>
      <c r="X89" s="436"/>
      <c r="Y89" s="436"/>
      <c r="Z89" s="436"/>
      <c r="AA89" s="436"/>
      <c r="AB89" s="436"/>
      <c r="AC89" s="436"/>
      <c r="AD89" s="436"/>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H89" s="462"/>
    </row>
    <row r="90" spans="1:60" x14ac:dyDescent="0.2">
      <c r="A90" s="461"/>
      <c r="B90" s="462"/>
      <c r="C90" s="462"/>
      <c r="E90" s="117" t="s">
        <v>490</v>
      </c>
      <c r="F90" s="436"/>
      <c r="G90" s="437">
        <v>3</v>
      </c>
      <c r="H90" s="442">
        <f>SUMIF(RefineriesData!$J$16:$J$245,$B82&amp;RIGHT($E90,3),RefineriesData!$N$16:$N$245)</f>
        <v>0</v>
      </c>
      <c r="I90" s="442"/>
      <c r="J90" s="439"/>
      <c r="K90" s="435"/>
      <c r="L90" s="435"/>
      <c r="M90" s="435"/>
      <c r="N90" s="435"/>
      <c r="O90" s="439"/>
      <c r="P90" s="436"/>
      <c r="Q90" s="439"/>
      <c r="R90" s="435"/>
      <c r="S90" s="435"/>
      <c r="T90" s="435"/>
      <c r="U90" s="436"/>
      <c r="V90" s="436"/>
      <c r="W90" s="436"/>
      <c r="X90" s="436"/>
      <c r="Y90" s="436"/>
      <c r="Z90" s="436"/>
      <c r="AA90" s="436"/>
      <c r="AB90" s="436"/>
      <c r="AC90" s="436"/>
      <c r="AD90" s="436"/>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H90" s="462"/>
    </row>
    <row r="91" spans="1:60" x14ac:dyDescent="0.2">
      <c r="A91" s="461"/>
      <c r="B91" s="462"/>
      <c r="C91" s="462"/>
      <c r="E91" s="117" t="s">
        <v>487</v>
      </c>
      <c r="F91" s="436"/>
      <c r="G91" s="437">
        <v>3</v>
      </c>
      <c r="H91" s="442">
        <f>SUMIF(RefineriesData!$J$16:$J$245,$B82&amp;RIGHT($E91,3),RefineriesData!$N$16:$N$245)</f>
        <v>3.5000000000000003E-2</v>
      </c>
      <c r="I91" s="442"/>
      <c r="J91" s="439"/>
      <c r="K91" s="435"/>
      <c r="L91" s="435"/>
      <c r="M91" s="435"/>
      <c r="N91" s="435"/>
      <c r="O91" s="439"/>
      <c r="P91" s="436"/>
      <c r="Q91" s="439"/>
      <c r="R91" s="435"/>
      <c r="S91" s="435"/>
      <c r="T91" s="435"/>
      <c r="U91" s="436"/>
      <c r="V91" s="436"/>
      <c r="W91" s="436"/>
      <c r="X91" s="436"/>
      <c r="Y91" s="436"/>
      <c r="Z91" s="436"/>
      <c r="AA91" s="436"/>
      <c r="AB91" s="436"/>
      <c r="AC91" s="436"/>
      <c r="AD91" s="436"/>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H91" s="462"/>
    </row>
    <row r="92" spans="1:60" x14ac:dyDescent="0.2">
      <c r="A92" s="461"/>
      <c r="B92" s="462"/>
      <c r="C92" s="462"/>
      <c r="E92" s="117" t="s">
        <v>485</v>
      </c>
      <c r="F92" s="436"/>
      <c r="G92" s="437">
        <v>3</v>
      </c>
      <c r="H92" s="442">
        <f>SUMIF(RefineriesData!$J$16:$J$245,$B82&amp;RIGHT($E92,3),RefineriesData!$N$16:$N$245)</f>
        <v>0</v>
      </c>
      <c r="I92" s="442"/>
      <c r="J92" s="439"/>
      <c r="K92" s="435"/>
      <c r="L92" s="435"/>
      <c r="M92" s="435"/>
      <c r="N92" s="435"/>
      <c r="O92" s="439"/>
      <c r="P92" s="436"/>
      <c r="Q92" s="439"/>
      <c r="R92" s="435"/>
      <c r="S92" s="435"/>
      <c r="T92" s="435"/>
      <c r="U92" s="436"/>
      <c r="V92" s="436"/>
      <c r="W92" s="436"/>
      <c r="X92" s="436"/>
      <c r="Y92" s="436"/>
      <c r="Z92" s="436"/>
      <c r="AA92" s="436"/>
      <c r="AB92" s="436"/>
      <c r="AC92" s="436"/>
      <c r="AD92" s="436"/>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H92" s="462"/>
    </row>
    <row r="93" spans="1:60" x14ac:dyDescent="0.2">
      <c r="A93" s="461" t="s">
        <v>799</v>
      </c>
      <c r="B93" s="462"/>
      <c r="C93" s="462"/>
      <c r="F93" s="436"/>
      <c r="G93" s="436"/>
      <c r="H93" s="436"/>
      <c r="I93" s="436"/>
      <c r="J93" s="439"/>
      <c r="K93" s="435"/>
      <c r="L93" s="435"/>
      <c r="M93" s="435"/>
      <c r="N93" s="435"/>
      <c r="O93" s="439"/>
      <c r="P93" s="436"/>
      <c r="Q93" s="439"/>
      <c r="R93" s="435"/>
      <c r="S93" s="435"/>
      <c r="T93" s="435"/>
      <c r="U93" s="436"/>
      <c r="V93" s="436"/>
      <c r="W93" s="436"/>
      <c r="X93" s="436"/>
      <c r="Y93" s="436"/>
      <c r="Z93" s="436"/>
      <c r="AA93" s="436"/>
      <c r="AB93" s="436"/>
      <c r="AC93" s="436"/>
      <c r="AD93" s="436"/>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H93" s="462"/>
    </row>
    <row r="94" spans="1:60" x14ac:dyDescent="0.2">
      <c r="A94" s="461" t="s">
        <v>838</v>
      </c>
      <c r="B94" s="462" t="s">
        <v>131</v>
      </c>
      <c r="C94" s="462"/>
      <c r="D94" s="117" t="s">
        <v>821</v>
      </c>
      <c r="F94" s="435">
        <f>SUMIF(RefineriesData!$J$16:$J$245,$B94&amp;F$4,RefineriesData!$N$16:$N$245)</f>
        <v>0.97</v>
      </c>
      <c r="G94" s="436"/>
      <c r="H94" s="436"/>
      <c r="I94" s="436"/>
      <c r="J94" s="441">
        <f>IFERROR(zar.2010*SUMIF(RefineriesData!$J$13:$J$269,$B94&amp;J$4,RefineriesData!$N$13:$N$269),"")</f>
        <v>50.509956475237367</v>
      </c>
      <c r="K94" s="435">
        <f>SUMIF(RefineriesData!$J$13:$J$245,$B94&amp;K$5,RefineriesData!$N$13:$N$245)</f>
        <v>3.9048398119126899</v>
      </c>
      <c r="L94" s="435">
        <f>SUMIF(RefineriesData!$J$13:$J$245,$B94&amp;L$5,RefineriesData!$N$13:$N$245)</f>
        <v>0</v>
      </c>
      <c r="M94" s="435"/>
      <c r="N94" s="435"/>
      <c r="O94" s="439">
        <f>SUMIF(RefineriesData!$J$13:$J$267,$B94&amp;O$4,RefineriesData!$N$13:$N$267)</f>
        <v>2030</v>
      </c>
      <c r="P94" s="435">
        <f>SUMIF(RefineriesData!$J$16:$J$245,$B94&amp;P$4,RefineriesData!$N$16:$N$245)</f>
        <v>50</v>
      </c>
      <c r="Q94" s="435">
        <f>IFERROR(SUMIF(RefineriesData!$J$13:$J$269,$B94&amp;Q$4,RefineriesData!$N$13:$N$269),"")</f>
        <v>360.38200986736047</v>
      </c>
      <c r="R94" s="435">
        <v>-5</v>
      </c>
      <c r="S94" s="435" t="str">
        <f>""</f>
        <v/>
      </c>
      <c r="T94" s="435" t="str">
        <f>""</f>
        <v/>
      </c>
      <c r="U94" s="435" t="str">
        <f>""</f>
        <v/>
      </c>
      <c r="V94" s="435">
        <v>0.95</v>
      </c>
      <c r="W94" s="435"/>
      <c r="X94" s="435"/>
      <c r="Y94" s="435"/>
      <c r="Z94" s="435"/>
      <c r="AA94" s="435"/>
      <c r="AB94" s="435"/>
      <c r="AC94" s="435"/>
      <c r="AD94" s="43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H94" s="462"/>
    </row>
    <row r="95" spans="1:60" x14ac:dyDescent="0.2">
      <c r="A95" s="461"/>
      <c r="B95" s="462"/>
      <c r="C95" s="117" t="s">
        <v>822</v>
      </c>
      <c r="F95" s="436"/>
      <c r="G95" s="436"/>
      <c r="H95" s="436"/>
      <c r="I95" s="482">
        <f>SUMIF(RefineriesData!$J$16:$J$270,B94&amp;C95,RefineriesData!$N$16:$N$270)</f>
        <v>0</v>
      </c>
      <c r="J95" s="439"/>
      <c r="K95" s="435"/>
      <c r="L95" s="435"/>
      <c r="M95" s="435"/>
      <c r="N95" s="435"/>
      <c r="O95" s="439"/>
      <c r="P95" s="436"/>
      <c r="Q95" s="439"/>
      <c r="R95" s="435"/>
      <c r="S95" s="435"/>
      <c r="T95" s="435"/>
      <c r="U95" s="436"/>
      <c r="V95" s="436"/>
      <c r="W95" s="436"/>
      <c r="X95" s="436"/>
      <c r="Y95" s="436"/>
      <c r="Z95" s="436"/>
      <c r="AA95" s="436"/>
      <c r="AB95" s="436"/>
      <c r="AC95" s="436"/>
      <c r="AD95" s="436"/>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H95" s="462"/>
    </row>
    <row r="96" spans="1:60" x14ac:dyDescent="0.2">
      <c r="A96" s="461"/>
      <c r="B96" s="462"/>
      <c r="C96" s="117" t="s">
        <v>823</v>
      </c>
      <c r="F96" s="436"/>
      <c r="G96" s="436"/>
      <c r="H96" s="436"/>
      <c r="I96" s="482">
        <f>SUMIF(RefineriesData!$J$16:$J$270,B94&amp;C96,RefineriesData!$N$16:$N$270)</f>
        <v>4.5130780547547305E-3</v>
      </c>
      <c r="J96" s="439"/>
      <c r="K96" s="435"/>
      <c r="L96" s="435"/>
      <c r="M96" s="435"/>
      <c r="N96" s="435"/>
      <c r="O96" s="439"/>
      <c r="P96" s="436"/>
      <c r="Q96" s="439"/>
      <c r="R96" s="435"/>
      <c r="S96" s="435"/>
      <c r="T96" s="435"/>
      <c r="U96" s="436"/>
      <c r="V96" s="436"/>
      <c r="W96" s="436"/>
      <c r="X96" s="436"/>
      <c r="Y96" s="436"/>
      <c r="Z96" s="436"/>
      <c r="AA96" s="436"/>
      <c r="AB96" s="436"/>
      <c r="AC96" s="436"/>
      <c r="AD96" s="436"/>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H96" s="462"/>
    </row>
    <row r="97" spans="1:60" x14ac:dyDescent="0.2">
      <c r="A97" s="461"/>
      <c r="B97" s="462"/>
      <c r="C97" s="462"/>
      <c r="E97" s="117" t="s">
        <v>525</v>
      </c>
      <c r="F97" s="436"/>
      <c r="G97" s="437">
        <v>3</v>
      </c>
      <c r="H97" s="442">
        <f>SUMIF(RefineriesData!$J$16:$J$245,$B94&amp;RIGHT($E97,3),RefineriesData!$N$16:$N$245)</f>
        <v>0</v>
      </c>
      <c r="I97" s="442"/>
      <c r="J97" s="439"/>
      <c r="K97" s="435"/>
      <c r="L97" s="435"/>
      <c r="M97" s="435"/>
      <c r="N97" s="435"/>
      <c r="O97" s="436"/>
      <c r="P97" s="436"/>
      <c r="Q97" s="439"/>
      <c r="R97" s="435"/>
      <c r="S97" s="435"/>
      <c r="T97" s="435"/>
      <c r="U97" s="436"/>
      <c r="V97" s="436"/>
      <c r="W97" s="436"/>
      <c r="X97" s="436"/>
      <c r="Y97" s="436"/>
      <c r="Z97" s="436"/>
      <c r="AA97" s="436"/>
      <c r="AB97" s="436"/>
      <c r="AC97" s="436"/>
      <c r="AD97" s="436"/>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H97" s="462"/>
    </row>
    <row r="98" spans="1:60" x14ac:dyDescent="0.2">
      <c r="A98" s="461"/>
      <c r="B98" s="462"/>
      <c r="C98" s="462"/>
      <c r="E98" s="117" t="s">
        <v>499</v>
      </c>
      <c r="F98" s="436"/>
      <c r="G98" s="437">
        <v>3</v>
      </c>
      <c r="H98" s="442">
        <f>SUMIF(RefineriesData!$J$16:$J$245,$B94&amp;RIGHT($E98,3),RefineriesData!$N$16:$N$245)</f>
        <v>0.375</v>
      </c>
      <c r="I98" s="442"/>
      <c r="J98" s="439"/>
      <c r="K98" s="435"/>
      <c r="L98" s="435"/>
      <c r="M98" s="435"/>
      <c r="N98" s="435"/>
      <c r="O98" s="436"/>
      <c r="P98" s="436"/>
      <c r="Q98" s="439"/>
      <c r="R98" s="435"/>
      <c r="S98" s="435"/>
      <c r="T98" s="435"/>
      <c r="U98" s="436"/>
      <c r="V98" s="436"/>
      <c r="W98" s="436"/>
      <c r="X98" s="436"/>
      <c r="Y98" s="436"/>
      <c r="Z98" s="436"/>
      <c r="AA98" s="436"/>
      <c r="AB98" s="436"/>
      <c r="AC98" s="436"/>
      <c r="AD98" s="436"/>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H98" s="462"/>
    </row>
    <row r="99" spans="1:60" x14ac:dyDescent="0.2">
      <c r="A99" s="461"/>
      <c r="B99" s="462"/>
      <c r="C99" s="462"/>
      <c r="E99" s="117" t="s">
        <v>497</v>
      </c>
      <c r="F99" s="436"/>
      <c r="G99" s="437">
        <v>3</v>
      </c>
      <c r="H99" s="442">
        <f>SUMIF(RefineriesData!$J$16:$J$245,$B94&amp;RIGHT($E99,3),RefineriesData!$N$16:$N$245)</f>
        <v>0.375</v>
      </c>
      <c r="I99" s="442"/>
      <c r="J99" s="439"/>
      <c r="K99" s="435"/>
      <c r="L99" s="435"/>
      <c r="M99" s="435"/>
      <c r="N99" s="435"/>
      <c r="O99" s="436"/>
      <c r="P99" s="436"/>
      <c r="Q99" s="439"/>
      <c r="R99" s="435"/>
      <c r="S99" s="435"/>
      <c r="T99" s="435"/>
      <c r="U99" s="436"/>
      <c r="V99" s="436"/>
      <c r="W99" s="436"/>
      <c r="X99" s="436"/>
      <c r="Y99" s="436"/>
      <c r="Z99" s="436"/>
      <c r="AA99" s="436"/>
      <c r="AB99" s="436"/>
      <c r="AC99" s="436"/>
      <c r="AD99" s="436"/>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H99" s="462"/>
    </row>
    <row r="100" spans="1:60" x14ac:dyDescent="0.2">
      <c r="A100" s="461"/>
      <c r="B100" s="462"/>
      <c r="C100" s="462"/>
      <c r="E100" s="117" t="s">
        <v>491</v>
      </c>
      <c r="F100" s="436"/>
      <c r="G100" s="437">
        <v>3</v>
      </c>
      <c r="H100" s="442">
        <f>SUMIF(RefineriesData!$J$16:$J$245,$B94&amp;RIGHT($E100,3),RefineriesData!$N$16:$N$245)</f>
        <v>0</v>
      </c>
      <c r="I100" s="442"/>
      <c r="J100" s="439"/>
      <c r="K100" s="435"/>
      <c r="L100" s="435"/>
      <c r="M100" s="435"/>
      <c r="N100" s="435"/>
      <c r="O100" s="436"/>
      <c r="P100" s="436"/>
      <c r="Q100" s="439"/>
      <c r="R100" s="435"/>
      <c r="S100" s="435"/>
      <c r="T100" s="435"/>
      <c r="U100" s="436"/>
      <c r="V100" s="436"/>
      <c r="W100" s="436"/>
      <c r="X100" s="436"/>
      <c r="Y100" s="436"/>
      <c r="Z100" s="436"/>
      <c r="AA100" s="436"/>
      <c r="AB100" s="436"/>
      <c r="AC100" s="436"/>
      <c r="AD100" s="436"/>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H100" s="462"/>
    </row>
    <row r="101" spans="1:60" x14ac:dyDescent="0.2">
      <c r="A101" s="461"/>
      <c r="B101" s="462"/>
      <c r="C101" s="462"/>
      <c r="E101" s="117" t="s">
        <v>490</v>
      </c>
      <c r="F101" s="436"/>
      <c r="G101" s="437">
        <v>3</v>
      </c>
      <c r="H101" s="442">
        <f>SUMIF(RefineriesData!$J$16:$J$245,$B94&amp;RIGHT($E101,3),RefineriesData!$N$16:$N$245)</f>
        <v>0.2</v>
      </c>
      <c r="I101" s="442"/>
      <c r="J101" s="439"/>
      <c r="K101" s="435"/>
      <c r="L101" s="435"/>
      <c r="M101" s="435"/>
      <c r="N101" s="435"/>
      <c r="O101" s="436"/>
      <c r="P101" s="436"/>
      <c r="Q101" s="439"/>
      <c r="R101" s="435"/>
      <c r="S101" s="435"/>
      <c r="T101" s="435"/>
      <c r="U101" s="436"/>
      <c r="V101" s="436"/>
      <c r="W101" s="436"/>
      <c r="X101" s="436"/>
      <c r="Y101" s="436"/>
      <c r="Z101" s="436"/>
      <c r="AA101" s="436"/>
      <c r="AB101" s="436"/>
      <c r="AC101" s="436"/>
      <c r="AD101" s="436"/>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H101" s="462"/>
    </row>
    <row r="102" spans="1:60" x14ac:dyDescent="0.2">
      <c r="A102" s="461"/>
      <c r="B102" s="462"/>
      <c r="C102" s="462"/>
      <c r="E102" s="117" t="s">
        <v>487</v>
      </c>
      <c r="F102" s="436"/>
      <c r="G102" s="437">
        <v>3</v>
      </c>
      <c r="H102" s="442">
        <f>SUMIF(RefineriesData!$J$16:$J$245,$B94&amp;RIGHT($E102,3),RefineriesData!$N$16:$N$245)</f>
        <v>0.03</v>
      </c>
      <c r="I102" s="442"/>
      <c r="J102" s="439"/>
      <c r="K102" s="435"/>
      <c r="L102" s="435"/>
      <c r="M102" s="435"/>
      <c r="N102" s="435"/>
      <c r="O102" s="436"/>
      <c r="P102" s="436"/>
      <c r="Q102" s="439"/>
      <c r="R102" s="435"/>
      <c r="S102" s="435"/>
      <c r="T102" s="435"/>
      <c r="U102" s="436"/>
      <c r="V102" s="436"/>
      <c r="W102" s="436"/>
      <c r="X102" s="436"/>
      <c r="Y102" s="436"/>
      <c r="Z102" s="436"/>
      <c r="AA102" s="436"/>
      <c r="AB102" s="436"/>
      <c r="AC102" s="436"/>
      <c r="AD102" s="436"/>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H102" s="462"/>
    </row>
    <row r="103" spans="1:60" ht="15" x14ac:dyDescent="0.25">
      <c r="A103" s="461"/>
      <c r="B103" s="462"/>
      <c r="C103" s="462"/>
      <c r="E103" s="117" t="s">
        <v>485</v>
      </c>
      <c r="F103" s="436"/>
      <c r="G103" s="437">
        <v>3</v>
      </c>
      <c r="H103" s="463">
        <v>0.05</v>
      </c>
      <c r="I103" s="463"/>
      <c r="J103" s="439"/>
      <c r="K103" s="435"/>
      <c r="L103" s="435"/>
      <c r="M103" s="435"/>
      <c r="N103" s="435"/>
      <c r="O103" s="436"/>
      <c r="P103" s="436"/>
      <c r="Q103" s="439"/>
      <c r="R103" s="435"/>
      <c r="S103" s="435"/>
      <c r="T103" s="435"/>
      <c r="U103" s="436"/>
      <c r="V103" s="436"/>
      <c r="W103" s="436"/>
      <c r="X103" s="436"/>
      <c r="Y103" s="436"/>
      <c r="Z103" s="436"/>
      <c r="AA103" s="436"/>
      <c r="AB103" s="436"/>
      <c r="AC103" s="436"/>
      <c r="AD103" s="436"/>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H103" s="462"/>
    </row>
    <row r="104" spans="1:60" x14ac:dyDescent="0.2">
      <c r="A104" s="461" t="s">
        <v>799</v>
      </c>
      <c r="B104" s="462"/>
      <c r="C104" s="462"/>
      <c r="F104" s="436"/>
      <c r="G104" s="436"/>
      <c r="H104" s="436"/>
      <c r="I104" s="436"/>
      <c r="J104" s="439"/>
      <c r="K104" s="435"/>
      <c r="L104" s="435"/>
      <c r="M104" s="435"/>
      <c r="N104" s="435"/>
      <c r="O104" s="436"/>
      <c r="P104" s="436"/>
      <c r="Q104" s="439"/>
      <c r="R104" s="435"/>
      <c r="S104" s="435"/>
      <c r="T104" s="435"/>
      <c r="U104" s="436"/>
      <c r="V104" s="436"/>
      <c r="W104" s="436"/>
      <c r="X104" s="436"/>
      <c r="Y104" s="436"/>
      <c r="Z104" s="436"/>
      <c r="AA104" s="436"/>
      <c r="AB104" s="436"/>
      <c r="AC104" s="436"/>
      <c r="AD104" s="436"/>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H104" s="462"/>
    </row>
    <row r="105" spans="1:60" x14ac:dyDescent="0.2">
      <c r="A105" s="461" t="s">
        <v>798</v>
      </c>
      <c r="B105" s="462" t="s">
        <v>707</v>
      </c>
      <c r="C105" s="462"/>
      <c r="D105" s="117" t="s">
        <v>833</v>
      </c>
      <c r="E105" s="117" t="s">
        <v>834</v>
      </c>
      <c r="F105" s="435">
        <f>RefineriesData!D32</f>
        <v>0.85097909094621615</v>
      </c>
      <c r="G105" s="436"/>
      <c r="H105" s="436"/>
      <c r="I105" s="436"/>
      <c r="J105" s="435"/>
      <c r="K105" s="484">
        <f>RefineriesData!D33</f>
        <v>95.428011064048093</v>
      </c>
      <c r="L105" s="468">
        <f>[4]NameConv!$AZ$14/F105</f>
        <v>1.1751170042122719E-3</v>
      </c>
      <c r="M105" s="484"/>
      <c r="N105" s="468"/>
      <c r="O105" s="435"/>
      <c r="P105" s="436"/>
      <c r="Q105" s="435"/>
      <c r="R105" s="465"/>
      <c r="S105" s="465"/>
      <c r="T105" s="465"/>
      <c r="U105" s="436"/>
      <c r="V105" s="436"/>
      <c r="W105" s="436"/>
      <c r="X105" s="436"/>
      <c r="Y105" s="436"/>
      <c r="Z105" s="436"/>
      <c r="AA105" s="436"/>
      <c r="AB105" s="436"/>
      <c r="AC105" s="436"/>
      <c r="AD105" s="436"/>
      <c r="AE105" s="469"/>
      <c r="AF105" s="469"/>
      <c r="AG105" s="469"/>
      <c r="AH105" s="469"/>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row>
    <row r="106" spans="1:60" x14ac:dyDescent="0.2">
      <c r="A106" s="461" t="s">
        <v>797</v>
      </c>
      <c r="B106" s="462" t="s">
        <v>839</v>
      </c>
      <c r="C106" s="462"/>
      <c r="D106" s="117" t="s">
        <v>833</v>
      </c>
      <c r="E106" s="117" t="s">
        <v>837</v>
      </c>
      <c r="F106" s="435">
        <f>F105</f>
        <v>0.85097909094621615</v>
      </c>
      <c r="G106" s="436"/>
      <c r="H106" s="436"/>
      <c r="I106" s="436"/>
      <c r="J106" s="435"/>
      <c r="K106" s="484">
        <f>RefineriesData!D31/F106</f>
        <v>95.428011064048093</v>
      </c>
      <c r="L106" s="468">
        <f>[4]NameConv!$AZ$14/F106</f>
        <v>1.1751170042122719E-3</v>
      </c>
      <c r="M106" s="484"/>
      <c r="N106" s="468"/>
      <c r="O106" s="435"/>
      <c r="P106" s="436"/>
      <c r="Q106" s="435"/>
      <c r="R106" s="465"/>
      <c r="S106" s="465"/>
      <c r="T106" s="465"/>
      <c r="U106" s="436"/>
      <c r="V106" s="436"/>
      <c r="W106" s="436"/>
      <c r="X106" s="436"/>
      <c r="Y106" s="436"/>
      <c r="Z106" s="436"/>
      <c r="AA106" s="436"/>
      <c r="AB106" s="436"/>
      <c r="AC106" s="436"/>
      <c r="AD106" s="436"/>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c r="BF106" s="465"/>
    </row>
    <row r="107" spans="1:60" x14ac:dyDescent="0.2">
      <c r="A107" s="461" t="s">
        <v>796</v>
      </c>
      <c r="B107" s="462" t="s">
        <v>840</v>
      </c>
      <c r="D107" s="117" t="s">
        <v>733</v>
      </c>
      <c r="E107" s="438" t="s">
        <v>514</v>
      </c>
      <c r="F107" s="437">
        <v>1</v>
      </c>
      <c r="G107" s="435"/>
      <c r="H107" s="435"/>
      <c r="I107" s="435"/>
      <c r="J107" s="465"/>
      <c r="K107" s="484">
        <f>[4]NameConv!AY18</f>
        <v>56.1</v>
      </c>
      <c r="L107" s="468">
        <f>[4]NameConv!AZ18</f>
        <v>1E-3</v>
      </c>
      <c r="M107" s="484"/>
      <c r="N107" s="468"/>
      <c r="P107" s="436"/>
      <c r="Q107" s="435"/>
      <c r="R107" s="465"/>
      <c r="S107" s="465"/>
      <c r="T107" s="465"/>
      <c r="U107" s="436"/>
      <c r="V107" s="436"/>
      <c r="W107" s="436"/>
      <c r="X107" s="436"/>
      <c r="Y107" s="436"/>
      <c r="Z107" s="436"/>
      <c r="AA107" s="436"/>
      <c r="AB107" s="436"/>
      <c r="AC107" s="436"/>
      <c r="AD107" s="436"/>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row>
    <row r="110" spans="1:60" x14ac:dyDescent="0.2">
      <c r="E110" s="117" t="s">
        <v>791</v>
      </c>
    </row>
    <row r="111" spans="1:60" x14ac:dyDescent="0.2">
      <c r="E111" s="117" t="s">
        <v>525</v>
      </c>
      <c r="AD111" s="117">
        <f>SUMIF($E$7:$E$107,E111,$AD$7:$AD$107)</f>
        <v>2.5081333868762536</v>
      </c>
    </row>
    <row r="112" spans="1:60" x14ac:dyDescent="0.2">
      <c r="E112" s="117" t="s">
        <v>499</v>
      </c>
      <c r="AD112" s="117">
        <f t="shared" ref="AD112:AD117" si="13">SUMIF($E$7:$E$107,E112,$AD$7:$AD$107)</f>
        <v>303.09899561263535</v>
      </c>
    </row>
    <row r="113" spans="5:30" x14ac:dyDescent="0.2">
      <c r="E113" s="117" t="s">
        <v>497</v>
      </c>
      <c r="AD113" s="117">
        <f t="shared" si="13"/>
        <v>349.69632725204076</v>
      </c>
    </row>
    <row r="114" spans="5:30" x14ac:dyDescent="0.2">
      <c r="E114" s="117" t="s">
        <v>491</v>
      </c>
      <c r="AD114" s="117">
        <f t="shared" si="13"/>
        <v>135.16558341186152</v>
      </c>
    </row>
    <row r="115" spans="5:30" x14ac:dyDescent="0.2">
      <c r="E115" s="117" t="s">
        <v>490</v>
      </c>
      <c r="AD115" s="117">
        <f t="shared" si="13"/>
        <v>106.74674803946569</v>
      </c>
    </row>
    <row r="116" spans="5:30" x14ac:dyDescent="0.2">
      <c r="E116" s="117" t="s">
        <v>487</v>
      </c>
      <c r="AD116" s="117">
        <f t="shared" si="13"/>
        <v>14.764122522740021</v>
      </c>
    </row>
    <row r="117" spans="5:30" x14ac:dyDescent="0.2">
      <c r="E117" s="117" t="s">
        <v>485</v>
      </c>
      <c r="AD117" s="117">
        <f t="shared" si="13"/>
        <v>52.183618971427109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workbookViewId="0">
      <selection activeCell="M18" sqref="M18"/>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UPS!U29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4.5130780547547305E-3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0.95198971146726152</v>
      </c>
      <c r="J184" s="252" t="str">
        <f t="shared" si="17"/>
        <v>UREFOCRCA-EEFF</v>
      </c>
      <c r="K184" s="252" t="s">
        <v>465</v>
      </c>
      <c r="L184" s="252" t="str">
        <f t="shared" ref="L184:L192" si="18">B184</f>
        <v>Crude to products efficiency</v>
      </c>
      <c r="N184" s="301">
        <f>D184</f>
        <v>0.95198971146726152</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0.35276939364868132</v>
      </c>
      <c r="J187" s="252" t="str">
        <f t="shared" si="17"/>
        <v>UREFOCRCA-EODS</v>
      </c>
      <c r="K187" s="252" t="s">
        <v>499</v>
      </c>
      <c r="L187" s="252" t="str">
        <f t="shared" si="18"/>
        <v>Diesel</v>
      </c>
      <c r="N187" s="301">
        <f t="shared" si="19"/>
        <v>0.35276939364868132</v>
      </c>
    </row>
    <row r="188" spans="2:14" x14ac:dyDescent="0.25">
      <c r="B188" s="252" t="s">
        <v>198</v>
      </c>
      <c r="D188" s="375">
        <f>'Crude refineries'!$AF$15</f>
        <v>0.20197781416846072</v>
      </c>
      <c r="J188" s="252" t="str">
        <f t="shared" si="17"/>
        <v>UREFOCRCA-EOHF</v>
      </c>
      <c r="K188" s="252" t="s">
        <v>491</v>
      </c>
      <c r="L188" s="252" t="str">
        <f t="shared" si="18"/>
        <v>HFO</v>
      </c>
      <c r="N188" s="301">
        <f t="shared" si="19"/>
        <v>0.20197781416846072</v>
      </c>
    </row>
    <row r="189" spans="2:14" x14ac:dyDescent="0.25">
      <c r="B189" s="252" t="s">
        <v>502</v>
      </c>
      <c r="D189" s="375">
        <f>'Crude refineries'!$AF$17</f>
        <v>0.12524521696188154</v>
      </c>
      <c r="J189" s="252" t="str">
        <f t="shared" si="17"/>
        <v>UREFOCRCA-EOKE</v>
      </c>
      <c r="K189" s="252" t="s">
        <v>490</v>
      </c>
      <c r="L189" s="252" t="str">
        <f t="shared" si="18"/>
        <v>Kerosene/jet fuel/paraffin</v>
      </c>
      <c r="N189" s="301">
        <f t="shared" si="19"/>
        <v>0.12524521696188154</v>
      </c>
    </row>
    <row r="190" spans="2:14" x14ac:dyDescent="0.25">
      <c r="B190" s="252" t="s">
        <v>55</v>
      </c>
      <c r="D190" s="375">
        <f>'Crude refineries'!$AF$18</f>
        <v>0</v>
      </c>
      <c r="J190" s="252" t="str">
        <f t="shared" si="17"/>
        <v>UREFOCRCA-EOLP</v>
      </c>
      <c r="K190" s="252" t="s">
        <v>487</v>
      </c>
      <c r="L190" s="252" t="str">
        <f t="shared" si="18"/>
        <v>LPG</v>
      </c>
      <c r="N190" s="301">
        <f t="shared" si="19"/>
        <v>0</v>
      </c>
    </row>
    <row r="191" spans="2:14" x14ac:dyDescent="0.25">
      <c r="B191" s="252" t="s">
        <v>201</v>
      </c>
      <c r="D191" s="375">
        <f>SUM('Crude refineries'!$AF$20:$AF$23)</f>
        <v>0.3002204613879127</v>
      </c>
      <c r="J191" s="252" t="str">
        <f t="shared" si="17"/>
        <v>UREFOCRCA-EOGS</v>
      </c>
      <c r="K191" s="252" t="s">
        <v>497</v>
      </c>
      <c r="L191" s="252" t="str">
        <f t="shared" si="18"/>
        <v>Gasoline</v>
      </c>
      <c r="N191" s="301">
        <f t="shared" si="19"/>
        <v>0.3002204613879127</v>
      </c>
    </row>
    <row r="192" spans="2:14" x14ac:dyDescent="0.25">
      <c r="B192" s="252" t="s">
        <v>493</v>
      </c>
      <c r="D192" s="375">
        <f>1-SUM(D186:D191)</f>
        <v>1.9787113833063752E-2</v>
      </c>
      <c r="J192" s="252" t="str">
        <f t="shared" si="17"/>
        <v>UREFOCRCA-EOTH</v>
      </c>
      <c r="K192" s="252" t="s">
        <v>485</v>
      </c>
      <c r="L192" s="252" t="str">
        <f t="shared" si="18"/>
        <v>Other non energy</v>
      </c>
      <c r="N192" s="301">
        <f t="shared" si="19"/>
        <v>1.9787113833063752E-2</v>
      </c>
    </row>
    <row r="193" spans="2:20" x14ac:dyDescent="0.25">
      <c r="B193" s="252" t="s">
        <v>572</v>
      </c>
      <c r="C193" s="252" t="s">
        <v>194</v>
      </c>
      <c r="D193" s="377">
        <f>'Crude refineries'!AC26</f>
        <v>173597.75998964717</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190.08954718866366</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218.94165930864898</v>
      </c>
    </row>
    <row r="198" spans="2:20" x14ac:dyDescent="0.25">
      <c r="J198" s="252" t="str">
        <f t="shared" si="17"/>
        <v>UREFOCRCA-ELC_Future</v>
      </c>
      <c r="K198" s="252" t="s">
        <v>457</v>
      </c>
      <c r="L198" s="252" t="s">
        <v>484</v>
      </c>
      <c r="M198" s="252" t="s">
        <v>455</v>
      </c>
      <c r="N198" s="295">
        <f>N196+$D$108/N184</f>
        <v>282.66783821153194</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4.5130780547547305E-3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N232*1.05</f>
        <v>1.4398895185724963</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v>129.54169999999999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v>12.8826</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14.249587000000002</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14.249587000000002</v>
      </c>
    </row>
    <row r="264" spans="2:14" x14ac:dyDescent="0.25">
      <c r="D264" s="290" t="s">
        <v>499</v>
      </c>
      <c r="E264" s="294">
        <v>1.5498000000000001</v>
      </c>
      <c r="J264" s="252" t="str">
        <f t="shared" si="32"/>
        <v>UGTLGASIN-NINVCOST</v>
      </c>
      <c r="K264" s="252" t="s">
        <v>461</v>
      </c>
      <c r="L264" s="252" t="s">
        <v>460</v>
      </c>
      <c r="M264" s="252" t="s">
        <v>498</v>
      </c>
      <c r="N264" s="299">
        <f>D257</f>
        <v>129.54169999999999</v>
      </c>
    </row>
    <row r="265" spans="2:14" x14ac:dyDescent="0.25">
      <c r="D265" s="290" t="s">
        <v>497</v>
      </c>
      <c r="E265" s="294">
        <v>13.6899</v>
      </c>
      <c r="J265" s="252" t="str">
        <f t="shared" si="32"/>
        <v>UGTLGASIN-NFIXOM</v>
      </c>
      <c r="K265" s="252" t="s">
        <v>496</v>
      </c>
      <c r="L265" s="252" t="s">
        <v>495</v>
      </c>
      <c r="M265" s="252" t="s">
        <v>494</v>
      </c>
      <c r="N265" s="299">
        <f>D258</f>
        <v>12.8826</v>
      </c>
    </row>
    <row r="266" spans="2:14" x14ac:dyDescent="0.25">
      <c r="D266" s="290" t="s">
        <v>491</v>
      </c>
      <c r="E266" s="294">
        <v>1.0331999999999999</v>
      </c>
      <c r="J266" s="252" t="str">
        <f t="shared" si="32"/>
        <v>UGTLGASIN-NStart</v>
      </c>
      <c r="K266" s="252" t="s">
        <v>815</v>
      </c>
      <c r="L266" s="252" t="s">
        <v>492</v>
      </c>
      <c r="N266" s="298">
        <v>2025</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1.4398895185724963</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27.132187000000002</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129.54169999999999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E28" sqref="AE2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96" t="s">
        <v>104</v>
      </c>
      <c r="D2" s="497"/>
      <c r="E2" s="497"/>
      <c r="F2" s="498" t="s">
        <v>103</v>
      </c>
      <c r="G2" s="499"/>
      <c r="H2" s="500"/>
      <c r="I2" s="498" t="s">
        <v>102</v>
      </c>
      <c r="J2" s="499"/>
      <c r="K2" s="500"/>
      <c r="L2" s="498" t="s">
        <v>101</v>
      </c>
      <c r="M2" s="499"/>
      <c r="N2" s="50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0.95198971146726152</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85" t="s">
        <v>85</v>
      </c>
      <c r="B9" s="486"/>
      <c r="C9" s="49"/>
      <c r="D9" s="44">
        <f>D5/$O$5</f>
        <v>0.24081111414274101</v>
      </c>
      <c r="E9" s="10"/>
      <c r="F9" s="49"/>
      <c r="G9" s="44">
        <f>G5/$O$5</f>
        <v>0.4641206601202213</v>
      </c>
      <c r="H9" s="48"/>
      <c r="I9" s="49"/>
      <c r="J9" s="44">
        <f>J5/$O$5</f>
        <v>0.29506822573703767</v>
      </c>
      <c r="K9" s="48"/>
      <c r="L9" s="49"/>
      <c r="M9" s="11"/>
      <c r="N9" s="47"/>
      <c r="O9" s="7">
        <v>788</v>
      </c>
      <c r="Q9" s="491" t="s">
        <v>84</v>
      </c>
      <c r="S9" s="493" t="s">
        <v>83</v>
      </c>
      <c r="V9" s="489" t="s">
        <v>881</v>
      </c>
      <c r="W9" s="489" t="s">
        <v>882</v>
      </c>
      <c r="X9" s="489" t="s">
        <v>82</v>
      </c>
      <c r="Y9" s="489" t="s">
        <v>883</v>
      </c>
      <c r="Z9" s="489" t="s">
        <v>884</v>
      </c>
      <c r="AA9" s="489" t="s">
        <v>81</v>
      </c>
      <c r="AB9" s="489" t="s">
        <v>885</v>
      </c>
      <c r="AC9" s="489" t="s">
        <v>886</v>
      </c>
      <c r="AD9" s="489" t="s">
        <v>80</v>
      </c>
      <c r="AE9" s="489" t="s">
        <v>887</v>
      </c>
      <c r="AF9" s="489" t="s">
        <v>888</v>
      </c>
    </row>
    <row r="10" spans="1:34" ht="12" customHeight="1" x14ac:dyDescent="0.2">
      <c r="A10" s="487"/>
      <c r="B10" s="488"/>
      <c r="C10" s="49"/>
      <c r="D10" s="9">
        <f>D9*788</f>
        <v>189.75915794447991</v>
      </c>
      <c r="E10" s="10"/>
      <c r="F10" s="70"/>
      <c r="G10" s="9">
        <f>G9*788</f>
        <v>365.7270801747344</v>
      </c>
      <c r="H10" s="48"/>
      <c r="I10" s="49"/>
      <c r="J10" s="9">
        <f>J9*788</f>
        <v>232.51376188078569</v>
      </c>
      <c r="K10" s="48"/>
      <c r="L10" s="89"/>
      <c r="M10" s="88"/>
      <c r="N10" s="87"/>
      <c r="O10" s="10">
        <f>O9-G10</f>
        <v>422.2729198252656</v>
      </c>
      <c r="Q10" s="492"/>
      <c r="R10" s="86" t="s">
        <v>79</v>
      </c>
      <c r="S10" s="494"/>
      <c r="U10" s="86" t="s">
        <v>79</v>
      </c>
      <c r="V10" s="490"/>
      <c r="W10" s="490"/>
      <c r="X10" s="490"/>
      <c r="Y10" s="490"/>
      <c r="Z10" s="490"/>
      <c r="AA10" s="490"/>
      <c r="AB10" s="490"/>
      <c r="AC10" s="490"/>
      <c r="AD10" s="490"/>
      <c r="AE10" s="490"/>
      <c r="AF10" s="490"/>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1.0274852538341359E-2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8.898113450842458E-3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0.35276939364868132</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0.20197781416846072</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0.12524521696188154</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c r="AD18" s="50">
        <f t="shared" si="7"/>
        <v>539.60618239120879</v>
      </c>
      <c r="AE18" s="51">
        <f t="shared" si="8"/>
        <v>2.1436699505158505E-2</v>
      </c>
      <c r="AF18" s="51">
        <f t="shared" si="14"/>
        <v>0</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4.9268462856375962E-2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2.620034210275091E-2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0.22475165642878581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6.1414784387977227E-4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173597.75998964717</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95" t="s">
        <v>26</v>
      </c>
      <c r="L62" s="495"/>
      <c r="M62" s="49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K62:M62"/>
    <mergeCell ref="C2:E2"/>
    <mergeCell ref="F2:H2"/>
    <mergeCell ref="I2:K2"/>
    <mergeCell ref="L2:N2"/>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UPS!Q94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UPS!Q82*H33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50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494"/>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21" t="s">
        <v>402</v>
      </c>
      <c r="B1" s="516"/>
      <c r="C1" s="516"/>
      <c r="D1" s="516"/>
      <c r="E1" s="516"/>
      <c r="F1" s="516"/>
      <c r="G1" s="516"/>
      <c r="H1" s="516"/>
      <c r="I1" s="516"/>
      <c r="J1" s="216" t="s">
        <v>401</v>
      </c>
    </row>
    <row r="2" spans="1:22" ht="31.5" customHeight="1" x14ac:dyDescent="0.25">
      <c r="A2" s="522" t="s">
        <v>345</v>
      </c>
      <c r="B2" s="522"/>
      <c r="C2" s="522"/>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23" t="s">
        <v>398</v>
      </c>
      <c r="B3" s="523"/>
      <c r="C3" s="254"/>
      <c r="D3" s="255"/>
      <c r="E3" s="254"/>
      <c r="F3" s="254"/>
      <c r="G3" s="253"/>
      <c r="H3" s="524" t="s">
        <v>373</v>
      </c>
      <c r="Q3"/>
      <c r="R3"/>
      <c r="S3"/>
      <c r="T3" s="252"/>
      <c r="U3" s="252"/>
    </row>
    <row r="4" spans="1:22" ht="11.25" customHeight="1" x14ac:dyDescent="0.25">
      <c r="A4" s="527" t="s">
        <v>397</v>
      </c>
      <c r="B4" s="527"/>
      <c r="C4" s="241">
        <v>1</v>
      </c>
      <c r="D4" s="231">
        <v>18446</v>
      </c>
      <c r="E4" s="222">
        <v>17836</v>
      </c>
      <c r="F4" s="222">
        <v>18472</v>
      </c>
      <c r="G4" s="221">
        <v>18806</v>
      </c>
      <c r="H4" s="525"/>
      <c r="J4" s="216">
        <f>D4/F4</f>
        <v>0.99859246427024684</v>
      </c>
      <c r="K4" s="216">
        <f>E4/F4</f>
        <v>0.96556951061065399</v>
      </c>
      <c r="L4" s="216">
        <f>F4/F4</f>
        <v>1</v>
      </c>
      <c r="Q4"/>
      <c r="S4"/>
      <c r="T4" s="252"/>
    </row>
    <row r="5" spans="1:22" ht="11.25" customHeight="1" x14ac:dyDescent="0.2">
      <c r="A5" s="513" t="s">
        <v>340</v>
      </c>
      <c r="B5" s="513"/>
      <c r="C5" s="239"/>
      <c r="D5" s="231">
        <v>6736</v>
      </c>
      <c r="E5" s="222">
        <v>6720</v>
      </c>
      <c r="F5" s="222">
        <v>6974</v>
      </c>
      <c r="G5" s="221">
        <v>7019</v>
      </c>
      <c r="H5" s="525"/>
    </row>
    <row r="6" spans="1:22" ht="11.25" customHeight="1" x14ac:dyDescent="0.2">
      <c r="A6" s="513" t="s">
        <v>336</v>
      </c>
      <c r="B6" s="513"/>
      <c r="C6" s="239"/>
      <c r="D6" s="231">
        <v>1467</v>
      </c>
      <c r="E6" s="222">
        <v>1585</v>
      </c>
      <c r="F6" s="222">
        <v>1561</v>
      </c>
      <c r="G6" s="221">
        <v>1461</v>
      </c>
      <c r="H6" s="525"/>
    </row>
    <row r="7" spans="1:22" ht="11.25" customHeight="1" x14ac:dyDescent="0.2">
      <c r="A7" s="513" t="s">
        <v>335</v>
      </c>
      <c r="B7" s="513"/>
      <c r="C7" s="239"/>
      <c r="D7" s="231">
        <v>3209</v>
      </c>
      <c r="E7" s="222">
        <v>3192</v>
      </c>
      <c r="F7" s="222">
        <v>2976</v>
      </c>
      <c r="G7" s="221">
        <v>3331</v>
      </c>
      <c r="H7" s="525"/>
    </row>
    <row r="8" spans="1:22" ht="11.25" customHeight="1" x14ac:dyDescent="0.2">
      <c r="A8" s="513" t="s">
        <v>331</v>
      </c>
      <c r="B8" s="513"/>
      <c r="C8" s="239"/>
      <c r="D8" s="231">
        <v>4271</v>
      </c>
      <c r="E8" s="222">
        <v>3578</v>
      </c>
      <c r="F8" s="222">
        <v>3964</v>
      </c>
      <c r="G8" s="221">
        <v>4067</v>
      </c>
      <c r="H8" s="525"/>
    </row>
    <row r="9" spans="1:22" ht="11.25" customHeight="1" x14ac:dyDescent="0.2">
      <c r="A9" s="513" t="s">
        <v>330</v>
      </c>
      <c r="B9" s="513"/>
      <c r="C9" s="239"/>
      <c r="D9" s="231">
        <v>1277</v>
      </c>
      <c r="E9" s="222">
        <v>1341</v>
      </c>
      <c r="F9" s="222">
        <v>1345</v>
      </c>
      <c r="G9" s="221">
        <v>1309</v>
      </c>
      <c r="H9" s="525"/>
    </row>
    <row r="10" spans="1:22" ht="11.25" customHeight="1" x14ac:dyDescent="0.2">
      <c r="A10" s="513" t="s">
        <v>326</v>
      </c>
      <c r="B10" s="513"/>
      <c r="C10" s="239"/>
      <c r="D10" s="233">
        <v>688</v>
      </c>
      <c r="E10" s="219">
        <v>707</v>
      </c>
      <c r="F10" s="219">
        <v>811</v>
      </c>
      <c r="G10" s="218">
        <v>793</v>
      </c>
      <c r="H10" s="525"/>
    </row>
    <row r="11" spans="1:22" ht="11.25" customHeight="1" x14ac:dyDescent="0.2">
      <c r="A11" s="513" t="s">
        <v>325</v>
      </c>
      <c r="B11" s="513"/>
      <c r="C11" s="239"/>
      <c r="D11" s="233">
        <v>53</v>
      </c>
      <c r="E11" s="219">
        <v>54</v>
      </c>
      <c r="F11" s="219">
        <v>64</v>
      </c>
      <c r="G11" s="218">
        <v>62</v>
      </c>
      <c r="H11" s="525"/>
    </row>
    <row r="12" spans="1:22" ht="12" customHeight="1" x14ac:dyDescent="0.25">
      <c r="A12" s="514" t="s">
        <v>324</v>
      </c>
      <c r="B12" s="514"/>
      <c r="C12" s="514"/>
      <c r="D12" s="251">
        <v>745</v>
      </c>
      <c r="E12" s="250">
        <v>659</v>
      </c>
      <c r="F12" s="250">
        <v>776</v>
      </c>
      <c r="G12" s="249">
        <v>763</v>
      </c>
      <c r="H12" s="526"/>
      <c r="V12" s="243"/>
    </row>
    <row r="13" spans="1:22" ht="11.45" customHeight="1" x14ac:dyDescent="0.2">
      <c r="A13" s="520" t="s">
        <v>396</v>
      </c>
      <c r="B13" s="520"/>
      <c r="C13" s="248">
        <v>2</v>
      </c>
      <c r="D13" s="247"/>
      <c r="E13" s="246"/>
      <c r="F13" s="246"/>
      <c r="G13" s="245"/>
      <c r="H13" s="244"/>
      <c r="V13" s="243"/>
    </row>
    <row r="14" spans="1:22" ht="11.25" customHeight="1" x14ac:dyDescent="0.2">
      <c r="A14" s="516" t="s">
        <v>395</v>
      </c>
      <c r="B14" s="516"/>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13" t="s">
        <v>340</v>
      </c>
      <c r="B15" s="513"/>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13" t="s">
        <v>336</v>
      </c>
      <c r="B16" s="513"/>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13" t="s">
        <v>335</v>
      </c>
      <c r="B17" s="513"/>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13" t="s">
        <v>331</v>
      </c>
      <c r="B18" s="513"/>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13" t="s">
        <v>330</v>
      </c>
      <c r="B19" s="513"/>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13" t="s">
        <v>326</v>
      </c>
      <c r="B20" s="513"/>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13" t="s">
        <v>325</v>
      </c>
      <c r="B21" s="513"/>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13" t="s">
        <v>324</v>
      </c>
      <c r="B22" s="513"/>
      <c r="C22" s="513"/>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6" t="s">
        <v>394</v>
      </c>
      <c r="B23" s="516"/>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13" t="s">
        <v>340</v>
      </c>
      <c r="B24" s="513"/>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13" t="s">
        <v>336</v>
      </c>
      <c r="B25" s="513"/>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13" t="s">
        <v>335</v>
      </c>
      <c r="B26" s="513"/>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13" t="s">
        <v>331</v>
      </c>
      <c r="B27" s="513"/>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13" t="s">
        <v>330</v>
      </c>
      <c r="B28" s="513"/>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13" t="s">
        <v>326</v>
      </c>
      <c r="B29" s="513"/>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13" t="s">
        <v>325</v>
      </c>
      <c r="B30" s="513"/>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13" t="s">
        <v>324</v>
      </c>
      <c r="B31" s="513"/>
      <c r="C31" s="513"/>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6" t="s">
        <v>393</v>
      </c>
      <c r="B32" s="516"/>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13" t="s">
        <v>340</v>
      </c>
      <c r="B33" s="513"/>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13" t="s">
        <v>336</v>
      </c>
      <c r="B34" s="513"/>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13" t="s">
        <v>335</v>
      </c>
      <c r="B35" s="513"/>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13" t="s">
        <v>331</v>
      </c>
      <c r="B36" s="513"/>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13" t="s">
        <v>330</v>
      </c>
      <c r="B37" s="513"/>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13" t="s">
        <v>326</v>
      </c>
      <c r="B38" s="513"/>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13" t="s">
        <v>325</v>
      </c>
      <c r="B39" s="513"/>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13" t="s">
        <v>324</v>
      </c>
      <c r="B40" s="513"/>
      <c r="C40" s="513"/>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6" t="s">
        <v>391</v>
      </c>
      <c r="B41" s="516"/>
      <c r="C41" s="241">
        <v>3</v>
      </c>
      <c r="D41" s="231">
        <v>7653</v>
      </c>
      <c r="E41" s="222">
        <v>7756</v>
      </c>
      <c r="F41" s="222">
        <v>7659</v>
      </c>
      <c r="G41" s="221">
        <v>8046</v>
      </c>
      <c r="H41" s="240" t="s">
        <v>373</v>
      </c>
    </row>
    <row r="42" spans="1:16" ht="11.25" customHeight="1" x14ac:dyDescent="0.2">
      <c r="A42" s="513" t="s">
        <v>340</v>
      </c>
      <c r="B42" s="513"/>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13" t="s">
        <v>336</v>
      </c>
      <c r="B43" s="513"/>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13" t="s">
        <v>335</v>
      </c>
      <c r="B44" s="513"/>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13" t="s">
        <v>331</v>
      </c>
      <c r="B45" s="513"/>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13" t="s">
        <v>330</v>
      </c>
      <c r="B46" s="513"/>
      <c r="C46" s="239"/>
      <c r="D46" s="233">
        <v>108</v>
      </c>
      <c r="E46" s="219">
        <v>125</v>
      </c>
      <c r="F46" s="219">
        <v>170</v>
      </c>
      <c r="G46" s="218">
        <v>162</v>
      </c>
      <c r="H46" s="230"/>
    </row>
    <row r="47" spans="1:16" ht="11.25" customHeight="1" x14ac:dyDescent="0.2">
      <c r="A47" s="513" t="s">
        <v>326</v>
      </c>
      <c r="B47" s="513"/>
      <c r="C47" s="239"/>
      <c r="D47" s="233">
        <v>498</v>
      </c>
      <c r="E47" s="219">
        <v>349</v>
      </c>
      <c r="F47" s="219">
        <v>360</v>
      </c>
      <c r="G47" s="218">
        <v>289</v>
      </c>
      <c r="H47" s="230"/>
    </row>
    <row r="48" spans="1:16" ht="11.25" customHeight="1" x14ac:dyDescent="0.2">
      <c r="A48" s="513" t="s">
        <v>325</v>
      </c>
      <c r="B48" s="513"/>
      <c r="C48" s="239"/>
      <c r="D48" s="231">
        <v>0</v>
      </c>
      <c r="E48" s="222">
        <v>0</v>
      </c>
      <c r="F48" s="222">
        <v>0</v>
      </c>
      <c r="G48" s="221">
        <v>0</v>
      </c>
      <c r="H48" s="230"/>
    </row>
    <row r="49" spans="1:9" ht="11.85" customHeight="1" x14ac:dyDescent="0.2">
      <c r="A49" s="513" t="s">
        <v>324</v>
      </c>
      <c r="B49" s="513"/>
      <c r="C49" s="513"/>
      <c r="D49" s="233">
        <v>36</v>
      </c>
      <c r="E49" s="219">
        <v>37</v>
      </c>
      <c r="F49" s="219">
        <v>37</v>
      </c>
      <c r="G49" s="218">
        <v>39</v>
      </c>
      <c r="H49" s="230"/>
    </row>
    <row r="50" spans="1:9" ht="12" customHeight="1" x14ac:dyDescent="0.25">
      <c r="A50" s="516" t="s">
        <v>390</v>
      </c>
      <c r="B50" s="516"/>
      <c r="C50" s="241">
        <v>4</v>
      </c>
      <c r="D50" s="231">
        <v>0.05</v>
      </c>
      <c r="E50" s="222">
        <v>0.59</v>
      </c>
      <c r="F50" s="222">
        <v>0.78</v>
      </c>
      <c r="G50" s="221">
        <v>0.52</v>
      </c>
      <c r="H50" s="240" t="s">
        <v>389</v>
      </c>
    </row>
    <row r="51" spans="1:9" ht="11.25" customHeight="1" x14ac:dyDescent="0.2">
      <c r="A51" s="513" t="s">
        <v>340</v>
      </c>
      <c r="B51" s="513"/>
      <c r="C51" s="239"/>
      <c r="D51" s="231">
        <v>0</v>
      </c>
      <c r="E51" s="222">
        <v>0</v>
      </c>
      <c r="F51" s="222">
        <v>0</v>
      </c>
      <c r="G51" s="221">
        <v>0</v>
      </c>
      <c r="H51" s="230"/>
    </row>
    <row r="52" spans="1:9" ht="11.25" customHeight="1" x14ac:dyDescent="0.2">
      <c r="A52" s="513" t="s">
        <v>336</v>
      </c>
      <c r="B52" s="513"/>
      <c r="C52" s="239"/>
      <c r="D52" s="231">
        <v>0</v>
      </c>
      <c r="E52" s="222">
        <v>0</v>
      </c>
      <c r="F52" s="222">
        <v>0</v>
      </c>
      <c r="G52" s="221">
        <v>0</v>
      </c>
      <c r="H52" s="230"/>
    </row>
    <row r="53" spans="1:9" ht="11.25" customHeight="1" x14ac:dyDescent="0.2">
      <c r="A53" s="513" t="s">
        <v>335</v>
      </c>
      <c r="B53" s="513"/>
      <c r="C53" s="239"/>
      <c r="D53" s="231">
        <v>0</v>
      </c>
      <c r="E53" s="222">
        <v>0</v>
      </c>
      <c r="F53" s="222">
        <v>0</v>
      </c>
      <c r="G53" s="221">
        <v>0</v>
      </c>
      <c r="H53" s="230"/>
    </row>
    <row r="54" spans="1:9" ht="11.25" customHeight="1" x14ac:dyDescent="0.2">
      <c r="A54" s="513" t="s">
        <v>331</v>
      </c>
      <c r="B54" s="513"/>
      <c r="C54" s="239"/>
      <c r="D54" s="231">
        <v>0</v>
      </c>
      <c r="E54" s="222">
        <v>0</v>
      </c>
      <c r="F54" s="222">
        <v>0</v>
      </c>
      <c r="G54" s="221">
        <v>0</v>
      </c>
      <c r="H54" s="230"/>
    </row>
    <row r="55" spans="1:9" ht="11.25" customHeight="1" x14ac:dyDescent="0.2">
      <c r="A55" s="513" t="s">
        <v>330</v>
      </c>
      <c r="B55" s="513"/>
      <c r="C55" s="239"/>
      <c r="D55" s="231">
        <v>0</v>
      </c>
      <c r="E55" s="222">
        <v>0</v>
      </c>
      <c r="F55" s="222">
        <v>0</v>
      </c>
      <c r="G55" s="221">
        <v>0</v>
      </c>
      <c r="H55" s="230"/>
    </row>
    <row r="56" spans="1:9" ht="11.25" customHeight="1" x14ac:dyDescent="0.2">
      <c r="A56" s="513" t="s">
        <v>326</v>
      </c>
      <c r="B56" s="513"/>
      <c r="C56" s="239"/>
      <c r="D56" s="231">
        <v>0</v>
      </c>
      <c r="E56" s="222">
        <v>0</v>
      </c>
      <c r="F56" s="222">
        <v>0</v>
      </c>
      <c r="G56" s="221">
        <v>0</v>
      </c>
      <c r="H56" s="230"/>
    </row>
    <row r="57" spans="1:9" ht="11.25" customHeight="1" x14ac:dyDescent="0.2">
      <c r="A57" s="513" t="s">
        <v>325</v>
      </c>
      <c r="B57" s="513"/>
      <c r="C57" s="239"/>
      <c r="D57" s="231">
        <v>0.05</v>
      </c>
      <c r="E57" s="222">
        <v>0.59</v>
      </c>
      <c r="F57" s="222">
        <v>0.78</v>
      </c>
      <c r="G57" s="221">
        <v>0.52</v>
      </c>
      <c r="H57" s="230"/>
    </row>
    <row r="58" spans="1:9" ht="13.5" customHeight="1" x14ac:dyDescent="0.2">
      <c r="A58" s="514" t="s">
        <v>324</v>
      </c>
      <c r="B58" s="514"/>
      <c r="C58" s="514"/>
      <c r="D58" s="229">
        <v>0</v>
      </c>
      <c r="E58" s="228">
        <v>0</v>
      </c>
      <c r="F58" s="228">
        <v>0</v>
      </c>
      <c r="G58" s="227">
        <v>0</v>
      </c>
      <c r="H58" s="238"/>
    </row>
    <row r="59" spans="1:9" ht="0.95" customHeight="1" x14ac:dyDescent="0.25">
      <c r="A59" s="516"/>
      <c r="B59" s="516"/>
      <c r="C59" s="516"/>
      <c r="D59" s="516"/>
      <c r="E59" s="516"/>
      <c r="F59" s="516"/>
      <c r="G59" s="516"/>
      <c r="H59" s="516"/>
      <c r="I59" s="516"/>
    </row>
    <row r="60" spans="1:9" ht="0.95" customHeight="1" x14ac:dyDescent="0.25">
      <c r="A60" s="516"/>
      <c r="B60" s="516"/>
      <c r="C60" s="516"/>
      <c r="D60" s="516"/>
      <c r="E60" s="516"/>
      <c r="F60" s="516"/>
      <c r="G60" s="516"/>
      <c r="H60" s="516"/>
      <c r="I60" s="516"/>
    </row>
    <row r="61" spans="1:9" ht="12.75" customHeight="1" x14ac:dyDescent="0.25">
      <c r="A61" s="519" t="s">
        <v>388</v>
      </c>
      <c r="B61" s="519"/>
      <c r="C61" s="519"/>
      <c r="D61" s="519"/>
      <c r="E61" s="519"/>
      <c r="F61" s="519"/>
      <c r="G61" s="519"/>
      <c r="H61" s="519"/>
      <c r="I61" s="519"/>
    </row>
    <row r="62" spans="1:9" ht="39" customHeight="1" x14ac:dyDescent="0.2">
      <c r="A62" s="517" t="s">
        <v>345</v>
      </c>
      <c r="B62" s="517"/>
      <c r="C62" s="517"/>
      <c r="D62" s="225">
        <v>2019</v>
      </c>
      <c r="E62" s="224">
        <v>2018</v>
      </c>
      <c r="F62" s="224">
        <v>2017</v>
      </c>
      <c r="G62" s="223">
        <v>2016</v>
      </c>
      <c r="H62" s="237" t="s">
        <v>387</v>
      </c>
    </row>
    <row r="63" spans="1:9" ht="12.75" customHeight="1" x14ac:dyDescent="0.25">
      <c r="A63" s="518" t="s">
        <v>344</v>
      </c>
      <c r="B63" s="518"/>
      <c r="C63" s="518"/>
      <c r="D63" s="220" t="s">
        <v>386</v>
      </c>
      <c r="E63" s="236" t="s">
        <v>385</v>
      </c>
      <c r="F63" s="236" t="s">
        <v>384</v>
      </c>
      <c r="G63" s="235" t="s">
        <v>383</v>
      </c>
      <c r="H63" s="234" t="s">
        <v>373</v>
      </c>
    </row>
    <row r="64" spans="1:9" ht="11.25" customHeight="1" x14ac:dyDescent="0.2">
      <c r="A64" s="513" t="s">
        <v>340</v>
      </c>
      <c r="B64" s="513"/>
      <c r="C64" s="513"/>
      <c r="D64" s="231" t="s">
        <v>382</v>
      </c>
      <c r="E64" s="222" t="s">
        <v>342</v>
      </c>
      <c r="F64" s="222" t="s">
        <v>381</v>
      </c>
      <c r="G64" s="221" t="s">
        <v>341</v>
      </c>
      <c r="H64" s="230"/>
    </row>
    <row r="65" spans="1:8" ht="11.25" customHeight="1" x14ac:dyDescent="0.2">
      <c r="A65" s="513" t="s">
        <v>336</v>
      </c>
      <c r="B65" s="513"/>
      <c r="C65" s="513"/>
      <c r="D65" s="231" t="s">
        <v>380</v>
      </c>
      <c r="E65" s="222" t="s">
        <v>339</v>
      </c>
      <c r="F65" s="222" t="s">
        <v>338</v>
      </c>
      <c r="G65" s="221" t="s">
        <v>337</v>
      </c>
      <c r="H65" s="230"/>
    </row>
    <row r="66" spans="1:8" ht="11.25" customHeight="1" x14ac:dyDescent="0.2">
      <c r="A66" s="513" t="s">
        <v>335</v>
      </c>
      <c r="B66" s="513"/>
      <c r="C66" s="513"/>
      <c r="D66" s="233">
        <v>822</v>
      </c>
      <c r="E66" s="219">
        <v>797</v>
      </c>
      <c r="F66" s="219">
        <v>807</v>
      </c>
      <c r="G66" s="218">
        <v>847</v>
      </c>
      <c r="H66" s="230"/>
    </row>
    <row r="67" spans="1:8" ht="11.25" customHeight="1" x14ac:dyDescent="0.2">
      <c r="A67" s="513" t="s">
        <v>331</v>
      </c>
      <c r="B67" s="513"/>
      <c r="C67" s="513"/>
      <c r="D67" s="231" t="s">
        <v>379</v>
      </c>
      <c r="E67" s="222" t="s">
        <v>334</v>
      </c>
      <c r="F67" s="222" t="s">
        <v>333</v>
      </c>
      <c r="G67" s="221" t="s">
        <v>332</v>
      </c>
      <c r="H67" s="230"/>
    </row>
    <row r="68" spans="1:8" ht="11.25" customHeight="1" x14ac:dyDescent="0.2">
      <c r="A68" s="513" t="s">
        <v>330</v>
      </c>
      <c r="B68" s="513"/>
      <c r="C68" s="513"/>
      <c r="D68" s="233">
        <v>717</v>
      </c>
      <c r="E68" s="219">
        <v>823</v>
      </c>
      <c r="F68" s="219">
        <v>943</v>
      </c>
      <c r="G68" s="218">
        <v>910</v>
      </c>
      <c r="H68" s="230"/>
    </row>
    <row r="69" spans="1:8" ht="11.25" customHeight="1" x14ac:dyDescent="0.2">
      <c r="A69" s="513" t="s">
        <v>326</v>
      </c>
      <c r="B69" s="513"/>
      <c r="C69" s="513"/>
      <c r="D69" s="231" t="s">
        <v>378</v>
      </c>
      <c r="E69" s="222" t="s">
        <v>329</v>
      </c>
      <c r="F69" s="222" t="s">
        <v>328</v>
      </c>
      <c r="G69" s="221" t="s">
        <v>327</v>
      </c>
      <c r="H69" s="230"/>
    </row>
    <row r="70" spans="1:8" ht="11.25" customHeight="1" x14ac:dyDescent="0.2">
      <c r="A70" s="513" t="s">
        <v>325</v>
      </c>
      <c r="B70" s="513"/>
      <c r="C70" s="513"/>
      <c r="D70" s="233">
        <v>261</v>
      </c>
      <c r="E70" s="219">
        <v>258</v>
      </c>
      <c r="F70" s="219">
        <v>260</v>
      </c>
      <c r="G70" s="218">
        <v>274</v>
      </c>
      <c r="H70" s="230"/>
    </row>
    <row r="71" spans="1:8" ht="11.85" customHeight="1" x14ac:dyDescent="0.2">
      <c r="A71" s="513" t="s">
        <v>324</v>
      </c>
      <c r="B71" s="513"/>
      <c r="C71" s="513"/>
      <c r="D71" s="233">
        <v>83</v>
      </c>
      <c r="E71" s="219">
        <v>88</v>
      </c>
      <c r="F71" s="219">
        <v>89</v>
      </c>
      <c r="G71" s="218">
        <v>198</v>
      </c>
      <c r="H71" s="230"/>
    </row>
    <row r="72" spans="1:8" ht="12" customHeight="1" x14ac:dyDescent="0.25">
      <c r="A72" s="516" t="s">
        <v>377</v>
      </c>
      <c r="B72" s="516"/>
      <c r="C72" s="516"/>
      <c r="D72" s="231" t="s">
        <v>368</v>
      </c>
      <c r="E72" s="222" t="s">
        <v>376</v>
      </c>
      <c r="F72" s="222" t="s">
        <v>375</v>
      </c>
      <c r="G72" s="221" t="s">
        <v>374</v>
      </c>
      <c r="H72" s="232" t="s">
        <v>373</v>
      </c>
    </row>
    <row r="73" spans="1:8" ht="11.25" customHeight="1" x14ac:dyDescent="0.2">
      <c r="A73" s="513" t="s">
        <v>340</v>
      </c>
      <c r="B73" s="513"/>
      <c r="C73" s="513"/>
      <c r="D73" s="231" t="s">
        <v>372</v>
      </c>
      <c r="E73" s="222" t="s">
        <v>371</v>
      </c>
      <c r="F73" s="222" t="s">
        <v>370</v>
      </c>
      <c r="G73" s="221" t="s">
        <v>369</v>
      </c>
      <c r="H73" s="230"/>
    </row>
    <row r="74" spans="1:8" ht="11.25" customHeight="1" x14ac:dyDescent="0.2">
      <c r="A74" s="513" t="s">
        <v>336</v>
      </c>
      <c r="B74" s="513"/>
      <c r="C74" s="513"/>
      <c r="D74" s="231" t="s">
        <v>368</v>
      </c>
      <c r="E74" s="222" t="s">
        <v>367</v>
      </c>
      <c r="F74" s="222" t="s">
        <v>366</v>
      </c>
      <c r="G74" s="221" t="s">
        <v>365</v>
      </c>
      <c r="H74" s="230"/>
    </row>
    <row r="75" spans="1:8" ht="11.25" customHeight="1" x14ac:dyDescent="0.2">
      <c r="A75" s="513" t="s">
        <v>335</v>
      </c>
      <c r="B75" s="513"/>
      <c r="C75" s="513"/>
      <c r="D75" s="231" t="s">
        <v>348</v>
      </c>
      <c r="E75" s="222" t="s">
        <v>363</v>
      </c>
      <c r="F75" s="222" t="s">
        <v>364</v>
      </c>
      <c r="G75" s="221" t="s">
        <v>363</v>
      </c>
      <c r="H75" s="230"/>
    </row>
    <row r="76" spans="1:8" ht="11.25" customHeight="1" x14ac:dyDescent="0.2">
      <c r="A76" s="513" t="s">
        <v>331</v>
      </c>
      <c r="B76" s="513"/>
      <c r="C76" s="513"/>
      <c r="D76" s="231" t="s">
        <v>362</v>
      </c>
      <c r="E76" s="222" t="s">
        <v>362</v>
      </c>
      <c r="F76" s="222" t="s">
        <v>362</v>
      </c>
      <c r="G76" s="221" t="s">
        <v>362</v>
      </c>
      <c r="H76" s="230"/>
    </row>
    <row r="77" spans="1:8" ht="11.25" customHeight="1" x14ac:dyDescent="0.2">
      <c r="A77" s="513" t="s">
        <v>330</v>
      </c>
      <c r="B77" s="513"/>
      <c r="C77" s="513"/>
      <c r="D77" s="231" t="s">
        <v>361</v>
      </c>
      <c r="E77" s="222" t="s">
        <v>360</v>
      </c>
      <c r="F77" s="222" t="s">
        <v>359</v>
      </c>
      <c r="G77" s="221" t="s">
        <v>359</v>
      </c>
      <c r="H77" s="230"/>
    </row>
    <row r="78" spans="1:8" ht="11.25" customHeight="1" x14ac:dyDescent="0.2">
      <c r="A78" s="513" t="s">
        <v>326</v>
      </c>
      <c r="B78" s="513"/>
      <c r="C78" s="513"/>
      <c r="D78" s="231" t="s">
        <v>358</v>
      </c>
      <c r="E78" s="222" t="s">
        <v>357</v>
      </c>
      <c r="F78" s="222" t="s">
        <v>356</v>
      </c>
      <c r="G78" s="221" t="s">
        <v>355</v>
      </c>
      <c r="H78" s="230"/>
    </row>
    <row r="79" spans="1:8" ht="11.25" customHeight="1" x14ac:dyDescent="0.2">
      <c r="A79" s="513" t="s">
        <v>325</v>
      </c>
      <c r="B79" s="513"/>
      <c r="C79" s="513"/>
      <c r="D79" s="231" t="s">
        <v>354</v>
      </c>
      <c r="E79" s="222" t="s">
        <v>353</v>
      </c>
      <c r="F79" s="222" t="s">
        <v>352</v>
      </c>
      <c r="G79" s="221" t="s">
        <v>351</v>
      </c>
      <c r="H79" s="230"/>
    </row>
    <row r="80" spans="1:8" ht="13.7" customHeight="1" x14ac:dyDescent="0.25">
      <c r="A80" s="514" t="s">
        <v>324</v>
      </c>
      <c r="B80" s="514"/>
      <c r="C80" s="514"/>
      <c r="D80" s="229" t="s">
        <v>349</v>
      </c>
      <c r="E80" s="228" t="s">
        <v>350</v>
      </c>
      <c r="F80" s="228" t="s">
        <v>349</v>
      </c>
      <c r="G80" s="227" t="s">
        <v>348</v>
      </c>
      <c r="H80" s="226"/>
    </row>
    <row r="81" spans="1:13" ht="113.25" customHeight="1" x14ac:dyDescent="0.25">
      <c r="A81" s="515" t="s">
        <v>347</v>
      </c>
      <c r="B81" s="516"/>
      <c r="C81" s="516"/>
      <c r="D81" s="516"/>
      <c r="E81" s="516"/>
      <c r="F81" s="516"/>
      <c r="G81" s="516"/>
      <c r="H81" s="516"/>
      <c r="I81" s="516"/>
    </row>
    <row r="82" spans="1:13" ht="12.75" customHeight="1" x14ac:dyDescent="0.25">
      <c r="A82" s="516" t="s">
        <v>346</v>
      </c>
      <c r="B82" s="516"/>
      <c r="C82" s="516"/>
      <c r="D82" s="516"/>
      <c r="E82" s="516"/>
      <c r="F82" s="516"/>
      <c r="G82" s="516"/>
      <c r="H82" s="516"/>
      <c r="I82" s="516"/>
    </row>
    <row r="83" spans="1:13" x14ac:dyDescent="0.25">
      <c r="D83" s="216" t="str">
        <f>D63</f>
        <v>66 558</v>
      </c>
      <c r="E83" s="216" t="str">
        <f>E63</f>
        <v>67 412</v>
      </c>
      <c r="F83" s="216" t="str">
        <f>F63</f>
        <v>67 632</v>
      </c>
      <c r="G83" s="216" t="str">
        <f>G63</f>
        <v>69 250</v>
      </c>
    </row>
    <row r="85" spans="1:13" x14ac:dyDescent="0.2">
      <c r="A85" s="517" t="s">
        <v>345</v>
      </c>
      <c r="B85" s="517"/>
      <c r="C85" s="517"/>
      <c r="D85" s="225">
        <v>2019</v>
      </c>
      <c r="E85" s="224">
        <v>2018</v>
      </c>
      <c r="F85" s="224">
        <v>2017</v>
      </c>
      <c r="G85" s="223">
        <v>2016</v>
      </c>
      <c r="J85" s="216">
        <v>2019</v>
      </c>
      <c r="K85" s="216">
        <v>2018</v>
      </c>
      <c r="L85" s="216">
        <v>2017</v>
      </c>
      <c r="M85" s="216">
        <v>2016</v>
      </c>
    </row>
    <row r="86" spans="1:13" x14ac:dyDescent="0.25">
      <c r="A86" s="518" t="s">
        <v>344</v>
      </c>
      <c r="B86" s="518"/>
      <c r="C86" s="518"/>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13" t="s">
        <v>340</v>
      </c>
      <c r="B87" s="513"/>
      <c r="C87" s="513"/>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13" t="s">
        <v>336</v>
      </c>
      <c r="B88" s="513"/>
      <c r="C88" s="513"/>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13" t="s">
        <v>335</v>
      </c>
      <c r="B89" s="513"/>
      <c r="C89" s="513"/>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13" t="s">
        <v>331</v>
      </c>
      <c r="B90" s="513"/>
      <c r="C90" s="513"/>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13" t="s">
        <v>330</v>
      </c>
      <c r="B91" s="513"/>
      <c r="C91" s="513"/>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13" t="s">
        <v>326</v>
      </c>
      <c r="B92" s="513"/>
      <c r="C92" s="513"/>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13" t="s">
        <v>325</v>
      </c>
      <c r="B93" s="513"/>
      <c r="C93" s="513"/>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13" t="s">
        <v>324</v>
      </c>
      <c r="B94" s="513"/>
      <c r="C94" s="513"/>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1:I1"/>
    <mergeCell ref="A2:C2"/>
    <mergeCell ref="A3:B3"/>
    <mergeCell ref="H3:H12"/>
    <mergeCell ref="A4:B4"/>
    <mergeCell ref="A5:B5"/>
    <mergeCell ref="A6:B6"/>
    <mergeCell ref="A7:B7"/>
    <mergeCell ref="A8:B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40:C40"/>
    <mergeCell ref="A41:B41"/>
    <mergeCell ref="A42:B42"/>
    <mergeCell ref="A43:B43"/>
    <mergeCell ref="A44:B4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89:C89"/>
    <mergeCell ref="A76:C76"/>
    <mergeCell ref="A77:C77"/>
    <mergeCell ref="A78:C78"/>
    <mergeCell ref="A79:C79"/>
    <mergeCell ref="A80:C80"/>
    <mergeCell ref="A88:C88"/>
    <mergeCell ref="A81:I81"/>
    <mergeCell ref="A82:I82"/>
    <mergeCell ref="A85:C85"/>
    <mergeCell ref="A86:C86"/>
    <mergeCell ref="A87:C87"/>
    <mergeCell ref="A90:C90"/>
    <mergeCell ref="A91:C91"/>
    <mergeCell ref="A92:C92"/>
    <mergeCell ref="A93:C93"/>
    <mergeCell ref="A94:C94"/>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2023-09-20T08:41:24Z</dcterms:modified>
</cp:coreProperties>
</file>